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defaultThemeVersion="124226"/>
  <mc:AlternateContent xmlns:mc="http://schemas.openxmlformats.org/markup-compatibility/2006">
    <mc:Choice Requires="x15">
      <x15ac:absPath xmlns:x15ac="http://schemas.microsoft.com/office/spreadsheetml/2010/11/ac" url="\\intranet-fs1\子ども未来局\243給付係\05：研修・説明会等\R5.9.27〆_新設園・移行園向け説明会の資料作成について\01_新設園向け資料\"/>
    </mc:Choice>
  </mc:AlternateContent>
  <xr:revisionPtr revIDLastSave="0" documentId="13_ncr:1_{7ED58B59-0F26-445B-BE5A-6D33768298EF}" xr6:coauthVersionLast="47" xr6:coauthVersionMax="47" xr10:uidLastSave="{00000000-0000-0000-0000-000000000000}"/>
  <bookViews>
    <workbookView xWindow="-120" yWindow="-120" windowWidth="29040" windowHeight="15840" tabRatio="495" firstSheet="2" activeTab="2" xr2:uid="{00000000-000D-0000-FFFF-FFFF00000000}"/>
  </bookViews>
  <sheets>
    <sheet name="施設状況(要更新)" sheetId="29" state="hidden" r:id="rId1"/>
    <sheet name="休日情報(要更新)" sheetId="33" state="hidden" r:id="rId2"/>
    <sheet name="作成方法" sheetId="43" r:id="rId3"/>
    <sheet name="【別添】添付書類の表紙" sheetId="44" state="hidden" r:id="rId4"/>
    <sheet name="【様式１】総括表・個票" sheetId="23" r:id="rId5"/>
    <sheet name="(別紙１)管理者設置" sheetId="30" r:id="rId6"/>
    <sheet name="(別紙2)土曜閉所" sheetId="36" r:id="rId7"/>
    <sheet name="(別紙3)休日" sheetId="37" r:id="rId8"/>
    <sheet name="(別紙6)定員超過" sheetId="38" r:id="rId9"/>
    <sheet name="【様式2】職員名簿" sheetId="39" r:id="rId10"/>
    <sheet name="【様式３】シフト表" sheetId="40" r:id="rId11"/>
    <sheet name="【様式4】クラス編成表" sheetId="41" r:id="rId12"/>
    <sheet name="【様式５】職員数算出表" sheetId="42" r:id="rId13"/>
    <sheet name="【様式６】加算確認表" sheetId="27" r:id="rId14"/>
    <sheet name="ver" sheetId="34" r:id="rId15"/>
  </sheets>
  <externalReferences>
    <externalReference r:id="rId16"/>
  </externalReferences>
  <definedNames>
    <definedName name="a" localSheetId="3">#REF!</definedName>
    <definedName name="a">#REF!</definedName>
    <definedName name="b" localSheetId="3">#REF!</definedName>
    <definedName name="b">#REF!</definedName>
    <definedName name="d" localSheetId="3">#REF!</definedName>
    <definedName name="d">#REF!</definedName>
    <definedName name="_xlnm.Print_Area" localSheetId="5">'(別紙１)管理者設置'!$A$1:$G$106</definedName>
    <definedName name="_xlnm.Print_Area" localSheetId="6">'(別紙2)土曜閉所'!$A$1:$H$30</definedName>
    <definedName name="_xlnm.Print_Area" localSheetId="7">'(別紙3)休日'!$A$1:$AA$55</definedName>
    <definedName name="_xlnm.Print_Area" localSheetId="8">'(別紙6)定員超過'!$A$1:$P$83</definedName>
    <definedName name="_xlnm.Print_Area" localSheetId="3">【別添】添付書類の表紙!$A$1:$C$46</definedName>
    <definedName name="_xlnm.Print_Area" localSheetId="4">【様式１】総括表・個票!$A$1:$AG$245</definedName>
    <definedName name="_xlnm.Print_Area" localSheetId="9">【様式2】職員名簿!$A$1:$J$137</definedName>
    <definedName name="_xlnm.Print_Area" localSheetId="10">【様式３】シフト表!$B$1:$AK$107</definedName>
    <definedName name="_xlnm.Print_Area" localSheetId="11">【様式4】クラス編成表!$A$1:$F$31</definedName>
    <definedName name="_xlnm.Print_Area" localSheetId="12">【様式５】職員数算出表!$A$1:$O$107</definedName>
    <definedName name="_xlnm.Print_Area" localSheetId="13">【様式６】加算確認表!$A$1:$U$28</definedName>
    <definedName name="_xlnm.Print_Area" localSheetId="2">作成方法!$A$1:$E$42</definedName>
    <definedName name="_xlnm.Print_Titles" localSheetId="5">'(別紙１)管理者設置'!$1:$1</definedName>
    <definedName name="_xlnm.Print_Titles" localSheetId="6">'(別紙2)土曜閉所'!$1:$1</definedName>
    <definedName name="_xlnm.Print_Titles" localSheetId="4">【様式１】総括表・個票!$1:$1</definedName>
    <definedName name="_xlnm.Print_Titles" localSheetId="9">【様式2】職員名簿!$1:$2</definedName>
    <definedName name="_xlnm.Print_Titles" localSheetId="10">【様式３】シフト表!$1:$6</definedName>
    <definedName name="_xlnm.Print_Titles" localSheetId="11">【様式4】クラス編成表!$1:$5</definedName>
    <definedName name="_xlnm.Print_Titles" localSheetId="12">【様式５】職員数算出表!$1:$3</definedName>
    <definedName name="Z_231BE199_DDAC_4D61_831C_4C9016DB75EA_.wvu.PrintArea" localSheetId="4" hidden="1">【様式１】総括表・個票!$A$1:$AG$217</definedName>
    <definedName name="栄養士" localSheetId="3">#REF!</definedName>
    <definedName name="栄養士">【様式５】職員数算出表!$BF$7:$BF$108</definedName>
    <definedName name="家庭的保育" localSheetId="3">#REF!</definedName>
    <definedName name="家庭的保育">#REF!</definedName>
    <definedName name="概算交付申出書" localSheetId="3">#REF!</definedName>
    <definedName name="概算交付申出書">#REF!</definedName>
    <definedName name="学校医" localSheetId="3">#REF!</definedName>
    <definedName name="学校医" localSheetId="2">[1]【様式５】職員数算出表!#REF!</definedName>
    <definedName name="学校医">【様式５】職員数算出表!#REF!</definedName>
    <definedName name="教諭" localSheetId="3">#REF!</definedName>
    <definedName name="教諭" localSheetId="2">#REF!</definedName>
    <definedName name="教諭">#REF!</definedName>
    <definedName name="業務委託" localSheetId="3">#REF!</definedName>
    <definedName name="業務委託">【様式５】職員数算出表!$BN$7:$BN$11</definedName>
    <definedName name="区分１" localSheetId="3">#REF!</definedName>
    <definedName name="区分１">#REF!</definedName>
    <definedName name="区分２" localSheetId="3">#REF!</definedName>
    <definedName name="区分２">#REF!</definedName>
    <definedName name="区分３" localSheetId="3">#REF!</definedName>
    <definedName name="区分３">#REF!</definedName>
    <definedName name="公設民営">#REF!</definedName>
    <definedName name="厚別区01私立01保育所">'施設状況(要更新)'!$AC$4:$AC$64</definedName>
    <definedName name="厚別区01私立02幼稚園">'施設状況(要更新)'!$AZ$4:$AZ$64</definedName>
    <definedName name="厚別区01私立03認定こども園">'施設状況(要更新)'!$BT$4:$BT$64</definedName>
    <definedName name="厚別区01保育所">'施設状況(要更新)'!$AC$4:$AC$64</definedName>
    <definedName name="厚別区03公立01保育所">'施設状況(要更新)'!$AO$4:$AO$64</definedName>
    <definedName name="厚別区03公立02幼稚園">'施設状況(要更新)'!$BK$4:$BK$64</definedName>
    <definedName name="厚別区04小規模A・B・C">'施設状況(要更新)'!$AC$4:$AC$10</definedName>
    <definedName name="札幌市あけぼの保育園">'施設状況(要更新)'!$Z$4:$CY$4</definedName>
    <definedName name="札幌市外01私立01保育所">'施設状況(要更新)'!$AI$4:$AI$64</definedName>
    <definedName name="札幌市外01私立02幼稚園">'施設状況(要更新)'!$BF$4:$BF$64</definedName>
    <definedName name="札幌市外01私立03認定こども園">'施設状況(要更新)'!$BZ$4:$BZ$64</definedName>
    <definedName name="札幌市外01私立04小規模A・B・C">'施設状況(要更新)'!$CL$4:$CL$64</definedName>
    <definedName name="札幌市外01私立06事業所内">'施設状況(要更新)'!$CZ$4:$CZ$64</definedName>
    <definedName name="札幌市外02公設民営01保育所">'施設状況(要更新)'!$AL$4:$AL$64</definedName>
    <definedName name="札幌市外03公立01保育所">'施設状況(要更新)'!$AU$4:$AU$64</definedName>
    <definedName name="札幌市外03公立03認定こども園">'施設状況(要更新)'!$CB$4:$CB$64</definedName>
    <definedName name="施設C" localSheetId="6">#REF!</definedName>
    <definedName name="施設C" localSheetId="8">#REF!</definedName>
    <definedName name="施設C" localSheetId="3">#REF!</definedName>
    <definedName name="施設C" localSheetId="2">#REF!</definedName>
    <definedName name="施設C">#REF!</definedName>
    <definedName name="施設種別">#REF!</definedName>
    <definedName name="施設長" localSheetId="3">#REF!</definedName>
    <definedName name="施設長">【様式５】職員数算出表!$AZ$7:$AZ$107</definedName>
    <definedName name="事業所内保育" localSheetId="3">#REF!</definedName>
    <definedName name="事業所内保育">#REF!</definedName>
    <definedName name="事務員" localSheetId="3">#REF!</definedName>
    <definedName name="事務員">【様式５】職員数算出表!$BJ$7:$BJ$107</definedName>
    <definedName name="手稲区01私立01保育所">'施設状況(要更新)'!$AH$4:$AH$64</definedName>
    <definedName name="手稲区01私立02幼稚園">'施設状況(要更新)'!$BE$4:$BE$64</definedName>
    <definedName name="手稲区01私立03認定こども園">'施設状況(要更新)'!$BY$4:$BY$64</definedName>
    <definedName name="手稲区01私立04小規模A・B・C">'施設状況(要更新)'!$CK$4:$CK$64</definedName>
    <definedName name="手稲区01私立05家庭的">'施設状況(要更新)'!$CT$4:$CT$64</definedName>
    <definedName name="手稲区01保育所">'施設状況(要更新)'!$AH$4:$AH$64</definedName>
    <definedName name="手稲区03公立01保育所">'施設状況(要更新)'!$AR$4:$AR$64</definedName>
    <definedName name="手稲区03公立02幼稚園">'施設状況(要更新)'!$BO$4:$BO$64</definedName>
    <definedName name="手稲区04小規模A・B・C">'施設状況(要更新)'!$AH$4:$AH$13</definedName>
    <definedName name="修正後施設マスタ" localSheetId="2">#REF!</definedName>
    <definedName name="修正後施設マスタ">#REF!</definedName>
    <definedName name="小規模保育">#REF!</definedName>
    <definedName name="常勤" localSheetId="12">【様式５】職員数算出表!$BD$7:$BD$107</definedName>
    <definedName name="常勤">【様式2】職員名簿!$AC$25:$AC$29</definedName>
    <definedName name="常勤事務員" localSheetId="3">#REF!</definedName>
    <definedName name="常勤事務員" localSheetId="2">[1]【様式５】職員数算出表!#REF!</definedName>
    <definedName name="常勤事務員">【様式５】職員数算出表!#REF!</definedName>
    <definedName name="常勤調理員" localSheetId="3">#REF!</definedName>
    <definedName name="常勤調理員" localSheetId="2">[1]【様式５】職員数算出表!#REF!</definedName>
    <definedName name="常勤調理員">【様式５】職員数算出表!#REF!</definedName>
    <definedName name="常勤保育士" localSheetId="3">#REF!</definedName>
    <definedName name="常勤保育士">【様式５】職員数算出表!$BD$7:$BD$107</definedName>
    <definedName name="清田区01私立01保育所">'施設状況(要更新)'!$AE$4:$AE$64</definedName>
    <definedName name="清田区01私立02幼稚園">'施設状況(要更新)'!$BB$4:$BB$64</definedName>
    <definedName name="清田区01私立03認定こども園">'施設状況(要更新)'!$BV$4:$BV$64</definedName>
    <definedName name="清田区01私立04小規模A・B・C">'施設状況(要更新)'!$CH$4:$CH$64</definedName>
    <definedName name="清田区01私立05家庭的">'施設状況(要更新)'!$CQ$4:$CQ$64</definedName>
    <definedName name="清田区01保育所">'施設状況(要更新)'!$AE$4:$AE$64</definedName>
    <definedName name="清田区03公立03認定こども園">'施設状況(要更新)'!$CA$4:$CA$64</definedName>
    <definedName name="清田区04小規模A・B・C">'施設状況(要更新)'!$AE$4:$AE$10</definedName>
    <definedName name="西区01私立01保育所">'施設状況(要更新)'!$AG$4:$AG$64</definedName>
    <definedName name="西区01私立02幼稚園">'施設状況(要更新)'!$BD$4:$BD$64</definedName>
    <definedName name="西区01私立03認定こども園">'施設状況(要更新)'!$BX$4:$BX$64</definedName>
    <definedName name="西区01私立04小規模A・B・C">'施設状況(要更新)'!$CJ$4:$CJ$64</definedName>
    <definedName name="西区01私立05家庭的">'施設状況(要更新)'!$CS$4:$CS$64</definedName>
    <definedName name="西区01私立06事業所内">'施設状況(要更新)'!$CY$4:$CY$64</definedName>
    <definedName name="西区01保育所">'施設状況(要更新)'!$AG$4:$AG$64</definedName>
    <definedName name="西区02公設民営01保育所">'施設状況(要更新)'!$AJ$4:$AJ$64</definedName>
    <definedName name="西区03公立01保育所">'施設状況(要更新)'!$AQ$4:$AQ$64</definedName>
    <definedName name="西区03公立02幼稚園">'施設状況(要更新)'!$BN$4:$BN$64</definedName>
    <definedName name="西区04小規模A・B・C">'施設状況(要更新)'!$AG$4:$AG$19</definedName>
    <definedName name="西区06事業所内">'施設状況(要更新)'!$AM$4:$AM$8</definedName>
    <definedName name="請求書">#REF!</definedName>
    <definedName name="全員" localSheetId="3">#REF!</definedName>
    <definedName name="全員">【様式５】職員数算出表!$BL$7:$BL$107</definedName>
    <definedName name="全職種" localSheetId="3">#REF!</definedName>
    <definedName name="全職種">【様式５】職員数算出表!$BL$7:$BL$107</definedName>
    <definedName name="対象の有無" localSheetId="6">#REF!</definedName>
    <definedName name="対象の有無" localSheetId="3">#REF!</definedName>
    <definedName name="対象の有無" localSheetId="10">【様式３】シフト表!#REF!</definedName>
    <definedName name="対象の有無" localSheetId="2">#REF!</definedName>
    <definedName name="対象の有無">#REF!</definedName>
    <definedName name="中央区01私立01保育所">'施設状況(要更新)'!$Y$4:$Y$64</definedName>
    <definedName name="中央区01私立02幼稚園">'施設状況(要更新)'!$AV$4:$AV$64</definedName>
    <definedName name="中央区01私立03認定こども園">'施設状況(要更新)'!$BP$4:$BP$64</definedName>
    <definedName name="中央区01私立04小規模A・B・C">'施設状況(要更新)'!$CC$4:$CC$64</definedName>
    <definedName name="中央区01保育所">'施設状況(要更新)'!$Y$4:$Y$64</definedName>
    <definedName name="中央区02公設民営01保育所">'施設状況(要更新)'!$AI$4:$AI$64</definedName>
    <definedName name="中央区03公立01保育所">'施設状況(要更新)'!$AK$4:$AK$64</definedName>
    <definedName name="中央区03公立02幼稚園">'施設状況(要更新)'!$BG$4:$BG$64</definedName>
    <definedName name="中央区04小規模A・B・C">'施設状況(要更新)'!$Y$4:$Y$30</definedName>
    <definedName name="調理員" localSheetId="3">#REF!</definedName>
    <definedName name="調理員">【様式５】職員数算出表!$BH$7:$BH$107</definedName>
    <definedName name="東区01私立01保育所">'施設状況(要更新)'!$AA$4:$AA$64</definedName>
    <definedName name="東区01私立02幼稚園">'施設状況(要更新)'!$AX$4:$AX$64</definedName>
    <definedName name="東区01私立03認定こども園">'施設状況(要更新)'!$BR$4:$BR$64</definedName>
    <definedName name="東区01私立04小規模A・B・C">'施設状況(要更新)'!$CE$4:$CE$64</definedName>
    <definedName name="東区01私立05家庭的">'施設状況(要更新)'!$CN$4:$CN$64</definedName>
    <definedName name="東区01私立06事業所内">'施設状況(要更新)'!$CU$4:$CU$64</definedName>
    <definedName name="東区01保育所">'施設状況(要更新)'!$AA$4:$AA$64</definedName>
    <definedName name="東区03公立01保育所">'施設状況(要更新)'!$AM$4:$AM$64</definedName>
    <definedName name="東区03公立02幼稚園">'施設状況(要更新)'!$BI$4:$BI$64</definedName>
    <definedName name="東区04小規模A・B・C">'施設状況(要更新)'!$AA$4:$AA$17</definedName>
    <definedName name="東区06事業所内">'施設状況(要更新)'!$AI$4:$AI$6</definedName>
    <definedName name="南区01私立01保育所">'施設状況(要更新)'!$AF$4:$AF$64</definedName>
    <definedName name="南区01私立02幼稚園">'施設状況(要更新)'!$BC$4:$BC$64</definedName>
    <definedName name="南区01私立03認定こども園">'施設状況(要更新)'!$BW$4:$BW$64</definedName>
    <definedName name="南区01私立04小規模A・B・C">'施設状況(要更新)'!$CI$4:$CI$64</definedName>
    <definedName name="南区01私立05家庭的">'施設状況(要更新)'!$CR$4:$CR$64</definedName>
    <definedName name="南区01私立06事業所内">'施設状況(要更新)'!$CX$4:$CX$64</definedName>
    <definedName name="南区01保育所">'施設状況(要更新)'!$AF$4:$AF$64</definedName>
    <definedName name="南区03公立01保育所">'施設状況(要更新)'!$AR$4:$AR$64</definedName>
    <definedName name="南区03公立02幼稚園">'施設状況(要更新)'!$BM$4:$BM$64</definedName>
    <definedName name="南区03公立04小規模A・B・C">'施設状況(要更新)'!$CR$4:$CR$51</definedName>
    <definedName name="南区04小規模A・B・C">'施設状況(要更新)'!$AF$4:$AF$20</definedName>
    <definedName name="南区06事業所内">'施設状況(要更新)'!$AL$4:$AL$6</definedName>
    <definedName name="認定こども園">#REF!</definedName>
    <definedName name="認定区分">#REF!</definedName>
    <definedName name="白石区01私立01保育所">'施設状況(要更新)'!$AB$4:$AB$64</definedName>
    <definedName name="白石区01私立02幼稚園">'施設状況(要更新)'!$AY$4:$AY$64</definedName>
    <definedName name="白石区01私立03認定こども園">'施設状況(要更新)'!$BS$4:$BS$64</definedName>
    <definedName name="白石区01私立04小規模A・B・C">'施設状況(要更新)'!$CF$4:$CF$64</definedName>
    <definedName name="白石区01私立05家庭的">'施設状況(要更新)'!$CO$4:$CO$64</definedName>
    <definedName name="白石区01私立06事業所内">'施設状況(要更新)'!$CV$4:$CV$64</definedName>
    <definedName name="白石区01保育所">'施設状況(要更新)'!$AB$4:$AB$64</definedName>
    <definedName name="白石区03公立01保育所">'施設状況(要更新)'!$AN$4:$AN$64</definedName>
    <definedName name="白石区03公立02幼稚園">'施設状況(要更新)'!$BJ$4:$BJ$64</definedName>
    <definedName name="白石区04小規模A・B・C">'施設状況(要更新)'!$AB$4:$AB$16</definedName>
    <definedName name="白石区06事業所内">'施設状況(要更新)'!$AJ$4:$AJ$5</definedName>
    <definedName name="非常勤" localSheetId="3">#REF!</definedName>
    <definedName name="非常勤" localSheetId="9">【様式2】職員名簿!$AD$25:$AD$29</definedName>
    <definedName name="非常勤" localSheetId="2">#REF!</definedName>
    <definedName name="非常勤">#REF!</definedName>
    <definedName name="副園長" localSheetId="3">#REF!</definedName>
    <definedName name="副園長" localSheetId="2">[1]【様式５】職員数算出表!#REF!</definedName>
    <definedName name="副園長">【様式５】職員数算出表!#REF!</definedName>
    <definedName name="保育園連絡先" localSheetId="3">#REF!</definedName>
    <definedName name="保育園連絡先">#REF!</definedName>
    <definedName name="保育士" localSheetId="3">#REF!</definedName>
    <definedName name="保育士">【様式５】職員数算出表!$BB$7:$BB$107</definedName>
    <definedName name="保育所" localSheetId="3">#REF!</definedName>
    <definedName name="保育所">#REF!</definedName>
    <definedName name="豊平区01私立01保育所">'施設状況(要更新)'!$AD$4:$AD$64</definedName>
    <definedName name="豊平区01私立02幼稚園">'施設状況(要更新)'!$BA$4:$BA$64</definedName>
    <definedName name="豊平区01私立03認定こども園">'施設状況(要更新)'!$BU$4:$BU$64</definedName>
    <definedName name="豊平区01私立04小規模A・B・C">'施設状況(要更新)'!$CG$4:$CG$64</definedName>
    <definedName name="豊平区01私立05家庭的">'施設状況(要更新)'!$CP$4:$CP$64</definedName>
    <definedName name="豊平区01私立06事業所内">'施設状況(要更新)'!$CW$4:$CW$64</definedName>
    <definedName name="豊平区01保育所">'施設状況(要更新)'!$AD$4:$AD$64</definedName>
    <definedName name="豊平区03公立01保育所">'施設状況(要更新)'!$AP$4:$AP$64</definedName>
    <definedName name="豊平区03公立02幼稚園">'施設状況(要更新)'!$BL$4:$BL$64</definedName>
    <definedName name="豊平区04小規模A・B・C">'施設状況(要更新)'!$AD$4:$AD$23</definedName>
    <definedName name="豊平区06事業所内">'施設状況(要更新)'!$AK$4:$AK$64</definedName>
    <definedName name="北区01私立01保育所">'施設状況(要更新)'!$Z$4:$Z$64</definedName>
    <definedName name="北区01私立02幼稚園">'施設状況(要更新)'!$AW$4:$AW$64</definedName>
    <definedName name="北区01私立03認定こども園">'施設状況(要更新)'!$BQ$4:$BQ$64</definedName>
    <definedName name="北区01私立04小規模A・B・C">'施設状況(要更新)'!$CD$4:$CD$64</definedName>
    <definedName name="北区01私立05家庭的">'施設状況(要更新)'!$CM$4:$CM$64</definedName>
    <definedName name="北区01保育所">'施設状況(要更新)'!$Z$4:$Z$64</definedName>
    <definedName name="北区03公立01保育所">'施設状況(要更新)'!$AL$4:$AL$64</definedName>
    <definedName name="北区03公立02幼稚園">'施設状況(要更新)'!$BH$4:$BH$64</definedName>
    <definedName name="北区04小規模A・B・C">'施設状況(要更新)'!$Z$4:$Z$19</definedName>
    <definedName name="名前１">#REF!</definedName>
    <definedName name="名前２">#REF!</definedName>
    <definedName name="幼稚園">#REF!</definedName>
    <definedName name="曜日" localSheetId="6">#REF!</definedName>
    <definedName name="曜日" localSheetId="2">#REF!</definedName>
    <definedName name="曜日">#REF!</definedName>
    <definedName name="様式３">#REF!</definedName>
    <definedName name="様式４">#REF!</definedName>
    <definedName name="和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3" l="1"/>
  <c r="H22" i="44" l="1"/>
  <c r="D2" i="44"/>
  <c r="D43" i="44"/>
  <c r="D45" i="44" s="1"/>
  <c r="D46" i="44"/>
  <c r="E2" i="44"/>
  <c r="D44" i="44" l="1"/>
  <c r="F2" i="44" l="1"/>
  <c r="Q15" i="27"/>
  <c r="Q14" i="27"/>
  <c r="AI19" i="23"/>
  <c r="AI36" i="23" s="1"/>
  <c r="B36" i="23" s="1"/>
  <c r="AJ36" i="23"/>
  <c r="AI224" i="23"/>
  <c r="J223" i="23" s="1"/>
  <c r="AJ3" i="23"/>
  <c r="W4" i="23"/>
  <c r="AL28" i="23"/>
  <c r="AL29" i="23" s="1"/>
  <c r="AL25" i="23"/>
  <c r="AL26" i="23" s="1"/>
  <c r="AL22" i="23"/>
  <c r="AL23" i="23" s="1"/>
  <c r="AL19" i="23"/>
  <c r="AL20" i="23" s="1"/>
  <c r="O140" i="29"/>
  <c r="R140" i="29" s="1"/>
  <c r="O141" i="29"/>
  <c r="R141" i="29" s="1"/>
  <c r="O142" i="29"/>
  <c r="R142" i="29" s="1"/>
  <c r="O143" i="29"/>
  <c r="R143" i="29" s="1"/>
  <c r="B3" i="44" l="1"/>
  <c r="B9" i="44"/>
  <c r="B8" i="44"/>
  <c r="AI35" i="23"/>
  <c r="O103" i="29"/>
  <c r="R103" i="29" s="1"/>
  <c r="O104" i="29"/>
  <c r="R104" i="29" s="1"/>
  <c r="O105" i="29"/>
  <c r="R105" i="29" s="1"/>
  <c r="O106" i="29"/>
  <c r="R106" i="29" s="1"/>
  <c r="O107" i="29"/>
  <c r="R107" i="29" s="1"/>
  <c r="O108" i="29"/>
  <c r="R108" i="29" s="1"/>
  <c r="O109" i="29"/>
  <c r="R109" i="29" s="1"/>
  <c r="O110" i="29"/>
  <c r="R110" i="29" s="1"/>
  <c r="O111" i="29"/>
  <c r="R111" i="29" s="1"/>
  <c r="O112" i="29"/>
  <c r="R112" i="29" s="1"/>
  <c r="O113" i="29"/>
  <c r="R113" i="29" s="1"/>
  <c r="O114" i="29"/>
  <c r="R114" i="29" s="1"/>
  <c r="O115" i="29"/>
  <c r="R115" i="29" s="1"/>
  <c r="O116" i="29"/>
  <c r="R116" i="29" s="1"/>
  <c r="O117" i="29"/>
  <c r="R117" i="29" s="1"/>
  <c r="O118" i="29"/>
  <c r="R118" i="29" s="1"/>
  <c r="O119" i="29"/>
  <c r="R119" i="29" s="1"/>
  <c r="O120" i="29"/>
  <c r="R120" i="29" s="1"/>
  <c r="O121" i="29"/>
  <c r="R121" i="29" s="1"/>
  <c r="O122" i="29"/>
  <c r="R122" i="29" s="1"/>
  <c r="O123" i="29"/>
  <c r="R123" i="29" s="1"/>
  <c r="O124" i="29"/>
  <c r="R124" i="29" s="1"/>
  <c r="O125" i="29"/>
  <c r="R125" i="29" s="1"/>
  <c r="O126" i="29"/>
  <c r="R126" i="29" s="1"/>
  <c r="O127" i="29"/>
  <c r="R127" i="29" s="1"/>
  <c r="O128" i="29"/>
  <c r="R128" i="29" s="1"/>
  <c r="O129" i="29"/>
  <c r="R129" i="29" s="1"/>
  <c r="O130" i="29"/>
  <c r="R130" i="29" s="1"/>
  <c r="O131" i="29"/>
  <c r="R131" i="29" s="1"/>
  <c r="O132" i="29"/>
  <c r="R132" i="29" s="1"/>
  <c r="O133" i="29"/>
  <c r="R133" i="29" s="1"/>
  <c r="O134" i="29"/>
  <c r="R134" i="29" s="1"/>
  <c r="O135" i="29"/>
  <c r="R135" i="29" s="1"/>
  <c r="O136" i="29"/>
  <c r="R136" i="29" s="1"/>
  <c r="O137" i="29"/>
  <c r="R137" i="29" s="1"/>
  <c r="O138" i="29"/>
  <c r="R138" i="29" s="1"/>
  <c r="O139" i="29"/>
  <c r="R139" i="29" s="1"/>
  <c r="O102" i="29"/>
  <c r="R102" i="29" s="1"/>
  <c r="AJ132" i="23" l="1"/>
  <c r="AJ131" i="23"/>
  <c r="AI88" i="23" l="1"/>
  <c r="AI84" i="23"/>
  <c r="C23" i="43"/>
  <c r="C12" i="43"/>
  <c r="R38" i="42" l="1"/>
  <c r="C38" i="42"/>
  <c r="E24" i="37" l="1"/>
  <c r="S9" i="37"/>
  <c r="AC9" i="37"/>
  <c r="AC6" i="37"/>
  <c r="K54" i="37"/>
  <c r="V54" i="37" s="1"/>
  <c r="I32" i="37"/>
  <c r="Q31" i="37"/>
  <c r="Q30" i="37"/>
  <c r="Q29" i="37"/>
  <c r="Q28" i="37"/>
  <c r="Z20" i="37"/>
  <c r="AC21" i="37" s="1"/>
  <c r="Z19" i="37"/>
  <c r="AC20" i="37" s="1"/>
  <c r="Z14" i="37"/>
  <c r="AC15" i="37" s="1"/>
  <c r="Z12" i="37"/>
  <c r="AC13" i="37" s="1"/>
  <c r="Z10" i="37"/>
  <c r="AC11" i="37" s="1"/>
  <c r="Z7" i="37"/>
  <c r="AC7" i="37" s="1"/>
  <c r="F92" i="23"/>
  <c r="AL16" i="37" s="1"/>
  <c r="E25" i="37" s="1"/>
  <c r="AB92" i="23"/>
  <c r="G28" i="27" s="1"/>
  <c r="Z92" i="23"/>
  <c r="AL13" i="37" s="1"/>
  <c r="X92" i="23"/>
  <c r="AL12" i="37" s="1"/>
  <c r="V92" i="23"/>
  <c r="AL11" i="37" s="1"/>
  <c r="T92" i="23"/>
  <c r="AL10" i="37" s="1"/>
  <c r="R92" i="23"/>
  <c r="AL9" i="37" s="1"/>
  <c r="P92" i="23"/>
  <c r="G22" i="27" s="1"/>
  <c r="N92" i="23"/>
  <c r="AL7" i="37" s="1"/>
  <c r="L92" i="23"/>
  <c r="AL6" i="37" s="1"/>
  <c r="J92" i="23"/>
  <c r="AL5" i="37" s="1"/>
  <c r="H92" i="23"/>
  <c r="AL4" i="37" s="1"/>
  <c r="Q32" i="37" l="1"/>
  <c r="G23" i="27"/>
  <c r="G18" i="27"/>
  <c r="G24" i="27"/>
  <c r="G19" i="27"/>
  <c r="G25" i="27"/>
  <c r="G20" i="27"/>
  <c r="G26" i="27"/>
  <c r="G21" i="27"/>
  <c r="G27" i="27"/>
  <c r="AL8" i="37"/>
  <c r="AL14" i="37"/>
  <c r="G17" i="27"/>
  <c r="W30" i="37"/>
  <c r="AL3" i="37"/>
  <c r="T37" i="42" l="1"/>
  <c r="Q36" i="42"/>
  <c r="Q28" i="42"/>
  <c r="AT107" i="42" l="1"/>
  <c r="AV107" i="42"/>
  <c r="AX107" i="42" s="1"/>
  <c r="AA159" i="23" l="1"/>
  <c r="AV9" i="42" l="1"/>
  <c r="AX9" i="42" s="1"/>
  <c r="AV10" i="42"/>
  <c r="AX10" i="42" s="1"/>
  <c r="AV11" i="42"/>
  <c r="AX11" i="42" s="1"/>
  <c r="AV12" i="42"/>
  <c r="AX12" i="42" s="1"/>
  <c r="AV13" i="42"/>
  <c r="AX13" i="42" s="1"/>
  <c r="AV14" i="42"/>
  <c r="AX14" i="42" s="1"/>
  <c r="AV15" i="42"/>
  <c r="AX15" i="42" s="1"/>
  <c r="AV16" i="42"/>
  <c r="AX16" i="42" s="1"/>
  <c r="AV17" i="42"/>
  <c r="AX17" i="42" s="1"/>
  <c r="AV18" i="42"/>
  <c r="AX18" i="42" s="1"/>
  <c r="AV19" i="42"/>
  <c r="AX19" i="42" s="1"/>
  <c r="AV20" i="42"/>
  <c r="AX20" i="42" s="1"/>
  <c r="AV21" i="42"/>
  <c r="AX21" i="42" s="1"/>
  <c r="AV22" i="42"/>
  <c r="AX22" i="42" s="1"/>
  <c r="AV23" i="42"/>
  <c r="AX23" i="42" s="1"/>
  <c r="AV24" i="42"/>
  <c r="AX24" i="42" s="1"/>
  <c r="AV25" i="42"/>
  <c r="AX25" i="42" s="1"/>
  <c r="AV26" i="42"/>
  <c r="AX26" i="42" s="1"/>
  <c r="AV27" i="42"/>
  <c r="AX27" i="42" s="1"/>
  <c r="AV28" i="42"/>
  <c r="AX28" i="42" s="1"/>
  <c r="AV29" i="42"/>
  <c r="AX29" i="42" s="1"/>
  <c r="AV30" i="42"/>
  <c r="AX30" i="42" s="1"/>
  <c r="AV31" i="42"/>
  <c r="AX31" i="42" s="1"/>
  <c r="AV32" i="42"/>
  <c r="AX32" i="42" s="1"/>
  <c r="AV33" i="42"/>
  <c r="AX33" i="42" s="1"/>
  <c r="AV34" i="42"/>
  <c r="AX34" i="42" s="1"/>
  <c r="AV35" i="42"/>
  <c r="AX35" i="42" s="1"/>
  <c r="AV36" i="42"/>
  <c r="AX36" i="42" s="1"/>
  <c r="AV37" i="42"/>
  <c r="AX37" i="42" s="1"/>
  <c r="AV38" i="42"/>
  <c r="AX38" i="42" s="1"/>
  <c r="AV39" i="42"/>
  <c r="AX39" i="42" s="1"/>
  <c r="AV40" i="42"/>
  <c r="AX40" i="42" s="1"/>
  <c r="AV41" i="42"/>
  <c r="AX41" i="42" s="1"/>
  <c r="AV42" i="42"/>
  <c r="AX42" i="42" s="1"/>
  <c r="AV43" i="42"/>
  <c r="AX43" i="42" s="1"/>
  <c r="AV44" i="42"/>
  <c r="AX44" i="42" s="1"/>
  <c r="AV45" i="42"/>
  <c r="AX45" i="42" s="1"/>
  <c r="AV46" i="42"/>
  <c r="AX46" i="42" s="1"/>
  <c r="AV47" i="42"/>
  <c r="AX47" i="42" s="1"/>
  <c r="AV48" i="42"/>
  <c r="AX48" i="42" s="1"/>
  <c r="AV49" i="42"/>
  <c r="AX49" i="42" s="1"/>
  <c r="AV50" i="42"/>
  <c r="AX50" i="42" s="1"/>
  <c r="AV51" i="42"/>
  <c r="AX51" i="42" s="1"/>
  <c r="AV52" i="42"/>
  <c r="AX52" i="42" s="1"/>
  <c r="AV53" i="42"/>
  <c r="AX53" i="42" s="1"/>
  <c r="AV54" i="42"/>
  <c r="AX54" i="42" s="1"/>
  <c r="AV55" i="42"/>
  <c r="AX55" i="42" s="1"/>
  <c r="AV56" i="42"/>
  <c r="AX56" i="42" s="1"/>
  <c r="AV57" i="42"/>
  <c r="AX57" i="42" s="1"/>
  <c r="AV58" i="42"/>
  <c r="AX58" i="42" s="1"/>
  <c r="AV59" i="42"/>
  <c r="AX59" i="42" s="1"/>
  <c r="AV60" i="42"/>
  <c r="AX60" i="42" s="1"/>
  <c r="AV61" i="42"/>
  <c r="AX61" i="42" s="1"/>
  <c r="AV62" i="42"/>
  <c r="AX62" i="42" s="1"/>
  <c r="AV63" i="42"/>
  <c r="AX63" i="42" s="1"/>
  <c r="AV64" i="42"/>
  <c r="AX64" i="42" s="1"/>
  <c r="AV65" i="42"/>
  <c r="AX65" i="42" s="1"/>
  <c r="AV66" i="42"/>
  <c r="AX66" i="42" s="1"/>
  <c r="AV67" i="42"/>
  <c r="AX67" i="42" s="1"/>
  <c r="AV68" i="42"/>
  <c r="AX68" i="42" s="1"/>
  <c r="AV69" i="42"/>
  <c r="AX69" i="42" s="1"/>
  <c r="AV70" i="42"/>
  <c r="AX70" i="42" s="1"/>
  <c r="AV71" i="42"/>
  <c r="AX71" i="42" s="1"/>
  <c r="AV72" i="42"/>
  <c r="AX72" i="42" s="1"/>
  <c r="AV73" i="42"/>
  <c r="AX73" i="42" s="1"/>
  <c r="AV74" i="42"/>
  <c r="AX74" i="42" s="1"/>
  <c r="AV75" i="42"/>
  <c r="AX75" i="42" s="1"/>
  <c r="AV76" i="42"/>
  <c r="AX76" i="42" s="1"/>
  <c r="AV77" i="42"/>
  <c r="AX77" i="42" s="1"/>
  <c r="AV78" i="42"/>
  <c r="AX78" i="42" s="1"/>
  <c r="AV79" i="42"/>
  <c r="AX79" i="42" s="1"/>
  <c r="AV80" i="42"/>
  <c r="AX80" i="42" s="1"/>
  <c r="AV81" i="42"/>
  <c r="AX81" i="42" s="1"/>
  <c r="AV82" i="42"/>
  <c r="AX82" i="42" s="1"/>
  <c r="AV83" i="42"/>
  <c r="AX83" i="42" s="1"/>
  <c r="AV84" i="42"/>
  <c r="AX84" i="42" s="1"/>
  <c r="AV85" i="42"/>
  <c r="AX85" i="42" s="1"/>
  <c r="AV86" i="42"/>
  <c r="AX86" i="42" s="1"/>
  <c r="AV87" i="42"/>
  <c r="AX87" i="42" s="1"/>
  <c r="AV88" i="42"/>
  <c r="AX88" i="42" s="1"/>
  <c r="AV89" i="42"/>
  <c r="AX89" i="42" s="1"/>
  <c r="AV90" i="42"/>
  <c r="AX90" i="42" s="1"/>
  <c r="AV91" i="42"/>
  <c r="AX91" i="42" s="1"/>
  <c r="AV92" i="42"/>
  <c r="AX92" i="42" s="1"/>
  <c r="AV93" i="42"/>
  <c r="AX93" i="42" s="1"/>
  <c r="AV94" i="42"/>
  <c r="AX94" i="42" s="1"/>
  <c r="AV95" i="42"/>
  <c r="AX95" i="42" s="1"/>
  <c r="AV96" i="42"/>
  <c r="AX96" i="42" s="1"/>
  <c r="AV97" i="42"/>
  <c r="AX97" i="42" s="1"/>
  <c r="AV98" i="42"/>
  <c r="AX98" i="42" s="1"/>
  <c r="AV99" i="42"/>
  <c r="AX99" i="42" s="1"/>
  <c r="AV100" i="42"/>
  <c r="AX100" i="42" s="1"/>
  <c r="AV101" i="42"/>
  <c r="AX101" i="42" s="1"/>
  <c r="AV102" i="42"/>
  <c r="AX102" i="42" s="1"/>
  <c r="AV103" i="42"/>
  <c r="AX103" i="42" s="1"/>
  <c r="AV104" i="42"/>
  <c r="AX104" i="42" s="1"/>
  <c r="AV105" i="42"/>
  <c r="AX105" i="42" s="1"/>
  <c r="AV106" i="42"/>
  <c r="AX106" i="42" s="1"/>
  <c r="K3" i="42" l="1"/>
  <c r="D10" i="23"/>
  <c r="L12" i="23" l="1"/>
  <c r="AI2" i="23"/>
  <c r="T56" i="42" l="1"/>
  <c r="D56" i="42" s="1"/>
  <c r="T55" i="42"/>
  <c r="D55" i="42" s="1"/>
  <c r="T54" i="42"/>
  <c r="D54" i="42" s="1"/>
  <c r="T53" i="42"/>
  <c r="D53" i="42" s="1"/>
  <c r="T52" i="42"/>
  <c r="D52" i="42" s="1"/>
  <c r="D62" i="42"/>
  <c r="D61" i="42"/>
  <c r="D60" i="42"/>
  <c r="D59" i="42"/>
  <c r="J35" i="38"/>
  <c r="T2" i="38"/>
  <c r="AI151" i="23"/>
  <c r="AI150" i="23"/>
  <c r="AI149" i="23"/>
  <c r="AI157" i="23"/>
  <c r="AI156" i="23"/>
  <c r="AI155" i="23"/>
  <c r="O101" i="29"/>
  <c r="R101" i="29" s="1"/>
  <c r="O100" i="29"/>
  <c r="R100" i="29" s="1"/>
  <c r="O99" i="29"/>
  <c r="R99" i="29" s="1"/>
  <c r="O98" i="29"/>
  <c r="R98" i="29" s="1"/>
  <c r="O97" i="29"/>
  <c r="R97" i="29" s="1"/>
  <c r="O96" i="29"/>
  <c r="R96" i="29" s="1"/>
  <c r="O95" i="29"/>
  <c r="R95" i="29" s="1"/>
  <c r="O94" i="29"/>
  <c r="R94" i="29" s="1"/>
  <c r="O93" i="29"/>
  <c r="R93" i="29" s="1"/>
  <c r="O92" i="29"/>
  <c r="R92" i="29" s="1"/>
  <c r="O91" i="29"/>
  <c r="R91" i="29" s="1"/>
  <c r="O90" i="29"/>
  <c r="R90" i="29" s="1"/>
  <c r="O89" i="29"/>
  <c r="R89" i="29" s="1"/>
  <c r="O88" i="29"/>
  <c r="R88" i="29" s="1"/>
  <c r="O87" i="29"/>
  <c r="R87" i="29" s="1"/>
  <c r="O86" i="29"/>
  <c r="R86" i="29" s="1"/>
  <c r="O85" i="29"/>
  <c r="R85" i="29" s="1"/>
  <c r="O84" i="29"/>
  <c r="R84" i="29" s="1"/>
  <c r="O83" i="29"/>
  <c r="R83" i="29" s="1"/>
  <c r="O82" i="29"/>
  <c r="R82" i="29" s="1"/>
  <c r="O81" i="29"/>
  <c r="R81" i="29" s="1"/>
  <c r="O80" i="29"/>
  <c r="R80" i="29" s="1"/>
  <c r="O79" i="29"/>
  <c r="R79" i="29" s="1"/>
  <c r="O78" i="29"/>
  <c r="R78" i="29" s="1"/>
  <c r="O77" i="29"/>
  <c r="R77" i="29" s="1"/>
  <c r="O76" i="29"/>
  <c r="R76" i="29" s="1"/>
  <c r="O75" i="29"/>
  <c r="R75" i="29" s="1"/>
  <c r="O74" i="29"/>
  <c r="R74" i="29" s="1"/>
  <c r="O73" i="29"/>
  <c r="R73" i="29" s="1"/>
  <c r="O72" i="29"/>
  <c r="R72" i="29" s="1"/>
  <c r="O71" i="29"/>
  <c r="R71" i="29" s="1"/>
  <c r="O70" i="29"/>
  <c r="R70" i="29" s="1"/>
  <c r="O69" i="29"/>
  <c r="R69" i="29" s="1"/>
  <c r="O68" i="29"/>
  <c r="R68" i="29" s="1"/>
  <c r="O67" i="29"/>
  <c r="R67" i="29" s="1"/>
  <c r="O66" i="29"/>
  <c r="R66" i="29" s="1"/>
  <c r="O65" i="29"/>
  <c r="R65" i="29" s="1"/>
  <c r="O64" i="29"/>
  <c r="R64" i="29" s="1"/>
  <c r="O63" i="29"/>
  <c r="R63" i="29" s="1"/>
  <c r="O62" i="29"/>
  <c r="R62" i="29" s="1"/>
  <c r="O61" i="29"/>
  <c r="R61" i="29" s="1"/>
  <c r="O60" i="29"/>
  <c r="R60" i="29" s="1"/>
  <c r="O59" i="29"/>
  <c r="R59" i="29" s="1"/>
  <c r="O58" i="29"/>
  <c r="R58" i="29" s="1"/>
  <c r="O57" i="29"/>
  <c r="R57" i="29" s="1"/>
  <c r="O56" i="29"/>
  <c r="R56" i="29" s="1"/>
  <c r="O55" i="29"/>
  <c r="R55" i="29" s="1"/>
  <c r="O54" i="29"/>
  <c r="R54" i="29" s="1"/>
  <c r="O53" i="29"/>
  <c r="R53" i="29" s="1"/>
  <c r="O52" i="29"/>
  <c r="R52" i="29" s="1"/>
  <c r="O51" i="29"/>
  <c r="R51" i="29" s="1"/>
  <c r="O50" i="29"/>
  <c r="R50" i="29" s="1"/>
  <c r="O49" i="29"/>
  <c r="R49" i="29" s="1"/>
  <c r="O48" i="29"/>
  <c r="R48" i="29" s="1"/>
  <c r="O47" i="29"/>
  <c r="R47" i="29" s="1"/>
  <c r="O46" i="29"/>
  <c r="R46" i="29" s="1"/>
  <c r="O45" i="29"/>
  <c r="R45" i="29" s="1"/>
  <c r="O44" i="29"/>
  <c r="R44" i="29" s="1"/>
  <c r="O43" i="29"/>
  <c r="R43" i="29" s="1"/>
  <c r="O42" i="29"/>
  <c r="R42" i="29" s="1"/>
  <c r="O41" i="29"/>
  <c r="R41" i="29" s="1"/>
  <c r="O40" i="29"/>
  <c r="R40" i="29" s="1"/>
  <c r="O39" i="29"/>
  <c r="R39" i="29" s="1"/>
  <c r="O38" i="29"/>
  <c r="R38" i="29" s="1"/>
  <c r="O37" i="29"/>
  <c r="R37" i="29" s="1"/>
  <c r="O36" i="29"/>
  <c r="R36" i="29" s="1"/>
  <c r="O35" i="29"/>
  <c r="R35" i="29" s="1"/>
  <c r="O34" i="29"/>
  <c r="R34" i="29" s="1"/>
  <c r="O33" i="29"/>
  <c r="R33" i="29" s="1"/>
  <c r="O32" i="29"/>
  <c r="R32" i="29" s="1"/>
  <c r="O31" i="29"/>
  <c r="R31" i="29" s="1"/>
  <c r="O30" i="29"/>
  <c r="R30" i="29" s="1"/>
  <c r="O29" i="29"/>
  <c r="R29" i="29" s="1"/>
  <c r="O28" i="29"/>
  <c r="R28" i="29" s="1"/>
  <c r="O27" i="29"/>
  <c r="R27" i="29" s="1"/>
  <c r="O26" i="29"/>
  <c r="R26" i="29" s="1"/>
  <c r="O25" i="29"/>
  <c r="R25" i="29" s="1"/>
  <c r="O24" i="29"/>
  <c r="R24" i="29" s="1"/>
  <c r="O23" i="29"/>
  <c r="R23" i="29" s="1"/>
  <c r="O22" i="29"/>
  <c r="R22" i="29" s="1"/>
  <c r="O21" i="29"/>
  <c r="R21" i="29" s="1"/>
  <c r="O20" i="29"/>
  <c r="R20" i="29" s="1"/>
  <c r="O19" i="29"/>
  <c r="R19" i="29" s="1"/>
  <c r="O18" i="29"/>
  <c r="R18" i="29" s="1"/>
  <c r="O17" i="29"/>
  <c r="R17" i="29" s="1"/>
  <c r="O16" i="29"/>
  <c r="R16" i="29" s="1"/>
  <c r="O15" i="29"/>
  <c r="R15" i="29" s="1"/>
  <c r="O14" i="29"/>
  <c r="R14" i="29" s="1"/>
  <c r="O13" i="29"/>
  <c r="R13" i="29" s="1"/>
  <c r="O12" i="29"/>
  <c r="R12" i="29" s="1"/>
  <c r="O11" i="29"/>
  <c r="R11" i="29" s="1"/>
  <c r="O10" i="29"/>
  <c r="R10" i="29" s="1"/>
  <c r="O9" i="29"/>
  <c r="R9" i="29" s="1"/>
  <c r="O8" i="29"/>
  <c r="R8" i="29" s="1"/>
  <c r="O7" i="29"/>
  <c r="R7" i="29" s="1"/>
  <c r="O6" i="29"/>
  <c r="R6" i="29" s="1"/>
  <c r="O5" i="29"/>
  <c r="R5" i="29" s="1"/>
  <c r="O4" i="29"/>
  <c r="R4" i="29" s="1"/>
  <c r="AC35" i="42"/>
  <c r="AC31" i="42"/>
  <c r="T32" i="42"/>
  <c r="T31" i="42"/>
  <c r="Q32" i="42"/>
  <c r="N32" i="42" s="1"/>
  <c r="W32" i="42"/>
  <c r="D32" i="42" s="1"/>
  <c r="AO2" i="40"/>
  <c r="J1" i="40" s="1"/>
  <c r="A54" i="38"/>
  <c r="B22" i="38"/>
  <c r="B63" i="38" s="1"/>
  <c r="R65" i="38" s="1"/>
  <c r="F67" i="38" s="1"/>
  <c r="L2" i="38"/>
  <c r="A204" i="23"/>
  <c r="X204" i="23" s="1"/>
  <c r="A201" i="23"/>
  <c r="X201" i="23" s="1"/>
  <c r="A198" i="23"/>
  <c r="R198" i="23" s="1"/>
  <c r="A195" i="23"/>
  <c r="AB195" i="23" s="1"/>
  <c r="A192" i="23"/>
  <c r="X192" i="23" s="1"/>
  <c r="AI210" i="23"/>
  <c r="AI158" i="23"/>
  <c r="AI153" i="23"/>
  <c r="AI152" i="23"/>
  <c r="AA141" i="23"/>
  <c r="AI141" i="23" s="1"/>
  <c r="AI140" i="23"/>
  <c r="AA127" i="23"/>
  <c r="AI127" i="23" s="1"/>
  <c r="AI133" i="23"/>
  <c r="AI132" i="23"/>
  <c r="AI131" i="23"/>
  <c r="AI121" i="23"/>
  <c r="AI120" i="23"/>
  <c r="AI119" i="23"/>
  <c r="AI117" i="23"/>
  <c r="AI90" i="23"/>
  <c r="AI111" i="23"/>
  <c r="AI110" i="23"/>
  <c r="AI109" i="23"/>
  <c r="AI107" i="23"/>
  <c r="AI106" i="23"/>
  <c r="AI105" i="23"/>
  <c r="AI103" i="23"/>
  <c r="A91" i="23"/>
  <c r="AI86" i="23"/>
  <c r="AI85" i="23"/>
  <c r="AI81" i="23"/>
  <c r="Q38" i="42" s="1"/>
  <c r="W38" i="42" s="1"/>
  <c r="D38" i="42" s="1"/>
  <c r="AI220" i="23"/>
  <c r="J219" i="23" s="1"/>
  <c r="AJ35" i="23" s="1"/>
  <c r="AI236" i="23"/>
  <c r="AI234" i="23"/>
  <c r="AI233" i="23"/>
  <c r="AI230" i="23"/>
  <c r="AI228" i="23"/>
  <c r="AI63" i="23"/>
  <c r="J62" i="23" s="1"/>
  <c r="AJ20" i="23" s="1"/>
  <c r="H201" i="23"/>
  <c r="F192" i="23"/>
  <c r="N204" i="23"/>
  <c r="F201" i="23"/>
  <c r="N201" i="23"/>
  <c r="AI59" i="23"/>
  <c r="AI57" i="23"/>
  <c r="AI56" i="23"/>
  <c r="AI54" i="23"/>
  <c r="AI53" i="23"/>
  <c r="AI52" i="23"/>
  <c r="B19" i="38"/>
  <c r="B60" i="38" s="1"/>
  <c r="A12" i="38"/>
  <c r="AI67" i="23"/>
  <c r="AE75" i="23"/>
  <c r="AE74" i="23"/>
  <c r="AE73" i="23"/>
  <c r="AE72" i="23"/>
  <c r="AI72" i="23"/>
  <c r="AJ72" i="23"/>
  <c r="AK72" i="23"/>
  <c r="AI73" i="23"/>
  <c r="AJ73" i="23"/>
  <c r="AK73" i="23"/>
  <c r="AI74" i="23"/>
  <c r="AJ74" i="23"/>
  <c r="AK74" i="23"/>
  <c r="AI75" i="23"/>
  <c r="AJ75" i="23"/>
  <c r="AK75" i="23"/>
  <c r="AK71" i="23"/>
  <c r="AJ71" i="23"/>
  <c r="AI71" i="23"/>
  <c r="A2" i="39"/>
  <c r="B3" i="42" s="1"/>
  <c r="AC34" i="42"/>
  <c r="T24" i="42"/>
  <c r="Q23" i="42"/>
  <c r="L99" i="42" s="1"/>
  <c r="M12" i="42"/>
  <c r="L16" i="42"/>
  <c r="K16" i="42"/>
  <c r="J16" i="42"/>
  <c r="I16" i="42"/>
  <c r="H16" i="42"/>
  <c r="G16" i="42"/>
  <c r="F16" i="42"/>
  <c r="F23" i="42"/>
  <c r="D99" i="42" s="1"/>
  <c r="M35" i="39"/>
  <c r="G2" i="39"/>
  <c r="E3" i="41" s="1"/>
  <c r="F3" i="40"/>
  <c r="K49" i="38"/>
  <c r="K48" i="38"/>
  <c r="L44" i="38"/>
  <c r="K7" i="38"/>
  <c r="K6" i="38"/>
  <c r="M4" i="36"/>
  <c r="AC73" i="42"/>
  <c r="F73" i="42"/>
  <c r="W73" i="42" s="1"/>
  <c r="W72" i="42"/>
  <c r="T72" i="42"/>
  <c r="D72" i="42" s="1"/>
  <c r="J72" i="42"/>
  <c r="W71" i="42"/>
  <c r="T71" i="42"/>
  <c r="D71" i="42" s="1"/>
  <c r="J71" i="42"/>
  <c r="W70" i="42"/>
  <c r="T70" i="42"/>
  <c r="D70" i="42" s="1"/>
  <c r="J70" i="42"/>
  <c r="W69" i="42"/>
  <c r="T69" i="42"/>
  <c r="D69" i="42" s="1"/>
  <c r="J69" i="42"/>
  <c r="W68" i="42"/>
  <c r="T68" i="42"/>
  <c r="D68" i="42" s="1"/>
  <c r="J68" i="42"/>
  <c r="AT106" i="42"/>
  <c r="W67" i="42"/>
  <c r="T67" i="42"/>
  <c r="D67" i="42" s="1"/>
  <c r="J67" i="42"/>
  <c r="AT105" i="42"/>
  <c r="W66" i="42"/>
  <c r="T66" i="42"/>
  <c r="D66" i="42" s="1"/>
  <c r="J66" i="42"/>
  <c r="AT104" i="42"/>
  <c r="W65" i="42"/>
  <c r="T65" i="42"/>
  <c r="D65" i="42" s="1"/>
  <c r="J65" i="42"/>
  <c r="AT103" i="42"/>
  <c r="W64" i="42"/>
  <c r="T64" i="42"/>
  <c r="D64" i="42" s="1"/>
  <c r="J64" i="42"/>
  <c r="AT102" i="42"/>
  <c r="W63" i="42"/>
  <c r="T63" i="42"/>
  <c r="D63" i="42" s="1"/>
  <c r="J63" i="42"/>
  <c r="AT101" i="42"/>
  <c r="W62" i="42"/>
  <c r="J62" i="42"/>
  <c r="AT100" i="42"/>
  <c r="W61" i="42"/>
  <c r="J61" i="42"/>
  <c r="AT99" i="42"/>
  <c r="W60" i="42"/>
  <c r="J60" i="42"/>
  <c r="AT98" i="42"/>
  <c r="W59" i="42"/>
  <c r="T59" i="42"/>
  <c r="J59" i="42"/>
  <c r="AT97" i="42"/>
  <c r="W58" i="42"/>
  <c r="T58" i="42"/>
  <c r="D58" i="42" s="1"/>
  <c r="J58" i="42"/>
  <c r="AT96" i="42"/>
  <c r="W57" i="42"/>
  <c r="T57" i="42"/>
  <c r="D57" i="42" s="1"/>
  <c r="J57" i="42"/>
  <c r="AT95" i="42"/>
  <c r="AT94" i="42"/>
  <c r="AT93" i="42"/>
  <c r="AT92" i="42"/>
  <c r="AT91" i="42"/>
  <c r="AT90" i="42"/>
  <c r="AT89" i="42"/>
  <c r="AT88" i="42"/>
  <c r="AT87" i="42"/>
  <c r="AT86" i="42"/>
  <c r="AT85" i="42"/>
  <c r="W56" i="42"/>
  <c r="J56" i="42"/>
  <c r="AT84" i="42"/>
  <c r="W55" i="42"/>
  <c r="J55" i="42"/>
  <c r="AT83" i="42"/>
  <c r="W54" i="42"/>
  <c r="J54" i="42"/>
  <c r="AT82" i="42"/>
  <c r="W53" i="42"/>
  <c r="J53" i="42"/>
  <c r="AT81" i="42"/>
  <c r="W52" i="42"/>
  <c r="J52" i="42"/>
  <c r="AT80" i="42"/>
  <c r="AT79" i="42"/>
  <c r="AT78" i="42"/>
  <c r="AT77" i="42"/>
  <c r="AT76" i="42"/>
  <c r="AT75" i="42"/>
  <c r="AT74" i="42"/>
  <c r="AT73" i="42"/>
  <c r="AT72" i="42"/>
  <c r="AT71" i="42"/>
  <c r="AT70" i="42"/>
  <c r="AT69" i="42"/>
  <c r="AT68" i="42"/>
  <c r="AT67" i="42"/>
  <c r="AT66" i="42"/>
  <c r="AT65" i="42"/>
  <c r="AT64" i="42"/>
  <c r="AT63" i="42"/>
  <c r="AT62" i="42"/>
  <c r="AT61" i="42"/>
  <c r="AT60" i="42"/>
  <c r="AT59" i="42"/>
  <c r="AT58" i="42"/>
  <c r="AT57" i="42"/>
  <c r="AT56" i="42"/>
  <c r="AT55" i="42"/>
  <c r="T48" i="42"/>
  <c r="AT54" i="42"/>
  <c r="AT53" i="42"/>
  <c r="AT52" i="42"/>
  <c r="AT51" i="42"/>
  <c r="AT50" i="42"/>
  <c r="AT49" i="42"/>
  <c r="AT48" i="42"/>
  <c r="AT47" i="42"/>
  <c r="T47" i="42"/>
  <c r="O47" i="42"/>
  <c r="N47" i="42"/>
  <c r="J47" i="42"/>
  <c r="AT46" i="42"/>
  <c r="T46" i="42"/>
  <c r="O46" i="42"/>
  <c r="N46" i="42"/>
  <c r="J46" i="42"/>
  <c r="AT45" i="42"/>
  <c r="T45" i="42"/>
  <c r="O45" i="42"/>
  <c r="N45" i="42"/>
  <c r="J45" i="42"/>
  <c r="AT44" i="42"/>
  <c r="T44" i="42"/>
  <c r="O44" i="42"/>
  <c r="N44" i="42"/>
  <c r="AT43" i="42"/>
  <c r="T43" i="42"/>
  <c r="O43" i="42"/>
  <c r="N43" i="42"/>
  <c r="J43" i="42"/>
  <c r="AT42" i="42"/>
  <c r="T42" i="42"/>
  <c r="O42" i="42"/>
  <c r="N42" i="42"/>
  <c r="J42" i="42"/>
  <c r="AT41" i="42"/>
  <c r="T41" i="42"/>
  <c r="O41" i="42"/>
  <c r="N41" i="42"/>
  <c r="J41" i="42"/>
  <c r="AT40" i="42"/>
  <c r="T40" i="42"/>
  <c r="O40" i="42"/>
  <c r="N40" i="42"/>
  <c r="J40" i="42"/>
  <c r="AT39" i="42"/>
  <c r="T39" i="42"/>
  <c r="O39" i="42"/>
  <c r="N39" i="42"/>
  <c r="J39" i="42"/>
  <c r="AT38" i="42"/>
  <c r="T38" i="42"/>
  <c r="J38" i="42"/>
  <c r="AT37" i="42"/>
  <c r="AT36" i="42"/>
  <c r="W36" i="42"/>
  <c r="D36" i="42" s="1"/>
  <c r="AT35" i="42"/>
  <c r="T35" i="42"/>
  <c r="AT34" i="42"/>
  <c r="T34" i="42"/>
  <c r="J34" i="42"/>
  <c r="AT33" i="42"/>
  <c r="T33" i="42"/>
  <c r="AT32" i="42"/>
  <c r="AT31" i="42"/>
  <c r="W28" i="42"/>
  <c r="D28" i="42" s="1"/>
  <c r="AT30" i="42"/>
  <c r="T27" i="42"/>
  <c r="AT29" i="42"/>
  <c r="T26" i="42"/>
  <c r="AT28" i="42"/>
  <c r="AT27" i="42"/>
  <c r="T23" i="42"/>
  <c r="AT26" i="42"/>
  <c r="T22" i="42"/>
  <c r="Q22" i="42"/>
  <c r="AT25" i="42"/>
  <c r="AT24" i="42"/>
  <c r="AT23" i="42"/>
  <c r="AT22" i="42"/>
  <c r="AT21" i="42"/>
  <c r="AT20" i="42"/>
  <c r="AT19" i="42"/>
  <c r="AT18" i="42"/>
  <c r="M15" i="42"/>
  <c r="AT17" i="42"/>
  <c r="M14" i="42"/>
  <c r="AT16" i="42"/>
  <c r="M13" i="42"/>
  <c r="AT15" i="42"/>
  <c r="AT14" i="42"/>
  <c r="AT13" i="42"/>
  <c r="AT12" i="42"/>
  <c r="BO11" i="42"/>
  <c r="BM11" i="42"/>
  <c r="AT11" i="42"/>
  <c r="M11" i="42"/>
  <c r="N11" i="42" s="1"/>
  <c r="BO10" i="42"/>
  <c r="U35" i="42" s="1"/>
  <c r="AD35" i="42" s="1"/>
  <c r="BM10" i="42"/>
  <c r="AT10" i="42"/>
  <c r="M10" i="42"/>
  <c r="BO9" i="42"/>
  <c r="U31" i="42" s="1"/>
  <c r="AD31" i="42" s="1"/>
  <c r="BM9" i="42"/>
  <c r="AT9" i="42"/>
  <c r="M9" i="42"/>
  <c r="BO8" i="42"/>
  <c r="BM8" i="42"/>
  <c r="AV8" i="42"/>
  <c r="AT8" i="42"/>
  <c r="M8" i="42"/>
  <c r="BO7" i="42"/>
  <c r="U73" i="42" s="1"/>
  <c r="AD73" i="42" s="1"/>
  <c r="BM7" i="42"/>
  <c r="AF73" i="42" s="1"/>
  <c r="D73" i="42" s="1"/>
  <c r="AS7" i="42"/>
  <c r="A85" i="42"/>
  <c r="AS6" i="42"/>
  <c r="A84" i="42" s="1"/>
  <c r="AS5" i="42"/>
  <c r="AS4" i="42"/>
  <c r="A82" i="42" s="1"/>
  <c r="AS3" i="42"/>
  <c r="A81" i="42"/>
  <c r="AS2" i="42"/>
  <c r="AM2" i="42"/>
  <c r="B27" i="41"/>
  <c r="AG107" i="40"/>
  <c r="AF107" i="40"/>
  <c r="AE107" i="40"/>
  <c r="AD107" i="40"/>
  <c r="AC107" i="40"/>
  <c r="AB107" i="40"/>
  <c r="AA107" i="40"/>
  <c r="Z107" i="40"/>
  <c r="Y107" i="40"/>
  <c r="X107" i="40"/>
  <c r="W107" i="40"/>
  <c r="V107" i="40"/>
  <c r="U107" i="40"/>
  <c r="T107" i="40"/>
  <c r="S107" i="40"/>
  <c r="R107" i="40"/>
  <c r="Q107" i="40"/>
  <c r="P107" i="40"/>
  <c r="O107" i="40"/>
  <c r="N107" i="40"/>
  <c r="M107" i="40"/>
  <c r="L107" i="40"/>
  <c r="K107" i="40"/>
  <c r="J107" i="40"/>
  <c r="I107" i="40"/>
  <c r="H107" i="40"/>
  <c r="G107" i="40"/>
  <c r="F107" i="40"/>
  <c r="B106" i="40"/>
  <c r="B105" i="40"/>
  <c r="B104" i="40"/>
  <c r="B103" i="40"/>
  <c r="B102" i="40"/>
  <c r="B101" i="40"/>
  <c r="B100" i="40"/>
  <c r="B99" i="40"/>
  <c r="B98" i="40"/>
  <c r="B97" i="40"/>
  <c r="B96" i="40"/>
  <c r="B95" i="40"/>
  <c r="B94" i="40"/>
  <c r="B93" i="40"/>
  <c r="B92" i="40"/>
  <c r="B91" i="40"/>
  <c r="B90" i="40"/>
  <c r="B89" i="40"/>
  <c r="B88" i="40"/>
  <c r="B87" i="40"/>
  <c r="B86" i="40"/>
  <c r="B85" i="40"/>
  <c r="B84" i="40"/>
  <c r="B83" i="40"/>
  <c r="B82" i="40"/>
  <c r="B81" i="40"/>
  <c r="B80" i="40"/>
  <c r="B79" i="40"/>
  <c r="B78" i="40"/>
  <c r="B77" i="40"/>
  <c r="B76" i="40"/>
  <c r="B75" i="40"/>
  <c r="B74" i="40"/>
  <c r="B73" i="40"/>
  <c r="B72" i="40"/>
  <c r="B71" i="40"/>
  <c r="B70" i="40"/>
  <c r="B69" i="40"/>
  <c r="B68" i="40"/>
  <c r="B67" i="40"/>
  <c r="B66" i="40"/>
  <c r="B65" i="40"/>
  <c r="B64" i="40"/>
  <c r="B63" i="40"/>
  <c r="B62" i="40"/>
  <c r="B61" i="40"/>
  <c r="B60" i="40"/>
  <c r="B59" i="40"/>
  <c r="B58" i="40"/>
  <c r="B57" i="40"/>
  <c r="B56" i="40"/>
  <c r="B55" i="40"/>
  <c r="B54" i="40"/>
  <c r="B53" i="40"/>
  <c r="B52" i="40"/>
  <c r="B51" i="40"/>
  <c r="B50" i="40"/>
  <c r="B49" i="40"/>
  <c r="B48" i="40"/>
  <c r="B47" i="40"/>
  <c r="B46" i="40"/>
  <c r="B45" i="40"/>
  <c r="B44" i="40"/>
  <c r="B43" i="40"/>
  <c r="B42" i="40"/>
  <c r="B41" i="40"/>
  <c r="B40" i="40"/>
  <c r="B39" i="40"/>
  <c r="B38" i="40"/>
  <c r="B37" i="40"/>
  <c r="B36" i="40"/>
  <c r="B35" i="40"/>
  <c r="B34" i="40"/>
  <c r="B33" i="40"/>
  <c r="B32" i="40"/>
  <c r="B31" i="40"/>
  <c r="B30" i="40"/>
  <c r="B29" i="40"/>
  <c r="B28" i="40"/>
  <c r="B27" i="40"/>
  <c r="B26" i="40"/>
  <c r="B25" i="40"/>
  <c r="B24" i="40"/>
  <c r="B23" i="40"/>
  <c r="B22" i="40"/>
  <c r="B21" i="40"/>
  <c r="B20" i="40"/>
  <c r="B19" i="40"/>
  <c r="B18" i="40"/>
  <c r="B17" i="40"/>
  <c r="B16" i="40"/>
  <c r="B15" i="40"/>
  <c r="B14" i="40"/>
  <c r="B13" i="40"/>
  <c r="B12" i="40"/>
  <c r="B11" i="40"/>
  <c r="B10" i="40"/>
  <c r="B9" i="40"/>
  <c r="B8" i="40"/>
  <c r="B7" i="40"/>
  <c r="AH2" i="40"/>
  <c r="Q143" i="39"/>
  <c r="Q142" i="39"/>
  <c r="Q141" i="39"/>
  <c r="Q140" i="39"/>
  <c r="Q139" i="39"/>
  <c r="Q138" i="39"/>
  <c r="N100" i="39"/>
  <c r="N92" i="39"/>
  <c r="N75" i="39"/>
  <c r="G75" i="39" s="1"/>
  <c r="P75" i="39" s="1"/>
  <c r="S64" i="39"/>
  <c r="S55" i="39"/>
  <c r="S43" i="39"/>
  <c r="A38" i="39"/>
  <c r="A39" i="39"/>
  <c r="A40" i="39" s="1"/>
  <c r="A41" i="39" s="1"/>
  <c r="A42" i="39"/>
  <c r="A43" i="39" s="1"/>
  <c r="A44" i="39" s="1"/>
  <c r="A45" i="39" s="1"/>
  <c r="A46" i="39" s="1"/>
  <c r="A47" i="39" s="1"/>
  <c r="A48" i="39" s="1"/>
  <c r="A49" i="39" s="1"/>
  <c r="A50" i="39" s="1"/>
  <c r="A51" i="39" s="1"/>
  <c r="A52" i="39" s="1"/>
  <c r="A53" i="39" s="1"/>
  <c r="A54" i="39" s="1"/>
  <c r="A55" i="39" s="1"/>
  <c r="A56" i="39" s="1"/>
  <c r="A57" i="39" s="1"/>
  <c r="A58" i="39" s="1"/>
  <c r="A59" i="39" s="1"/>
  <c r="A60" i="39" s="1"/>
  <c r="A61" i="39" s="1"/>
  <c r="A62" i="39" s="1"/>
  <c r="A63" i="39" s="1"/>
  <c r="A64" i="39" s="1"/>
  <c r="A65" i="39" s="1"/>
  <c r="A66" i="39" s="1"/>
  <c r="A67" i="39" s="1"/>
  <c r="A68" i="39" s="1"/>
  <c r="A69" i="39" s="1"/>
  <c r="A70" i="39" s="1"/>
  <c r="A71" i="39" s="1"/>
  <c r="A72" i="39" s="1"/>
  <c r="A73" i="39" s="1"/>
  <c r="A74" i="39" s="1"/>
  <c r="A75" i="39" s="1"/>
  <c r="A76" i="39" s="1"/>
  <c r="A77" i="39" s="1"/>
  <c r="A78" i="39" s="1"/>
  <c r="A79" i="39" s="1"/>
  <c r="A80" i="39" s="1"/>
  <c r="A81" i="39" s="1"/>
  <c r="A82" i="39" s="1"/>
  <c r="A83" i="39" s="1"/>
  <c r="A84" i="39" s="1"/>
  <c r="A85" i="39" s="1"/>
  <c r="A86" i="39" s="1"/>
  <c r="A87" i="39" s="1"/>
  <c r="A88" i="39" s="1"/>
  <c r="A89" i="39" s="1"/>
  <c r="A90" i="39" s="1"/>
  <c r="A91" i="39" s="1"/>
  <c r="A92" i="39" s="1"/>
  <c r="A93" i="39" s="1"/>
  <c r="A94" i="39" s="1"/>
  <c r="A95" i="39" s="1"/>
  <c r="A96" i="39" s="1"/>
  <c r="A97" i="39" s="1"/>
  <c r="A98" i="39" s="1"/>
  <c r="A99" i="39" s="1"/>
  <c r="A100" i="39" s="1"/>
  <c r="A101" i="39" s="1"/>
  <c r="A102" i="39" s="1"/>
  <c r="A103" i="39" s="1"/>
  <c r="A104" i="39" s="1"/>
  <c r="A105" i="39" s="1"/>
  <c r="A106" i="39" s="1"/>
  <c r="A107" i="39" s="1"/>
  <c r="A108" i="39" s="1"/>
  <c r="A109" i="39" s="1"/>
  <c r="A110" i="39" s="1"/>
  <c r="A111" i="39" s="1"/>
  <c r="A112" i="39" s="1"/>
  <c r="A113" i="39" s="1"/>
  <c r="A114" i="39" s="1"/>
  <c r="A115" i="39" s="1"/>
  <c r="A116" i="39" s="1"/>
  <c r="A117" i="39" s="1"/>
  <c r="A118" i="39" s="1"/>
  <c r="A119" i="39" s="1"/>
  <c r="A120" i="39" s="1"/>
  <c r="A121" i="39" s="1"/>
  <c r="A122" i="39" s="1"/>
  <c r="A123" i="39" s="1"/>
  <c r="A124" i="39" s="1"/>
  <c r="A125" i="39" s="1"/>
  <c r="A126" i="39" s="1"/>
  <c r="A127" i="39" s="1"/>
  <c r="A128" i="39" s="1"/>
  <c r="A129" i="39" s="1"/>
  <c r="A130" i="39" s="1"/>
  <c r="A131" i="39" s="1"/>
  <c r="A132" i="39" s="1"/>
  <c r="A133" i="39" s="1"/>
  <c r="A134" i="39" s="1"/>
  <c r="A135" i="39" s="1"/>
  <c r="A136" i="39" s="1"/>
  <c r="A137" i="39" s="1"/>
  <c r="M36" i="39"/>
  <c r="B36" i="39"/>
  <c r="W35" i="39"/>
  <c r="V35" i="39"/>
  <c r="U35" i="39"/>
  <c r="T35" i="39"/>
  <c r="T122" i="39"/>
  <c r="P35" i="39"/>
  <c r="N35" i="39"/>
  <c r="N96" i="39" s="1"/>
  <c r="G96" i="39" s="1"/>
  <c r="P96" i="39" s="1"/>
  <c r="N137" i="39"/>
  <c r="L35" i="39"/>
  <c r="L136" i="39"/>
  <c r="J136" i="39"/>
  <c r="X34" i="39"/>
  <c r="X126" i="39" s="1"/>
  <c r="T34" i="39"/>
  <c r="T53" i="39" s="1"/>
  <c r="S34" i="39"/>
  <c r="S113" i="39" s="1"/>
  <c r="S133" i="39"/>
  <c r="R34" i="39"/>
  <c r="R46" i="39" s="1"/>
  <c r="F32" i="39"/>
  <c r="E32" i="39"/>
  <c r="N32" i="39" s="1"/>
  <c r="A32" i="39"/>
  <c r="F31" i="39"/>
  <c r="E31" i="39"/>
  <c r="P31" i="39" s="1"/>
  <c r="A31" i="39"/>
  <c r="F30" i="39"/>
  <c r="E30" i="39"/>
  <c r="N30" i="39" s="1"/>
  <c r="A30" i="39"/>
  <c r="F29" i="39"/>
  <c r="E29" i="39"/>
  <c r="P29" i="39" s="1"/>
  <c r="N29" i="39"/>
  <c r="A29" i="39"/>
  <c r="F28" i="39"/>
  <c r="E28" i="39"/>
  <c r="N28" i="39" s="1"/>
  <c r="A28" i="39"/>
  <c r="L25" i="39"/>
  <c r="L29" i="39" s="1"/>
  <c r="J29" i="39" s="1"/>
  <c r="E6" i="39"/>
  <c r="P74" i="38"/>
  <c r="J67" i="38"/>
  <c r="S69" i="38"/>
  <c r="D67" i="38"/>
  <c r="R69" i="38"/>
  <c r="P33" i="38"/>
  <c r="S27" i="38"/>
  <c r="L82" i="39"/>
  <c r="J82" i="39" s="1"/>
  <c r="S40" i="39"/>
  <c r="N51" i="39"/>
  <c r="N63" i="39"/>
  <c r="N133" i="39"/>
  <c r="G133" i="39" s="1"/>
  <c r="P133" i="39" s="1"/>
  <c r="R38" i="39"/>
  <c r="N43" i="39"/>
  <c r="S47" i="39"/>
  <c r="N52" i="39"/>
  <c r="G52" i="39" s="1"/>
  <c r="P52" i="39" s="1"/>
  <c r="L58" i="39"/>
  <c r="R67" i="39"/>
  <c r="S72" i="39"/>
  <c r="N76" i="39"/>
  <c r="N80" i="39"/>
  <c r="N84" i="39"/>
  <c r="S88" i="39"/>
  <c r="N95" i="39"/>
  <c r="N99" i="39"/>
  <c r="N103" i="39"/>
  <c r="N106" i="39"/>
  <c r="S121" i="39"/>
  <c r="S137" i="39"/>
  <c r="L78" i="39"/>
  <c r="J78" i="39"/>
  <c r="L86" i="39"/>
  <c r="J86" i="39" s="1"/>
  <c r="L46" i="39"/>
  <c r="N56" i="39"/>
  <c r="N67" i="39"/>
  <c r="N71" i="39"/>
  <c r="S75" i="39"/>
  <c r="S79" i="39"/>
  <c r="S83" i="39"/>
  <c r="S87" i="39"/>
  <c r="R102" i="39"/>
  <c r="N104" i="39"/>
  <c r="N117" i="39"/>
  <c r="S31" i="39"/>
  <c r="N48" i="39"/>
  <c r="L54" i="39"/>
  <c r="S59" i="39"/>
  <c r="S63" i="39"/>
  <c r="S67" i="39"/>
  <c r="S71" i="39"/>
  <c r="S76" i="39"/>
  <c r="S80" i="39"/>
  <c r="S84" i="39"/>
  <c r="N91" i="39"/>
  <c r="S95" i="39"/>
  <c r="S99" i="39"/>
  <c r="S103" i="39"/>
  <c r="R128" i="39"/>
  <c r="R23" i="38"/>
  <c r="B25" i="38" s="1"/>
  <c r="BI3" i="42"/>
  <c r="BA3" i="42"/>
  <c r="BC3" i="42"/>
  <c r="R54" i="39"/>
  <c r="R82" i="39"/>
  <c r="L28" i="39"/>
  <c r="L42" i="39"/>
  <c r="L62" i="39"/>
  <c r="J62" i="39" s="1"/>
  <c r="L66" i="39"/>
  <c r="J66" i="39" s="1"/>
  <c r="L70" i="39"/>
  <c r="J70" i="39" s="1"/>
  <c r="R86" i="39"/>
  <c r="T89" i="39"/>
  <c r="L107" i="39"/>
  <c r="J107" i="39" s="1"/>
  <c r="R117" i="39"/>
  <c r="L123" i="39"/>
  <c r="J123" i="39" s="1"/>
  <c r="P28" i="39"/>
  <c r="N39" i="39"/>
  <c r="N40" i="39"/>
  <c r="G40" i="39" s="1"/>
  <c r="P40" i="39" s="1"/>
  <c r="N44" i="39"/>
  <c r="N47" i="39"/>
  <c r="G47" i="39" s="1"/>
  <c r="P47" i="39" s="1"/>
  <c r="R51" i="39"/>
  <c r="S52" i="39"/>
  <c r="N55" i="39"/>
  <c r="N59" i="39"/>
  <c r="G59" i="39" s="1"/>
  <c r="P59" i="39" s="1"/>
  <c r="N60" i="39"/>
  <c r="R62" i="39"/>
  <c r="N64" i="39"/>
  <c r="G64" i="39" s="1"/>
  <c r="P64" i="39" s="1"/>
  <c r="N68" i="39"/>
  <c r="R75" i="39"/>
  <c r="R76" i="39"/>
  <c r="N79" i="39"/>
  <c r="N83" i="39"/>
  <c r="G83" i="39" s="1"/>
  <c r="P83" i="39" s="1"/>
  <c r="N87" i="39"/>
  <c r="G87" i="39" s="1"/>
  <c r="P87" i="39" s="1"/>
  <c r="N88" i="39"/>
  <c r="L90" i="39"/>
  <c r="J90" i="39" s="1"/>
  <c r="S91" i="39"/>
  <c r="S92" i="39"/>
  <c r="S96" i="39"/>
  <c r="R99" i="39"/>
  <c r="S100" i="39"/>
  <c r="S105" i="39"/>
  <c r="N109" i="39"/>
  <c r="T114" i="39"/>
  <c r="R120" i="39"/>
  <c r="N125" i="39"/>
  <c r="P32" i="39"/>
  <c r="T97" i="39"/>
  <c r="L38" i="39"/>
  <c r="R40" i="39"/>
  <c r="R47" i="39"/>
  <c r="L50" i="39"/>
  <c r="T57" i="39"/>
  <c r="R60" i="39"/>
  <c r="R64" i="39"/>
  <c r="L74" i="39"/>
  <c r="J74" i="39"/>
  <c r="R87" i="39"/>
  <c r="L94" i="39"/>
  <c r="J94" i="39" s="1"/>
  <c r="L98" i="39"/>
  <c r="J98" i="39" s="1"/>
  <c r="L102" i="39"/>
  <c r="J102" i="39"/>
  <c r="R109" i="39"/>
  <c r="L115" i="39"/>
  <c r="J115" i="39"/>
  <c r="L131" i="39"/>
  <c r="J131" i="39" s="1"/>
  <c r="O34" i="38"/>
  <c r="H75" i="38"/>
  <c r="X45" i="39"/>
  <c r="X73" i="39"/>
  <c r="T85" i="39"/>
  <c r="X89" i="39"/>
  <c r="X110" i="39"/>
  <c r="X118" i="39"/>
  <c r="X136" i="39"/>
  <c r="X132" i="39"/>
  <c r="X128" i="39"/>
  <c r="X124" i="39"/>
  <c r="X120" i="39"/>
  <c r="X116" i="39"/>
  <c r="X112" i="39"/>
  <c r="X108" i="39"/>
  <c r="X104" i="39"/>
  <c r="X137" i="39"/>
  <c r="X133" i="39"/>
  <c r="X129" i="39"/>
  <c r="X125" i="39"/>
  <c r="X121" i="39"/>
  <c r="X117" i="39"/>
  <c r="X113" i="39"/>
  <c r="X109" i="39"/>
  <c r="X105" i="39"/>
  <c r="X135" i="39"/>
  <c r="X127" i="39"/>
  <c r="X119" i="39"/>
  <c r="X111" i="39"/>
  <c r="X102" i="39"/>
  <c r="X98" i="39"/>
  <c r="X94" i="39"/>
  <c r="X90" i="39"/>
  <c r="X86" i="39"/>
  <c r="X82" i="39"/>
  <c r="X78" i="39"/>
  <c r="X74" i="39"/>
  <c r="X70" i="39"/>
  <c r="X66" i="39"/>
  <c r="X62" i="39"/>
  <c r="X54" i="39"/>
  <c r="X50" i="39"/>
  <c r="X38" i="39"/>
  <c r="X130" i="39"/>
  <c r="X122" i="39"/>
  <c r="X114" i="39"/>
  <c r="X106" i="39"/>
  <c r="X103" i="39"/>
  <c r="X99" i="39"/>
  <c r="X95" i="39"/>
  <c r="X91" i="39"/>
  <c r="X87" i="39"/>
  <c r="X83" i="39"/>
  <c r="X79" i="39"/>
  <c r="X75" i="39"/>
  <c r="X71" i="39"/>
  <c r="X67" i="39"/>
  <c r="X63" i="39"/>
  <c r="X59" i="39"/>
  <c r="X55" i="39"/>
  <c r="X47" i="39"/>
  <c r="X43" i="39"/>
  <c r="X39" i="39"/>
  <c r="X68" i="39"/>
  <c r="X64" i="39"/>
  <c r="X60" i="39"/>
  <c r="X40" i="39"/>
  <c r="X134" i="39"/>
  <c r="X131" i="39"/>
  <c r="X123" i="39"/>
  <c r="X115" i="39"/>
  <c r="X107" i="39"/>
  <c r="X100" i="39"/>
  <c r="X96" i="39"/>
  <c r="X92" i="39"/>
  <c r="X88" i="39"/>
  <c r="X84" i="39"/>
  <c r="X80" i="39"/>
  <c r="X76" i="39"/>
  <c r="X72" i="39"/>
  <c r="X52" i="39"/>
  <c r="X49" i="39"/>
  <c r="X61" i="39"/>
  <c r="X77" i="39"/>
  <c r="X93" i="39"/>
  <c r="N34" i="38"/>
  <c r="J34" i="38"/>
  <c r="F34" i="38"/>
  <c r="M34" i="38"/>
  <c r="I34" i="38"/>
  <c r="L34" i="38"/>
  <c r="H34" i="38"/>
  <c r="X41" i="39"/>
  <c r="X69" i="39"/>
  <c r="T81" i="39"/>
  <c r="X85" i="39"/>
  <c r="X101" i="39"/>
  <c r="G34" i="38"/>
  <c r="T136" i="39"/>
  <c r="T132" i="39"/>
  <c r="T124" i="39"/>
  <c r="T120" i="39"/>
  <c r="T112" i="39"/>
  <c r="T108" i="39"/>
  <c r="T133" i="39"/>
  <c r="T129" i="39"/>
  <c r="T121" i="39"/>
  <c r="T117" i="39"/>
  <c r="T109" i="39"/>
  <c r="T105" i="39"/>
  <c r="T123" i="39"/>
  <c r="T115" i="39"/>
  <c r="T102" i="39"/>
  <c r="T98" i="39"/>
  <c r="T90" i="39"/>
  <c r="T86" i="39"/>
  <c r="T78" i="39"/>
  <c r="T74" i="39"/>
  <c r="T66" i="39"/>
  <c r="T62" i="39"/>
  <c r="T46" i="39"/>
  <c r="T134" i="39"/>
  <c r="T118" i="39"/>
  <c r="T110" i="39"/>
  <c r="T99" i="39"/>
  <c r="T95" i="39"/>
  <c r="T87" i="39"/>
  <c r="T83" i="39"/>
  <c r="T75" i="39"/>
  <c r="T71" i="39"/>
  <c r="T63" i="39"/>
  <c r="T51" i="39"/>
  <c r="T80" i="39"/>
  <c r="T72" i="39"/>
  <c r="T56" i="39"/>
  <c r="T48" i="39"/>
  <c r="U34" i="39"/>
  <c r="T135" i="39"/>
  <c r="T119" i="39"/>
  <c r="T111" i="39"/>
  <c r="T96" i="39"/>
  <c r="T92" i="39"/>
  <c r="T76" i="39"/>
  <c r="T68" i="39"/>
  <c r="T61" i="39"/>
  <c r="X65" i="39"/>
  <c r="X81" i="39"/>
  <c r="T93" i="39"/>
  <c r="X97" i="39"/>
  <c r="T104" i="39"/>
  <c r="L53" i="39"/>
  <c r="L73" i="39"/>
  <c r="J73" i="39" s="1"/>
  <c r="L77" i="39"/>
  <c r="J77" i="39"/>
  <c r="L81" i="39"/>
  <c r="J81" i="39"/>
  <c r="L89" i="39"/>
  <c r="J89" i="39" s="1"/>
  <c r="L93" i="39"/>
  <c r="J93" i="39"/>
  <c r="L97" i="39"/>
  <c r="J97" i="39" s="1"/>
  <c r="L101" i="39"/>
  <c r="J101" i="39"/>
  <c r="S110" i="39"/>
  <c r="L112" i="39"/>
  <c r="J112" i="39" s="1"/>
  <c r="N114" i="39"/>
  <c r="G114" i="39" s="1"/>
  <c r="P114" i="39" s="1"/>
  <c r="S118" i="39"/>
  <c r="L120" i="39"/>
  <c r="J120" i="39"/>
  <c r="N122" i="39"/>
  <c r="S126" i="39"/>
  <c r="L128" i="39"/>
  <c r="J128" i="39" s="1"/>
  <c r="N130" i="39"/>
  <c r="G130" i="39" s="1"/>
  <c r="P130" i="39" s="1"/>
  <c r="S134" i="39"/>
  <c r="A80" i="42"/>
  <c r="AY3" i="42"/>
  <c r="N31" i="39"/>
  <c r="L137" i="39"/>
  <c r="J137" i="39"/>
  <c r="L133" i="39"/>
  <c r="J133" i="39" s="1"/>
  <c r="L129" i="39"/>
  <c r="J129" i="39"/>
  <c r="L125" i="39"/>
  <c r="J125" i="39" s="1"/>
  <c r="L121" i="39"/>
  <c r="J121" i="39"/>
  <c r="L117" i="39"/>
  <c r="J117" i="39" s="1"/>
  <c r="L113" i="39"/>
  <c r="J113" i="39" s="1"/>
  <c r="L109" i="39"/>
  <c r="J109" i="39"/>
  <c r="L105" i="39"/>
  <c r="J105" i="39" s="1"/>
  <c r="L134" i="39"/>
  <c r="J134" i="39" s="1"/>
  <c r="L130" i="39"/>
  <c r="J130" i="39" s="1"/>
  <c r="L126" i="39"/>
  <c r="J126" i="39" s="1"/>
  <c r="L122" i="39"/>
  <c r="J122" i="39"/>
  <c r="L118" i="39"/>
  <c r="J118" i="39"/>
  <c r="L114" i="39"/>
  <c r="J114" i="39" s="1"/>
  <c r="L110" i="39"/>
  <c r="J110" i="39"/>
  <c r="L106" i="39"/>
  <c r="J106" i="39" s="1"/>
  <c r="L41" i="39"/>
  <c r="L45" i="39"/>
  <c r="L49" i="39"/>
  <c r="L57" i="39"/>
  <c r="L61" i="39"/>
  <c r="J61" i="39" s="1"/>
  <c r="L65" i="39"/>
  <c r="J65" i="39"/>
  <c r="L69" i="39"/>
  <c r="J69" i="39" s="1"/>
  <c r="L85" i="39"/>
  <c r="J85" i="39" s="1"/>
  <c r="B26" i="38"/>
  <c r="S29" i="39"/>
  <c r="R134" i="39"/>
  <c r="R130" i="39"/>
  <c r="R122" i="39"/>
  <c r="R110" i="39"/>
  <c r="R106" i="39"/>
  <c r="R131" i="39"/>
  <c r="R127" i="39"/>
  <c r="R119" i="39"/>
  <c r="R115" i="39"/>
  <c r="R107" i="39"/>
  <c r="N38" i="39"/>
  <c r="S38" i="39"/>
  <c r="L40" i="39"/>
  <c r="R41" i="39"/>
  <c r="N42" i="39"/>
  <c r="L44" i="39"/>
  <c r="R45" i="39"/>
  <c r="N46" i="39"/>
  <c r="L48" i="39"/>
  <c r="R49" i="39"/>
  <c r="N50" i="39"/>
  <c r="S50" i="39"/>
  <c r="L52" i="39"/>
  <c r="N54" i="39"/>
  <c r="G54" i="39" s="1"/>
  <c r="P54" i="39" s="1"/>
  <c r="S54" i="39"/>
  <c r="L56" i="39"/>
  <c r="R57" i="39"/>
  <c r="N58" i="39"/>
  <c r="L60" i="39"/>
  <c r="J60" i="39"/>
  <c r="R61" i="39"/>
  <c r="N62" i="39"/>
  <c r="S62" i="39"/>
  <c r="L64" i="39"/>
  <c r="J64" i="39" s="1"/>
  <c r="N66" i="39"/>
  <c r="G66" i="39" s="1"/>
  <c r="P66" i="39" s="1"/>
  <c r="S66" i="39"/>
  <c r="L68" i="39"/>
  <c r="J68" i="39" s="1"/>
  <c r="R69" i="39"/>
  <c r="N70" i="39"/>
  <c r="G70" i="39" s="1"/>
  <c r="P70" i="39" s="1"/>
  <c r="S70" i="39"/>
  <c r="L72" i="39"/>
  <c r="J72" i="39" s="1"/>
  <c r="R73" i="39"/>
  <c r="N74" i="39"/>
  <c r="S74" i="39"/>
  <c r="L76" i="39"/>
  <c r="J76" i="39" s="1"/>
  <c r="N78" i="39"/>
  <c r="G78" i="39" s="1"/>
  <c r="P78" i="39" s="1"/>
  <c r="S78" i="39"/>
  <c r="L80" i="39"/>
  <c r="J80" i="39" s="1"/>
  <c r="R81" i="39"/>
  <c r="N82" i="39"/>
  <c r="G82" i="39" s="1"/>
  <c r="P82" i="39" s="1"/>
  <c r="S82" i="39"/>
  <c r="L84" i="39"/>
  <c r="J84" i="39"/>
  <c r="N86" i="39"/>
  <c r="G86" i="39" s="1"/>
  <c r="P86" i="39" s="1"/>
  <c r="S86" i="39"/>
  <c r="L88" i="39"/>
  <c r="J88" i="39"/>
  <c r="R89" i="39"/>
  <c r="N90" i="39"/>
  <c r="S90" i="39"/>
  <c r="L92" i="39"/>
  <c r="J92" i="39" s="1"/>
  <c r="R93" i="39"/>
  <c r="N94" i="39"/>
  <c r="G94" i="39" s="1"/>
  <c r="P94" i="39" s="1"/>
  <c r="S94" i="39"/>
  <c r="L96" i="39"/>
  <c r="J96" i="39"/>
  <c r="N98" i="39"/>
  <c r="G98" i="39" s="1"/>
  <c r="P98" i="39" s="1"/>
  <c r="S98" i="39"/>
  <c r="L100" i="39"/>
  <c r="J100" i="39"/>
  <c r="R101" i="39"/>
  <c r="N102" i="39"/>
  <c r="S102" i="39"/>
  <c r="L104" i="39"/>
  <c r="J104" i="39" s="1"/>
  <c r="N105" i="39"/>
  <c r="R108" i="39"/>
  <c r="S109" i="39"/>
  <c r="L111" i="39"/>
  <c r="J111" i="39"/>
  <c r="N113" i="39"/>
  <c r="G113" i="39" s="1"/>
  <c r="P113" i="39" s="1"/>
  <c r="S117" i="39"/>
  <c r="L119" i="39"/>
  <c r="J119" i="39" s="1"/>
  <c r="N121" i="39"/>
  <c r="G121" i="39" s="1"/>
  <c r="P121" i="39" s="1"/>
  <c r="R124" i="39"/>
  <c r="S125" i="39"/>
  <c r="L127" i="39"/>
  <c r="J127" i="39" s="1"/>
  <c r="N129" i="39"/>
  <c r="R132" i="39"/>
  <c r="L135" i="39"/>
  <c r="J135" i="39" s="1"/>
  <c r="A83" i="42"/>
  <c r="BG4" i="42"/>
  <c r="S135" i="39"/>
  <c r="S131" i="39"/>
  <c r="S127" i="39"/>
  <c r="S123" i="39"/>
  <c r="S119" i="39"/>
  <c r="S115" i="39"/>
  <c r="S111" i="39"/>
  <c r="S107" i="39"/>
  <c r="S136" i="39"/>
  <c r="S132" i="39"/>
  <c r="S128" i="39"/>
  <c r="S124" i="39"/>
  <c r="S120" i="39"/>
  <c r="S116" i="39"/>
  <c r="S112" i="39"/>
  <c r="S108" i="39"/>
  <c r="S104" i="39"/>
  <c r="N135" i="39"/>
  <c r="G135" i="39" s="1"/>
  <c r="P135" i="39" s="1"/>
  <c r="N131" i="39"/>
  <c r="G131" i="39" s="1"/>
  <c r="P131" i="39" s="1"/>
  <c r="N127" i="39"/>
  <c r="G127" i="39" s="1"/>
  <c r="P127" i="39" s="1"/>
  <c r="N123" i="39"/>
  <c r="N119" i="39"/>
  <c r="G119" i="39" s="1"/>
  <c r="P119" i="39" s="1"/>
  <c r="N115" i="39"/>
  <c r="G115" i="39" s="1"/>
  <c r="P115" i="39" s="1"/>
  <c r="N111" i="39"/>
  <c r="G111" i="39" s="1"/>
  <c r="P111" i="39" s="1"/>
  <c r="N107" i="39"/>
  <c r="G107" i="39" s="1"/>
  <c r="P107" i="39" s="1"/>
  <c r="N136" i="39"/>
  <c r="G136" i="39" s="1"/>
  <c r="P136" i="39" s="1"/>
  <c r="N132" i="39"/>
  <c r="N128" i="39"/>
  <c r="G128" i="39" s="1"/>
  <c r="P128" i="39" s="1"/>
  <c r="N124" i="39"/>
  <c r="G124" i="39" s="1"/>
  <c r="P124" i="39" s="1"/>
  <c r="N120" i="39"/>
  <c r="G120" i="39" s="1"/>
  <c r="P120" i="39" s="1"/>
  <c r="N116" i="39"/>
  <c r="G116" i="39" s="1"/>
  <c r="P116" i="39" s="1"/>
  <c r="N112" i="39"/>
  <c r="G112" i="39" s="1"/>
  <c r="P112" i="39" s="1"/>
  <c r="N108" i="39"/>
  <c r="L39" i="39"/>
  <c r="N41" i="39"/>
  <c r="G41" i="39" s="1"/>
  <c r="P41" i="39" s="1"/>
  <c r="S41" i="39"/>
  <c r="L43" i="39"/>
  <c r="N45" i="39"/>
  <c r="G45" i="39" s="1"/>
  <c r="P45" i="39" s="1"/>
  <c r="S45" i="39"/>
  <c r="L47" i="39"/>
  <c r="N49" i="39"/>
  <c r="G49" i="39" s="1"/>
  <c r="P49" i="39" s="1"/>
  <c r="S49" i="39"/>
  <c r="L51" i="39"/>
  <c r="N53" i="39"/>
  <c r="L55" i="39"/>
  <c r="N57" i="39"/>
  <c r="L59" i="39"/>
  <c r="N61" i="39"/>
  <c r="G61" i="39" s="1"/>
  <c r="P61" i="39" s="1"/>
  <c r="S61" i="39"/>
  <c r="L63" i="39"/>
  <c r="J63" i="39" s="1"/>
  <c r="N65" i="39"/>
  <c r="G65" i="39" s="1"/>
  <c r="P65" i="39" s="1"/>
  <c r="S65" i="39"/>
  <c r="L67" i="39"/>
  <c r="J67" i="39" s="1"/>
  <c r="N69" i="39"/>
  <c r="G69" i="39" s="1"/>
  <c r="P69" i="39" s="1"/>
  <c r="S69" i="39"/>
  <c r="L71" i="39"/>
  <c r="J71" i="39" s="1"/>
  <c r="N73" i="39"/>
  <c r="G73" i="39" s="1"/>
  <c r="P73" i="39" s="1"/>
  <c r="S73" i="39"/>
  <c r="L75" i="39"/>
  <c r="J75" i="39"/>
  <c r="N77" i="39"/>
  <c r="G77" i="39" s="1"/>
  <c r="P77" i="39" s="1"/>
  <c r="S77" i="39"/>
  <c r="L79" i="39"/>
  <c r="J79" i="39" s="1"/>
  <c r="N81" i="39"/>
  <c r="G81" i="39" s="1"/>
  <c r="P81" i="39" s="1"/>
  <c r="S81" i="39"/>
  <c r="L83" i="39"/>
  <c r="J83" i="39" s="1"/>
  <c r="N85" i="39"/>
  <c r="G85" i="39" s="1"/>
  <c r="P85" i="39" s="1"/>
  <c r="S85" i="39"/>
  <c r="L87" i="39"/>
  <c r="J87" i="39"/>
  <c r="N89" i="39"/>
  <c r="G89" i="39" s="1"/>
  <c r="P89" i="39" s="1"/>
  <c r="S89" i="39"/>
  <c r="L91" i="39"/>
  <c r="J91" i="39"/>
  <c r="N93" i="39"/>
  <c r="G93" i="39" s="1"/>
  <c r="P93" i="39" s="1"/>
  <c r="S93" i="39"/>
  <c r="L95" i="39"/>
  <c r="J95" i="39"/>
  <c r="N97" i="39"/>
  <c r="G97" i="39" s="1"/>
  <c r="P97" i="39" s="1"/>
  <c r="S97" i="39"/>
  <c r="L99" i="39"/>
  <c r="J99" i="39" s="1"/>
  <c r="N101" i="39"/>
  <c r="G101" i="39" s="1"/>
  <c r="P101" i="39" s="1"/>
  <c r="S101" i="39"/>
  <c r="L103" i="39"/>
  <c r="J103" i="39" s="1"/>
  <c r="R104" i="39"/>
  <c r="R105" i="39"/>
  <c r="S106" i="39"/>
  <c r="L108" i="39"/>
  <c r="J108" i="39" s="1"/>
  <c r="N110" i="39"/>
  <c r="G110" i="39" s="1"/>
  <c r="P110" i="39" s="1"/>
  <c r="R113" i="39"/>
  <c r="S114" i="39"/>
  <c r="L116" i="39"/>
  <c r="J116" i="39" s="1"/>
  <c r="N118" i="39"/>
  <c r="G118" i="39" s="1"/>
  <c r="P118" i="39" s="1"/>
  <c r="R121" i="39"/>
  <c r="S122" i="39"/>
  <c r="L124" i="39"/>
  <c r="J124" i="39" s="1"/>
  <c r="N126" i="39"/>
  <c r="G126" i="39" s="1"/>
  <c r="P126" i="39" s="1"/>
  <c r="R129" i="39"/>
  <c r="S130" i="39"/>
  <c r="L132" i="39"/>
  <c r="J132" i="39" s="1"/>
  <c r="N134" i="39"/>
  <c r="G134" i="39" s="1"/>
  <c r="P134" i="39" s="1"/>
  <c r="R137" i="39"/>
  <c r="BG3" i="42"/>
  <c r="N36" i="42"/>
  <c r="F36" i="42"/>
  <c r="AD91" i="23"/>
  <c r="AI91" i="23" s="1"/>
  <c r="G38" i="39"/>
  <c r="P38" i="39" s="1"/>
  <c r="U137" i="39"/>
  <c r="U133" i="39"/>
  <c r="U129" i="39"/>
  <c r="U125" i="39"/>
  <c r="U121" i="39"/>
  <c r="U117" i="39"/>
  <c r="U113" i="39"/>
  <c r="U109" i="39"/>
  <c r="U105" i="39"/>
  <c r="U134" i="39"/>
  <c r="U130" i="39"/>
  <c r="U126" i="39"/>
  <c r="U122" i="39"/>
  <c r="U118" i="39"/>
  <c r="U114" i="39"/>
  <c r="U110" i="39"/>
  <c r="U106" i="39"/>
  <c r="U132" i="39"/>
  <c r="U124" i="39"/>
  <c r="U116" i="39"/>
  <c r="U108" i="39"/>
  <c r="U103" i="39"/>
  <c r="U99" i="39"/>
  <c r="U95" i="39"/>
  <c r="U91" i="39"/>
  <c r="U87" i="39"/>
  <c r="U83" i="39"/>
  <c r="U79" i="39"/>
  <c r="U75" i="39"/>
  <c r="U71" i="39"/>
  <c r="U67" i="39"/>
  <c r="U63" i="39"/>
  <c r="U59" i="39"/>
  <c r="U55" i="39"/>
  <c r="U51" i="39"/>
  <c r="U47" i="39"/>
  <c r="U43" i="39"/>
  <c r="U39" i="39"/>
  <c r="U135" i="39"/>
  <c r="U127" i="39"/>
  <c r="U119" i="39"/>
  <c r="U111" i="39"/>
  <c r="U100" i="39"/>
  <c r="U96" i="39"/>
  <c r="U92" i="39"/>
  <c r="U88" i="39"/>
  <c r="U84" i="39"/>
  <c r="U80" i="39"/>
  <c r="U76" i="39"/>
  <c r="U72" i="39"/>
  <c r="U68" i="39"/>
  <c r="U64" i="39"/>
  <c r="U60" i="39"/>
  <c r="U56" i="39"/>
  <c r="U52" i="39"/>
  <c r="U48" i="39"/>
  <c r="U44" i="39"/>
  <c r="U40" i="39"/>
  <c r="V34" i="39"/>
  <c r="U85" i="39"/>
  <c r="U73" i="39"/>
  <c r="U69" i="39"/>
  <c r="U65" i="39"/>
  <c r="U61" i="39"/>
  <c r="U57" i="39"/>
  <c r="U49" i="39"/>
  <c r="U45" i="39"/>
  <c r="U41" i="39"/>
  <c r="U136" i="39"/>
  <c r="U128" i="39"/>
  <c r="U120" i="39"/>
  <c r="U112" i="39"/>
  <c r="U104" i="39"/>
  <c r="U101" i="39"/>
  <c r="U97" i="39"/>
  <c r="U93" i="39"/>
  <c r="U89" i="39"/>
  <c r="U81" i="39"/>
  <c r="U77" i="39"/>
  <c r="U53" i="39"/>
  <c r="U98" i="39"/>
  <c r="U82" i="39"/>
  <c r="U66" i="39"/>
  <c r="U38" i="39"/>
  <c r="U131" i="39"/>
  <c r="U123" i="39"/>
  <c r="U115" i="39"/>
  <c r="U107" i="39"/>
  <c r="U102" i="39"/>
  <c r="U86" i="39"/>
  <c r="U70" i="39"/>
  <c r="U54" i="39"/>
  <c r="U42" i="39"/>
  <c r="U94" i="39"/>
  <c r="U78" i="39"/>
  <c r="U62" i="39"/>
  <c r="U50" i="39"/>
  <c r="U90" i="39"/>
  <c r="U74" i="39"/>
  <c r="U58" i="39"/>
  <c r="U46" i="39"/>
  <c r="C57" i="30"/>
  <c r="AI159" i="23"/>
  <c r="V33" i="23"/>
  <c r="V31" i="23"/>
  <c r="R15" i="27"/>
  <c r="S15" i="27"/>
  <c r="R14" i="27"/>
  <c r="N14" i="27"/>
  <c r="S14" i="27"/>
  <c r="B18" i="34"/>
  <c r="F4" i="33"/>
  <c r="H4" i="33"/>
  <c r="J4" i="33" s="1"/>
  <c r="D4" i="33"/>
  <c r="C4" i="33"/>
  <c r="E4" i="33"/>
  <c r="G4" i="33" s="1"/>
  <c r="I4" i="33" s="1"/>
  <c r="C3" i="33"/>
  <c r="E3" i="33" s="1"/>
  <c r="G3" i="33" s="1"/>
  <c r="I3" i="33" s="1"/>
  <c r="AJ15" i="23"/>
  <c r="R15" i="23" s="1"/>
  <c r="AD92" i="23"/>
  <c r="AA108" i="23"/>
  <c r="AI108" i="23" s="1"/>
  <c r="B57" i="30"/>
  <c r="AI26" i="23"/>
  <c r="N701" i="29"/>
  <c r="M701" i="29"/>
  <c r="L701" i="29"/>
  <c r="K701" i="29"/>
  <c r="I701" i="29"/>
  <c r="H701" i="29"/>
  <c r="G701" i="29"/>
  <c r="F701" i="29"/>
  <c r="W700" i="29"/>
  <c r="V700" i="29"/>
  <c r="S700" i="29"/>
  <c r="W699" i="29"/>
  <c r="V699" i="29"/>
  <c r="S699" i="29"/>
  <c r="W698" i="29"/>
  <c r="V698" i="29"/>
  <c r="S698" i="29"/>
  <c r="W697" i="29"/>
  <c r="V697" i="29"/>
  <c r="S697" i="29"/>
  <c r="W696" i="29"/>
  <c r="V696" i="29"/>
  <c r="S696" i="29"/>
  <c r="W695" i="29"/>
  <c r="V695" i="29"/>
  <c r="S695" i="29"/>
  <c r="W694" i="29"/>
  <c r="V694" i="29"/>
  <c r="S694" i="29"/>
  <c r="W693" i="29"/>
  <c r="V693" i="29"/>
  <c r="S693" i="29"/>
  <c r="W692" i="29"/>
  <c r="V692" i="29"/>
  <c r="S692" i="29"/>
  <c r="W691" i="29"/>
  <c r="V691" i="29"/>
  <c r="S691" i="29"/>
  <c r="W690" i="29"/>
  <c r="V690" i="29"/>
  <c r="S690" i="29"/>
  <c r="W689" i="29"/>
  <c r="V689" i="29"/>
  <c r="S689" i="29"/>
  <c r="W688" i="29"/>
  <c r="V688" i="29"/>
  <c r="S688" i="29"/>
  <c r="W687" i="29"/>
  <c r="V687" i="29"/>
  <c r="S687" i="29"/>
  <c r="W686" i="29"/>
  <c r="V686" i="29"/>
  <c r="S686" i="29"/>
  <c r="W685" i="29"/>
  <c r="V685" i="29"/>
  <c r="S685" i="29"/>
  <c r="W684" i="29"/>
  <c r="V684" i="29"/>
  <c r="S684" i="29"/>
  <c r="W683" i="29"/>
  <c r="V683" i="29"/>
  <c r="S683" i="29"/>
  <c r="W682" i="29"/>
  <c r="V682" i="29"/>
  <c r="S682" i="29"/>
  <c r="W681" i="29"/>
  <c r="V681" i="29"/>
  <c r="S681" i="29"/>
  <c r="W680" i="29"/>
  <c r="V680" i="29"/>
  <c r="S680" i="29"/>
  <c r="W679" i="29"/>
  <c r="V679" i="29"/>
  <c r="S679" i="29"/>
  <c r="W678" i="29"/>
  <c r="V678" i="29"/>
  <c r="S678" i="29"/>
  <c r="W677" i="29"/>
  <c r="V677" i="29"/>
  <c r="S677" i="29"/>
  <c r="W676" i="29"/>
  <c r="V676" i="29"/>
  <c r="S676" i="29"/>
  <c r="W675" i="29"/>
  <c r="V675" i="29"/>
  <c r="S675" i="29"/>
  <c r="W674" i="29"/>
  <c r="V674" i="29"/>
  <c r="S674" i="29"/>
  <c r="W673" i="29"/>
  <c r="V673" i="29"/>
  <c r="S673" i="29"/>
  <c r="W672" i="29"/>
  <c r="V672" i="29"/>
  <c r="S672" i="29"/>
  <c r="W671" i="29"/>
  <c r="V671" i="29"/>
  <c r="S671" i="29"/>
  <c r="W670" i="29"/>
  <c r="V670" i="29"/>
  <c r="S670" i="29"/>
  <c r="W669" i="29"/>
  <c r="V669" i="29"/>
  <c r="S669" i="29"/>
  <c r="W668" i="29"/>
  <c r="V668" i="29"/>
  <c r="S668" i="29"/>
  <c r="W667" i="29"/>
  <c r="V667" i="29"/>
  <c r="S667" i="29"/>
  <c r="W666" i="29"/>
  <c r="V666" i="29"/>
  <c r="S666" i="29"/>
  <c r="W665" i="29"/>
  <c r="V665" i="29"/>
  <c r="S665" i="29"/>
  <c r="W664" i="29"/>
  <c r="V664" i="29"/>
  <c r="S664" i="29"/>
  <c r="W663" i="29"/>
  <c r="V663" i="29"/>
  <c r="S663" i="29"/>
  <c r="W662" i="29"/>
  <c r="V662" i="29"/>
  <c r="S662" i="29"/>
  <c r="W661" i="29"/>
  <c r="V661" i="29"/>
  <c r="S661" i="29"/>
  <c r="W660" i="29"/>
  <c r="V660" i="29"/>
  <c r="S660" i="29"/>
  <c r="W659" i="29"/>
  <c r="V659" i="29"/>
  <c r="S659" i="29"/>
  <c r="W658" i="29"/>
  <c r="V658" i="29"/>
  <c r="S658" i="29"/>
  <c r="W657" i="29"/>
  <c r="V657" i="29"/>
  <c r="S657" i="29"/>
  <c r="W656" i="29"/>
  <c r="V656" i="29"/>
  <c r="S656" i="29"/>
  <c r="W655" i="29"/>
  <c r="V655" i="29"/>
  <c r="S655" i="29"/>
  <c r="W654" i="29"/>
  <c r="V654" i="29"/>
  <c r="S654" i="29"/>
  <c r="W653" i="29"/>
  <c r="V653" i="29"/>
  <c r="S653" i="29"/>
  <c r="W652" i="29"/>
  <c r="V652" i="29"/>
  <c r="S652" i="29"/>
  <c r="W651" i="29"/>
  <c r="V651" i="29"/>
  <c r="S651" i="29"/>
  <c r="W650" i="29"/>
  <c r="V650" i="29"/>
  <c r="S650" i="29"/>
  <c r="W649" i="29"/>
  <c r="V649" i="29"/>
  <c r="S649" i="29"/>
  <c r="W648" i="29"/>
  <c r="V648" i="29"/>
  <c r="S648" i="29"/>
  <c r="W647" i="29"/>
  <c r="V647" i="29"/>
  <c r="S647" i="29"/>
  <c r="W646" i="29"/>
  <c r="V646" i="29"/>
  <c r="S646" i="29"/>
  <c r="W645" i="29"/>
  <c r="V645" i="29"/>
  <c r="S645" i="29"/>
  <c r="W644" i="29"/>
  <c r="V644" i="29"/>
  <c r="S644" i="29"/>
  <c r="W643" i="29"/>
  <c r="V643" i="29"/>
  <c r="S643" i="29"/>
  <c r="W642" i="29"/>
  <c r="V642" i="29"/>
  <c r="S642" i="29"/>
  <c r="W641" i="29"/>
  <c r="V641" i="29"/>
  <c r="S641" i="29"/>
  <c r="W640" i="29"/>
  <c r="V640" i="29"/>
  <c r="S640" i="29"/>
  <c r="W639" i="29"/>
  <c r="V639" i="29"/>
  <c r="S639" i="29"/>
  <c r="W638" i="29"/>
  <c r="V638" i="29"/>
  <c r="S638" i="29"/>
  <c r="W637" i="29"/>
  <c r="V637" i="29"/>
  <c r="S637" i="29"/>
  <c r="W636" i="29"/>
  <c r="V636" i="29"/>
  <c r="S636" i="29"/>
  <c r="W635" i="29"/>
  <c r="V635" i="29"/>
  <c r="S635" i="29"/>
  <c r="W634" i="29"/>
  <c r="V634" i="29"/>
  <c r="S634" i="29"/>
  <c r="W633" i="29"/>
  <c r="V633" i="29"/>
  <c r="S633" i="29"/>
  <c r="W632" i="29"/>
  <c r="V632" i="29"/>
  <c r="S632" i="29"/>
  <c r="W631" i="29"/>
  <c r="V631" i="29"/>
  <c r="S631" i="29"/>
  <c r="W630" i="29"/>
  <c r="V630" i="29"/>
  <c r="S630" i="29"/>
  <c r="W629" i="29"/>
  <c r="V629" i="29"/>
  <c r="S629" i="29"/>
  <c r="W628" i="29"/>
  <c r="V628" i="29"/>
  <c r="S628" i="29"/>
  <c r="W627" i="29"/>
  <c r="V627" i="29"/>
  <c r="S627" i="29"/>
  <c r="W626" i="29"/>
  <c r="V626" i="29"/>
  <c r="S626" i="29"/>
  <c r="W625" i="29"/>
  <c r="V625" i="29"/>
  <c r="S625" i="29"/>
  <c r="W624" i="29"/>
  <c r="V624" i="29"/>
  <c r="S624" i="29"/>
  <c r="W623" i="29"/>
  <c r="V623" i="29"/>
  <c r="S623" i="29"/>
  <c r="W622" i="29"/>
  <c r="V622" i="29"/>
  <c r="S622" i="29"/>
  <c r="W621" i="29"/>
  <c r="V621" i="29"/>
  <c r="S621" i="29"/>
  <c r="W620" i="29"/>
  <c r="V620" i="29"/>
  <c r="S620" i="29"/>
  <c r="W619" i="29"/>
  <c r="V619" i="29"/>
  <c r="S619" i="29"/>
  <c r="W618" i="29"/>
  <c r="V618" i="29"/>
  <c r="S618" i="29"/>
  <c r="W617" i="29"/>
  <c r="V617" i="29"/>
  <c r="S617" i="29"/>
  <c r="W616" i="29"/>
  <c r="V616" i="29"/>
  <c r="S616" i="29"/>
  <c r="W615" i="29"/>
  <c r="V615" i="29"/>
  <c r="S615" i="29"/>
  <c r="W614" i="29"/>
  <c r="V614" i="29"/>
  <c r="S614" i="29"/>
  <c r="W613" i="29"/>
  <c r="V613" i="29"/>
  <c r="S613" i="29"/>
  <c r="W612" i="29"/>
  <c r="V612" i="29"/>
  <c r="S612" i="29"/>
  <c r="W611" i="29"/>
  <c r="V611" i="29"/>
  <c r="S611" i="29"/>
  <c r="W610" i="29"/>
  <c r="V610" i="29"/>
  <c r="S610" i="29"/>
  <c r="W609" i="29"/>
  <c r="V609" i="29"/>
  <c r="S609" i="29"/>
  <c r="W608" i="29"/>
  <c r="V608" i="29"/>
  <c r="S608" i="29"/>
  <c r="W607" i="29"/>
  <c r="V607" i="29"/>
  <c r="S607" i="29"/>
  <c r="W606" i="29"/>
  <c r="V606" i="29"/>
  <c r="S606" i="29"/>
  <c r="W605" i="29"/>
  <c r="V605" i="29"/>
  <c r="S605" i="29"/>
  <c r="W604" i="29"/>
  <c r="V604" i="29"/>
  <c r="S604" i="29"/>
  <c r="W603" i="29"/>
  <c r="V603" i="29"/>
  <c r="S603" i="29"/>
  <c r="W602" i="29"/>
  <c r="V602" i="29"/>
  <c r="S602" i="29"/>
  <c r="W601" i="29"/>
  <c r="V601" i="29"/>
  <c r="S601" i="29"/>
  <c r="W600" i="29"/>
  <c r="V600" i="29"/>
  <c r="S600" i="29"/>
  <c r="W599" i="29"/>
  <c r="V599" i="29"/>
  <c r="S599" i="29"/>
  <c r="W598" i="29"/>
  <c r="V598" i="29"/>
  <c r="S598" i="29"/>
  <c r="W597" i="29"/>
  <c r="V597" i="29"/>
  <c r="S597" i="29"/>
  <c r="W596" i="29"/>
  <c r="V596" i="29"/>
  <c r="S596" i="29"/>
  <c r="W595" i="29"/>
  <c r="V595" i="29"/>
  <c r="S595" i="29"/>
  <c r="W594" i="29"/>
  <c r="V594" i="29"/>
  <c r="S594" i="29"/>
  <c r="W593" i="29"/>
  <c r="V593" i="29"/>
  <c r="S593" i="29"/>
  <c r="W592" i="29"/>
  <c r="V592" i="29"/>
  <c r="S592" i="29"/>
  <c r="W591" i="29"/>
  <c r="V591" i="29"/>
  <c r="S591" i="29"/>
  <c r="W590" i="29"/>
  <c r="V590" i="29"/>
  <c r="S590" i="29"/>
  <c r="W589" i="29"/>
  <c r="V589" i="29"/>
  <c r="S589" i="29"/>
  <c r="W588" i="29"/>
  <c r="V588" i="29"/>
  <c r="S588" i="29"/>
  <c r="W587" i="29"/>
  <c r="V587" i="29"/>
  <c r="S587" i="29"/>
  <c r="W586" i="29"/>
  <c r="V586" i="29"/>
  <c r="S586" i="29"/>
  <c r="W585" i="29"/>
  <c r="V585" i="29"/>
  <c r="S585" i="29"/>
  <c r="W584" i="29"/>
  <c r="V584" i="29"/>
  <c r="S584" i="29"/>
  <c r="W583" i="29"/>
  <c r="V583" i="29"/>
  <c r="S583" i="29"/>
  <c r="W582" i="29"/>
  <c r="V582" i="29"/>
  <c r="S582" i="29"/>
  <c r="W581" i="29"/>
  <c r="V581" i="29"/>
  <c r="S581" i="29"/>
  <c r="W580" i="29"/>
  <c r="V580" i="29"/>
  <c r="S580" i="29"/>
  <c r="W579" i="29"/>
  <c r="V579" i="29"/>
  <c r="S579" i="29"/>
  <c r="W578" i="29"/>
  <c r="V578" i="29"/>
  <c r="S578" i="29"/>
  <c r="W577" i="29"/>
  <c r="V577" i="29"/>
  <c r="S577" i="29"/>
  <c r="W576" i="29"/>
  <c r="V576" i="29"/>
  <c r="S576" i="29"/>
  <c r="W575" i="29"/>
  <c r="V575" i="29"/>
  <c r="S575" i="29"/>
  <c r="W574" i="29"/>
  <c r="V574" i="29"/>
  <c r="S574" i="29"/>
  <c r="W573" i="29"/>
  <c r="V573" i="29"/>
  <c r="S573" i="29"/>
  <c r="W572" i="29"/>
  <c r="V572" i="29"/>
  <c r="S572" i="29"/>
  <c r="W571" i="29"/>
  <c r="V571" i="29"/>
  <c r="S571" i="29"/>
  <c r="W570" i="29"/>
  <c r="V570" i="29"/>
  <c r="S570" i="29"/>
  <c r="W569" i="29"/>
  <c r="V569" i="29"/>
  <c r="S569" i="29"/>
  <c r="W568" i="29"/>
  <c r="V568" i="29"/>
  <c r="S568" i="29"/>
  <c r="W567" i="29"/>
  <c r="V567" i="29"/>
  <c r="S567" i="29"/>
  <c r="W566" i="29"/>
  <c r="V566" i="29"/>
  <c r="S566" i="29"/>
  <c r="W565" i="29"/>
  <c r="V565" i="29"/>
  <c r="S565" i="29"/>
  <c r="W564" i="29"/>
  <c r="V564" i="29"/>
  <c r="S564" i="29"/>
  <c r="W563" i="29"/>
  <c r="V563" i="29"/>
  <c r="S563" i="29"/>
  <c r="W562" i="29"/>
  <c r="V562" i="29"/>
  <c r="S562" i="29"/>
  <c r="W561" i="29"/>
  <c r="V561" i="29"/>
  <c r="S561" i="29"/>
  <c r="W560" i="29"/>
  <c r="V560" i="29"/>
  <c r="S560" i="29"/>
  <c r="W559" i="29"/>
  <c r="V559" i="29"/>
  <c r="S559" i="29"/>
  <c r="W558" i="29"/>
  <c r="V558" i="29"/>
  <c r="S558" i="29"/>
  <c r="W557" i="29"/>
  <c r="V557" i="29"/>
  <c r="S557" i="29"/>
  <c r="W556" i="29"/>
  <c r="V556" i="29"/>
  <c r="S556" i="29"/>
  <c r="W555" i="29"/>
  <c r="V555" i="29"/>
  <c r="S555" i="29"/>
  <c r="W554" i="29"/>
  <c r="V554" i="29"/>
  <c r="S554" i="29"/>
  <c r="W553" i="29"/>
  <c r="V553" i="29"/>
  <c r="S553" i="29"/>
  <c r="W552" i="29"/>
  <c r="V552" i="29"/>
  <c r="S552" i="29"/>
  <c r="W551" i="29"/>
  <c r="V551" i="29"/>
  <c r="S551" i="29"/>
  <c r="W550" i="29"/>
  <c r="V550" i="29"/>
  <c r="S550" i="29"/>
  <c r="W549" i="29"/>
  <c r="V549" i="29"/>
  <c r="S549" i="29"/>
  <c r="W548" i="29"/>
  <c r="V548" i="29"/>
  <c r="S548" i="29"/>
  <c r="W547" i="29"/>
  <c r="V547" i="29"/>
  <c r="S547" i="29"/>
  <c r="W546" i="29"/>
  <c r="V546" i="29"/>
  <c r="S546" i="29"/>
  <c r="W545" i="29"/>
  <c r="V545" i="29"/>
  <c r="S545" i="29"/>
  <c r="W544" i="29"/>
  <c r="V544" i="29"/>
  <c r="S544" i="29"/>
  <c r="W543" i="29"/>
  <c r="V543" i="29"/>
  <c r="S543" i="29"/>
  <c r="W542" i="29"/>
  <c r="V542" i="29"/>
  <c r="S542" i="29"/>
  <c r="W541" i="29"/>
  <c r="V541" i="29"/>
  <c r="S541" i="29"/>
  <c r="W540" i="29"/>
  <c r="V540" i="29"/>
  <c r="S540" i="29"/>
  <c r="W539" i="29"/>
  <c r="V539" i="29"/>
  <c r="S539" i="29"/>
  <c r="W538" i="29"/>
  <c r="V538" i="29"/>
  <c r="S538" i="29"/>
  <c r="W537" i="29"/>
  <c r="V537" i="29"/>
  <c r="S537" i="29"/>
  <c r="W536" i="29"/>
  <c r="V536" i="29"/>
  <c r="S536" i="29"/>
  <c r="W535" i="29"/>
  <c r="V535" i="29"/>
  <c r="S535" i="29"/>
  <c r="W534" i="29"/>
  <c r="V534" i="29"/>
  <c r="S534" i="29"/>
  <c r="W533" i="29"/>
  <c r="V533" i="29"/>
  <c r="S533" i="29"/>
  <c r="W532" i="29"/>
  <c r="V532" i="29"/>
  <c r="S532" i="29"/>
  <c r="W531" i="29"/>
  <c r="V531" i="29"/>
  <c r="S531" i="29"/>
  <c r="W530" i="29"/>
  <c r="V530" i="29"/>
  <c r="S530" i="29"/>
  <c r="W529" i="29"/>
  <c r="V529" i="29"/>
  <c r="S529" i="29"/>
  <c r="W528" i="29"/>
  <c r="V528" i="29"/>
  <c r="S528" i="29"/>
  <c r="W527" i="29"/>
  <c r="V527" i="29"/>
  <c r="S527" i="29"/>
  <c r="W526" i="29"/>
  <c r="V526" i="29"/>
  <c r="S526" i="29"/>
  <c r="W525" i="29"/>
  <c r="V525" i="29"/>
  <c r="S525" i="29"/>
  <c r="W524" i="29"/>
  <c r="V524" i="29"/>
  <c r="S524" i="29"/>
  <c r="W523" i="29"/>
  <c r="V523" i="29"/>
  <c r="S523" i="29"/>
  <c r="W522" i="29"/>
  <c r="V522" i="29"/>
  <c r="S522" i="29"/>
  <c r="W521" i="29"/>
  <c r="V521" i="29"/>
  <c r="S521" i="29"/>
  <c r="W520" i="29"/>
  <c r="V520" i="29"/>
  <c r="S520" i="29"/>
  <c r="W519" i="29"/>
  <c r="V519" i="29"/>
  <c r="S519" i="29"/>
  <c r="W518" i="29"/>
  <c r="V518" i="29"/>
  <c r="S518" i="29"/>
  <c r="W517" i="29"/>
  <c r="V517" i="29"/>
  <c r="S517" i="29"/>
  <c r="W516" i="29"/>
  <c r="V516" i="29"/>
  <c r="S516" i="29"/>
  <c r="W515" i="29"/>
  <c r="V515" i="29"/>
  <c r="S515" i="29"/>
  <c r="W514" i="29"/>
  <c r="V514" i="29"/>
  <c r="S514" i="29"/>
  <c r="W513" i="29"/>
  <c r="V513" i="29"/>
  <c r="S513" i="29"/>
  <c r="W512" i="29"/>
  <c r="V512" i="29"/>
  <c r="S512" i="29"/>
  <c r="W511" i="29"/>
  <c r="V511" i="29"/>
  <c r="S511" i="29"/>
  <c r="W510" i="29"/>
  <c r="V510" i="29"/>
  <c r="S510" i="29"/>
  <c r="W509" i="29"/>
  <c r="V509" i="29"/>
  <c r="S509" i="29"/>
  <c r="W508" i="29"/>
  <c r="V508" i="29"/>
  <c r="S508" i="29"/>
  <c r="W507" i="29"/>
  <c r="V507" i="29"/>
  <c r="S507" i="29"/>
  <c r="W506" i="29"/>
  <c r="V506" i="29"/>
  <c r="S506" i="29"/>
  <c r="W505" i="29"/>
  <c r="V505" i="29"/>
  <c r="S505" i="29"/>
  <c r="W504" i="29"/>
  <c r="V504" i="29"/>
  <c r="S504" i="29"/>
  <c r="W503" i="29"/>
  <c r="V503" i="29"/>
  <c r="S503" i="29"/>
  <c r="W502" i="29"/>
  <c r="V502" i="29"/>
  <c r="S502" i="29"/>
  <c r="W501" i="29"/>
  <c r="V501" i="29"/>
  <c r="S501" i="29"/>
  <c r="W500" i="29"/>
  <c r="V500" i="29"/>
  <c r="S500" i="29"/>
  <c r="W499" i="29"/>
  <c r="V499" i="29"/>
  <c r="S499" i="29"/>
  <c r="W498" i="29"/>
  <c r="V498" i="29"/>
  <c r="S498" i="29"/>
  <c r="W497" i="29"/>
  <c r="V497" i="29"/>
  <c r="S497" i="29"/>
  <c r="W496" i="29"/>
  <c r="V496" i="29"/>
  <c r="S496" i="29"/>
  <c r="W495" i="29"/>
  <c r="V495" i="29"/>
  <c r="S495" i="29"/>
  <c r="W494" i="29"/>
  <c r="V494" i="29"/>
  <c r="S494" i="29"/>
  <c r="W493" i="29"/>
  <c r="V493" i="29"/>
  <c r="S493" i="29"/>
  <c r="W492" i="29"/>
  <c r="V492" i="29"/>
  <c r="S492" i="29"/>
  <c r="W491" i="29"/>
  <c r="V491" i="29"/>
  <c r="S491" i="29"/>
  <c r="W490" i="29"/>
  <c r="V490" i="29"/>
  <c r="S490" i="29"/>
  <c r="W489" i="29"/>
  <c r="V489" i="29"/>
  <c r="S489" i="29"/>
  <c r="W488" i="29"/>
  <c r="V488" i="29"/>
  <c r="S488" i="29"/>
  <c r="W487" i="29"/>
  <c r="V487" i="29"/>
  <c r="S487" i="29"/>
  <c r="W486" i="29"/>
  <c r="V486" i="29"/>
  <c r="S486" i="29"/>
  <c r="W485" i="29"/>
  <c r="V485" i="29"/>
  <c r="S485" i="29"/>
  <c r="W484" i="29"/>
  <c r="V484" i="29"/>
  <c r="S484" i="29"/>
  <c r="W483" i="29"/>
  <c r="V483" i="29"/>
  <c r="S483" i="29"/>
  <c r="W482" i="29"/>
  <c r="V482" i="29"/>
  <c r="S482" i="29"/>
  <c r="W481" i="29"/>
  <c r="V481" i="29"/>
  <c r="S481" i="29"/>
  <c r="W480" i="29"/>
  <c r="V480" i="29"/>
  <c r="S480" i="29"/>
  <c r="W479" i="29"/>
  <c r="V479" i="29"/>
  <c r="S479" i="29"/>
  <c r="W478" i="29"/>
  <c r="V478" i="29"/>
  <c r="S478" i="29"/>
  <c r="W477" i="29"/>
  <c r="V477" i="29"/>
  <c r="S477" i="29"/>
  <c r="W476" i="29"/>
  <c r="V476" i="29"/>
  <c r="S476" i="29"/>
  <c r="W475" i="29"/>
  <c r="V475" i="29"/>
  <c r="S475" i="29"/>
  <c r="W474" i="29"/>
  <c r="V474" i="29"/>
  <c r="S474" i="29"/>
  <c r="W473" i="29"/>
  <c r="V473" i="29"/>
  <c r="S473" i="29"/>
  <c r="W472" i="29"/>
  <c r="V472" i="29"/>
  <c r="S472" i="29"/>
  <c r="W471" i="29"/>
  <c r="V471" i="29"/>
  <c r="S471" i="29"/>
  <c r="W470" i="29"/>
  <c r="V470" i="29"/>
  <c r="S470" i="29"/>
  <c r="W469" i="29"/>
  <c r="V469" i="29"/>
  <c r="S469" i="29"/>
  <c r="W468" i="29"/>
  <c r="V468" i="29"/>
  <c r="S468" i="29"/>
  <c r="W467" i="29"/>
  <c r="V467" i="29"/>
  <c r="S467" i="29"/>
  <c r="W466" i="29"/>
  <c r="V466" i="29"/>
  <c r="S466" i="29"/>
  <c r="W465" i="29"/>
  <c r="V465" i="29"/>
  <c r="S465" i="29"/>
  <c r="W464" i="29"/>
  <c r="V464" i="29"/>
  <c r="S464" i="29"/>
  <c r="W463" i="29"/>
  <c r="V463" i="29"/>
  <c r="S463" i="29"/>
  <c r="W462" i="29"/>
  <c r="V462" i="29"/>
  <c r="S462" i="29"/>
  <c r="W461" i="29"/>
  <c r="V461" i="29"/>
  <c r="S461" i="29"/>
  <c r="W460" i="29"/>
  <c r="V460" i="29"/>
  <c r="S460" i="29"/>
  <c r="W459" i="29"/>
  <c r="V459" i="29"/>
  <c r="S459" i="29"/>
  <c r="W458" i="29"/>
  <c r="V458" i="29"/>
  <c r="S458" i="29"/>
  <c r="W457" i="29"/>
  <c r="V457" i="29"/>
  <c r="S457" i="29"/>
  <c r="W456" i="29"/>
  <c r="V456" i="29"/>
  <c r="S456" i="29"/>
  <c r="W455" i="29"/>
  <c r="V455" i="29"/>
  <c r="S455" i="29"/>
  <c r="W454" i="29"/>
  <c r="V454" i="29"/>
  <c r="S454" i="29"/>
  <c r="W453" i="29"/>
  <c r="V453" i="29"/>
  <c r="S453" i="29"/>
  <c r="W452" i="29"/>
  <c r="V452" i="29"/>
  <c r="S452" i="29"/>
  <c r="W451" i="29"/>
  <c r="V451" i="29"/>
  <c r="S451" i="29"/>
  <c r="W450" i="29"/>
  <c r="V450" i="29"/>
  <c r="S450" i="29"/>
  <c r="W449" i="29"/>
  <c r="V449" i="29"/>
  <c r="S449" i="29"/>
  <c r="W448" i="29"/>
  <c r="V448" i="29"/>
  <c r="S448" i="29"/>
  <c r="W447" i="29"/>
  <c r="V447" i="29"/>
  <c r="S447" i="29"/>
  <c r="W446" i="29"/>
  <c r="V446" i="29"/>
  <c r="S446" i="29"/>
  <c r="W445" i="29"/>
  <c r="V445" i="29"/>
  <c r="S445" i="29"/>
  <c r="W444" i="29"/>
  <c r="V444" i="29"/>
  <c r="S444" i="29"/>
  <c r="W443" i="29"/>
  <c r="V443" i="29"/>
  <c r="S443" i="29"/>
  <c r="W442" i="29"/>
  <c r="V442" i="29"/>
  <c r="S442" i="29"/>
  <c r="W441" i="29"/>
  <c r="V441" i="29"/>
  <c r="S441" i="29"/>
  <c r="W440" i="29"/>
  <c r="V440" i="29"/>
  <c r="S440" i="29"/>
  <c r="W439" i="29"/>
  <c r="V439" i="29"/>
  <c r="S439" i="29"/>
  <c r="W438" i="29"/>
  <c r="V438" i="29"/>
  <c r="S438" i="29"/>
  <c r="W437" i="29"/>
  <c r="V437" i="29"/>
  <c r="S437" i="29"/>
  <c r="W436" i="29"/>
  <c r="V436" i="29"/>
  <c r="S436" i="29"/>
  <c r="W435" i="29"/>
  <c r="V435" i="29"/>
  <c r="S435" i="29"/>
  <c r="W434" i="29"/>
  <c r="V434" i="29"/>
  <c r="S434" i="29"/>
  <c r="W433" i="29"/>
  <c r="V433" i="29"/>
  <c r="S433" i="29"/>
  <c r="W432" i="29"/>
  <c r="V432" i="29"/>
  <c r="S432" i="29"/>
  <c r="W431" i="29"/>
  <c r="V431" i="29"/>
  <c r="S431" i="29"/>
  <c r="W430" i="29"/>
  <c r="V430" i="29"/>
  <c r="S430" i="29"/>
  <c r="W429" i="29"/>
  <c r="V429" i="29"/>
  <c r="S429" i="29"/>
  <c r="W428" i="29"/>
  <c r="V428" i="29"/>
  <c r="S428" i="29"/>
  <c r="W427" i="29"/>
  <c r="V427" i="29"/>
  <c r="S427" i="29"/>
  <c r="W426" i="29"/>
  <c r="V426" i="29"/>
  <c r="S426" i="29"/>
  <c r="W425" i="29"/>
  <c r="V425" i="29"/>
  <c r="S425" i="29"/>
  <c r="W424" i="29"/>
  <c r="V424" i="29"/>
  <c r="S424" i="29"/>
  <c r="W423" i="29"/>
  <c r="V423" i="29"/>
  <c r="S423" i="29"/>
  <c r="W422" i="29"/>
  <c r="V422" i="29"/>
  <c r="S422" i="29"/>
  <c r="W421" i="29"/>
  <c r="V421" i="29"/>
  <c r="S421" i="29"/>
  <c r="W420" i="29"/>
  <c r="V420" i="29"/>
  <c r="S420" i="29"/>
  <c r="W419" i="29"/>
  <c r="V419" i="29"/>
  <c r="S419" i="29"/>
  <c r="W418" i="29"/>
  <c r="V418" i="29"/>
  <c r="S418" i="29"/>
  <c r="W417" i="29"/>
  <c r="V417" i="29"/>
  <c r="S417" i="29"/>
  <c r="W416" i="29"/>
  <c r="V416" i="29"/>
  <c r="S416" i="29"/>
  <c r="W415" i="29"/>
  <c r="V415" i="29"/>
  <c r="S415" i="29"/>
  <c r="W414" i="29"/>
  <c r="V414" i="29"/>
  <c r="S414" i="29"/>
  <c r="W413" i="29"/>
  <c r="V413" i="29"/>
  <c r="S413" i="29"/>
  <c r="W412" i="29"/>
  <c r="V412" i="29"/>
  <c r="S412" i="29"/>
  <c r="W411" i="29"/>
  <c r="V411" i="29"/>
  <c r="S411" i="29"/>
  <c r="W410" i="29"/>
  <c r="V410" i="29"/>
  <c r="S410" i="29"/>
  <c r="W409" i="29"/>
  <c r="V409" i="29"/>
  <c r="S409" i="29"/>
  <c r="W408" i="29"/>
  <c r="V408" i="29"/>
  <c r="S408" i="29"/>
  <c r="W407" i="29"/>
  <c r="V407" i="29"/>
  <c r="S407" i="29"/>
  <c r="W406" i="29"/>
  <c r="V406" i="29"/>
  <c r="S406" i="29"/>
  <c r="W405" i="29"/>
  <c r="V405" i="29"/>
  <c r="S405" i="29"/>
  <c r="W404" i="29"/>
  <c r="V404" i="29"/>
  <c r="S404" i="29"/>
  <c r="W403" i="29"/>
  <c r="V403" i="29"/>
  <c r="S403" i="29"/>
  <c r="W402" i="29"/>
  <c r="V402" i="29"/>
  <c r="S402" i="29"/>
  <c r="W401" i="29"/>
  <c r="V401" i="29"/>
  <c r="S401" i="29"/>
  <c r="W400" i="29"/>
  <c r="V400" i="29"/>
  <c r="S400" i="29"/>
  <c r="W399" i="29"/>
  <c r="V399" i="29"/>
  <c r="S399" i="29"/>
  <c r="W398" i="29"/>
  <c r="V398" i="29"/>
  <c r="S398" i="29"/>
  <c r="W397" i="29"/>
  <c r="V397" i="29"/>
  <c r="S397" i="29"/>
  <c r="W396" i="29"/>
  <c r="V396" i="29"/>
  <c r="S396" i="29"/>
  <c r="W395" i="29"/>
  <c r="V395" i="29"/>
  <c r="S395" i="29"/>
  <c r="W394" i="29"/>
  <c r="V394" i="29"/>
  <c r="S394" i="29"/>
  <c r="W393" i="29"/>
  <c r="V393" i="29"/>
  <c r="S393" i="29"/>
  <c r="W392" i="29"/>
  <c r="V392" i="29"/>
  <c r="S392" i="29"/>
  <c r="W391" i="29"/>
  <c r="V391" i="29"/>
  <c r="S391" i="29"/>
  <c r="W390" i="29"/>
  <c r="V390" i="29"/>
  <c r="S390" i="29"/>
  <c r="W389" i="29"/>
  <c r="V389" i="29"/>
  <c r="S389" i="29"/>
  <c r="W388" i="29"/>
  <c r="V388" i="29"/>
  <c r="S388" i="29"/>
  <c r="W387" i="29"/>
  <c r="V387" i="29"/>
  <c r="S387" i="29"/>
  <c r="W386" i="29"/>
  <c r="V386" i="29"/>
  <c r="S386" i="29"/>
  <c r="W385" i="29"/>
  <c r="V385" i="29"/>
  <c r="S385" i="29"/>
  <c r="W384" i="29"/>
  <c r="V384" i="29"/>
  <c r="S384" i="29"/>
  <c r="W383" i="29"/>
  <c r="V383" i="29"/>
  <c r="S383" i="29"/>
  <c r="W382" i="29"/>
  <c r="V382" i="29"/>
  <c r="S382" i="29"/>
  <c r="W381" i="29"/>
  <c r="V381" i="29"/>
  <c r="S381" i="29"/>
  <c r="W380" i="29"/>
  <c r="V380" i="29"/>
  <c r="S380" i="29"/>
  <c r="W379" i="29"/>
  <c r="V379" i="29"/>
  <c r="S379" i="29"/>
  <c r="W378" i="29"/>
  <c r="V378" i="29"/>
  <c r="S378" i="29"/>
  <c r="W377" i="29"/>
  <c r="V377" i="29"/>
  <c r="S377" i="29"/>
  <c r="W376" i="29"/>
  <c r="V376" i="29"/>
  <c r="S376" i="29"/>
  <c r="W375" i="29"/>
  <c r="V375" i="29"/>
  <c r="S375" i="29"/>
  <c r="W374" i="29"/>
  <c r="V374" i="29"/>
  <c r="S374" i="29"/>
  <c r="W373" i="29"/>
  <c r="V373" i="29"/>
  <c r="S373" i="29"/>
  <c r="W372" i="29"/>
  <c r="V372" i="29"/>
  <c r="S372" i="29"/>
  <c r="W371" i="29"/>
  <c r="V371" i="29"/>
  <c r="S371" i="29"/>
  <c r="W370" i="29"/>
  <c r="V370" i="29"/>
  <c r="S370" i="29"/>
  <c r="W369" i="29"/>
  <c r="V369" i="29"/>
  <c r="S369" i="29"/>
  <c r="W368" i="29"/>
  <c r="V368" i="29"/>
  <c r="S368" i="29"/>
  <c r="W367" i="29"/>
  <c r="V367" i="29"/>
  <c r="S367" i="29"/>
  <c r="W366" i="29"/>
  <c r="V366" i="29"/>
  <c r="S366" i="29"/>
  <c r="W365" i="29"/>
  <c r="V365" i="29"/>
  <c r="S365" i="29"/>
  <c r="W364" i="29"/>
  <c r="V364" i="29"/>
  <c r="S364" i="29"/>
  <c r="W363" i="29"/>
  <c r="V363" i="29"/>
  <c r="S363" i="29"/>
  <c r="W362" i="29"/>
  <c r="V362" i="29"/>
  <c r="S362" i="29"/>
  <c r="W361" i="29"/>
  <c r="V361" i="29"/>
  <c r="S361" i="29"/>
  <c r="W360" i="29"/>
  <c r="V360" i="29"/>
  <c r="S360" i="29"/>
  <c r="W359" i="29"/>
  <c r="V359" i="29"/>
  <c r="S359" i="29"/>
  <c r="W358" i="29"/>
  <c r="V358" i="29"/>
  <c r="S358" i="29"/>
  <c r="W357" i="29"/>
  <c r="V357" i="29"/>
  <c r="S357" i="29"/>
  <c r="W356" i="29"/>
  <c r="V356" i="29"/>
  <c r="S356" i="29"/>
  <c r="W355" i="29"/>
  <c r="V355" i="29"/>
  <c r="S355" i="29"/>
  <c r="W354" i="29"/>
  <c r="V354" i="29"/>
  <c r="S354" i="29"/>
  <c r="W353" i="29"/>
  <c r="V353" i="29"/>
  <c r="S353" i="29"/>
  <c r="W352" i="29"/>
  <c r="V352" i="29"/>
  <c r="S352" i="29"/>
  <c r="W351" i="29"/>
  <c r="V351" i="29"/>
  <c r="S351" i="29"/>
  <c r="W350" i="29"/>
  <c r="V350" i="29"/>
  <c r="S350" i="29"/>
  <c r="W349" i="29"/>
  <c r="V349" i="29"/>
  <c r="S349" i="29"/>
  <c r="W348" i="29"/>
  <c r="V348" i="29"/>
  <c r="S348" i="29"/>
  <c r="W347" i="29"/>
  <c r="V347" i="29"/>
  <c r="S347" i="29"/>
  <c r="W346" i="29"/>
  <c r="V346" i="29"/>
  <c r="S346" i="29"/>
  <c r="W345" i="29"/>
  <c r="V345" i="29"/>
  <c r="S345" i="29"/>
  <c r="W344" i="29"/>
  <c r="V344" i="29"/>
  <c r="S344" i="29"/>
  <c r="W343" i="29"/>
  <c r="V343" i="29"/>
  <c r="S343" i="29"/>
  <c r="W342" i="29"/>
  <c r="V342" i="29"/>
  <c r="S342" i="29"/>
  <c r="W341" i="29"/>
  <c r="V341" i="29"/>
  <c r="S341" i="29"/>
  <c r="W340" i="29"/>
  <c r="V340" i="29"/>
  <c r="S340" i="29"/>
  <c r="W339" i="29"/>
  <c r="V339" i="29"/>
  <c r="S339" i="29"/>
  <c r="W338" i="29"/>
  <c r="V338" i="29"/>
  <c r="S338" i="29"/>
  <c r="W337" i="29"/>
  <c r="V337" i="29"/>
  <c r="S337" i="29"/>
  <c r="W336" i="29"/>
  <c r="V336" i="29"/>
  <c r="S336" i="29"/>
  <c r="W335" i="29"/>
  <c r="V335" i="29"/>
  <c r="S335" i="29"/>
  <c r="W334" i="29"/>
  <c r="V334" i="29"/>
  <c r="S334" i="29"/>
  <c r="W333" i="29"/>
  <c r="V333" i="29"/>
  <c r="S333" i="29"/>
  <c r="W332" i="29"/>
  <c r="V332" i="29"/>
  <c r="S332" i="29"/>
  <c r="W331" i="29"/>
  <c r="V331" i="29"/>
  <c r="S331" i="29"/>
  <c r="W330" i="29"/>
  <c r="V330" i="29"/>
  <c r="S330" i="29"/>
  <c r="W329" i="29"/>
  <c r="V329" i="29"/>
  <c r="S329" i="29"/>
  <c r="W328" i="29"/>
  <c r="V328" i="29"/>
  <c r="S328" i="29"/>
  <c r="W327" i="29"/>
  <c r="V327" i="29"/>
  <c r="S327" i="29"/>
  <c r="W326" i="29"/>
  <c r="V326" i="29"/>
  <c r="S326" i="29"/>
  <c r="W325" i="29"/>
  <c r="V325" i="29"/>
  <c r="S325" i="29"/>
  <c r="W324" i="29"/>
  <c r="V324" i="29"/>
  <c r="S324" i="29"/>
  <c r="W323" i="29"/>
  <c r="V323" i="29"/>
  <c r="S323" i="29"/>
  <c r="W322" i="29"/>
  <c r="V322" i="29"/>
  <c r="S322" i="29"/>
  <c r="W321" i="29"/>
  <c r="V321" i="29"/>
  <c r="S321" i="29"/>
  <c r="W320" i="29"/>
  <c r="V320" i="29"/>
  <c r="S320" i="29"/>
  <c r="W319" i="29"/>
  <c r="V319" i="29"/>
  <c r="S319" i="29"/>
  <c r="W318" i="29"/>
  <c r="V318" i="29"/>
  <c r="S318" i="29"/>
  <c r="W317" i="29"/>
  <c r="V317" i="29"/>
  <c r="S317" i="29"/>
  <c r="W316" i="29"/>
  <c r="V316" i="29"/>
  <c r="S316" i="29"/>
  <c r="W315" i="29"/>
  <c r="V315" i="29"/>
  <c r="S315" i="29"/>
  <c r="W314" i="29"/>
  <c r="V314" i="29"/>
  <c r="S314" i="29"/>
  <c r="W313" i="29"/>
  <c r="V313" i="29"/>
  <c r="S313" i="29"/>
  <c r="W312" i="29"/>
  <c r="V312" i="29"/>
  <c r="S312" i="29"/>
  <c r="W311" i="29"/>
  <c r="V311" i="29"/>
  <c r="S311" i="29"/>
  <c r="W310" i="29"/>
  <c r="V310" i="29"/>
  <c r="S310" i="29"/>
  <c r="W309" i="29"/>
  <c r="V309" i="29"/>
  <c r="S309" i="29"/>
  <c r="W308" i="29"/>
  <c r="V308" i="29"/>
  <c r="S308" i="29"/>
  <c r="W307" i="29"/>
  <c r="V307" i="29"/>
  <c r="S307" i="29"/>
  <c r="W306" i="29"/>
  <c r="V306" i="29"/>
  <c r="S306" i="29"/>
  <c r="W305" i="29"/>
  <c r="V305" i="29"/>
  <c r="S305" i="29"/>
  <c r="W304" i="29"/>
  <c r="V304" i="29"/>
  <c r="S304" i="29"/>
  <c r="W303" i="29"/>
  <c r="V303" i="29"/>
  <c r="S303" i="29"/>
  <c r="W302" i="29"/>
  <c r="V302" i="29"/>
  <c r="S302" i="29"/>
  <c r="W301" i="29"/>
  <c r="V301" i="29"/>
  <c r="S301" i="29"/>
  <c r="W300" i="29"/>
  <c r="V300" i="29"/>
  <c r="S300" i="29"/>
  <c r="W299" i="29"/>
  <c r="V299" i="29"/>
  <c r="S299" i="29"/>
  <c r="W298" i="29"/>
  <c r="V298" i="29"/>
  <c r="S298" i="29"/>
  <c r="W297" i="29"/>
  <c r="V297" i="29"/>
  <c r="S297" i="29"/>
  <c r="W296" i="29"/>
  <c r="V296" i="29"/>
  <c r="S296" i="29"/>
  <c r="W295" i="29"/>
  <c r="V295" i="29"/>
  <c r="S295" i="29"/>
  <c r="W294" i="29"/>
  <c r="V294" i="29"/>
  <c r="S294" i="29"/>
  <c r="W293" i="29"/>
  <c r="V293" i="29"/>
  <c r="S293" i="29"/>
  <c r="W292" i="29"/>
  <c r="V292" i="29"/>
  <c r="S292" i="29"/>
  <c r="W291" i="29"/>
  <c r="V291" i="29"/>
  <c r="S291" i="29"/>
  <c r="W290" i="29"/>
  <c r="V290" i="29"/>
  <c r="S290" i="29"/>
  <c r="W289" i="29"/>
  <c r="V289" i="29"/>
  <c r="S289" i="29"/>
  <c r="W288" i="29"/>
  <c r="V288" i="29"/>
  <c r="S288" i="29"/>
  <c r="W287" i="29"/>
  <c r="V287" i="29"/>
  <c r="S287" i="29"/>
  <c r="W286" i="29"/>
  <c r="V286" i="29"/>
  <c r="S286" i="29"/>
  <c r="W285" i="29"/>
  <c r="V285" i="29"/>
  <c r="S285" i="29"/>
  <c r="W284" i="29"/>
  <c r="V284" i="29"/>
  <c r="S284" i="29"/>
  <c r="W283" i="29"/>
  <c r="V283" i="29"/>
  <c r="S283" i="29"/>
  <c r="W282" i="29"/>
  <c r="V282" i="29"/>
  <c r="S282" i="29"/>
  <c r="W281" i="29"/>
  <c r="V281" i="29"/>
  <c r="S281" i="29"/>
  <c r="W280" i="29"/>
  <c r="V280" i="29"/>
  <c r="S280" i="29"/>
  <c r="W279" i="29"/>
  <c r="V279" i="29"/>
  <c r="S279" i="29"/>
  <c r="W278" i="29"/>
  <c r="V278" i="29"/>
  <c r="S278" i="29"/>
  <c r="W277" i="29"/>
  <c r="V277" i="29"/>
  <c r="S277" i="29"/>
  <c r="W276" i="29"/>
  <c r="V276" i="29"/>
  <c r="S276" i="29"/>
  <c r="W275" i="29"/>
  <c r="V275" i="29"/>
  <c r="S275" i="29"/>
  <c r="W274" i="29"/>
  <c r="V274" i="29"/>
  <c r="S274" i="29"/>
  <c r="W273" i="29"/>
  <c r="V273" i="29"/>
  <c r="S273" i="29"/>
  <c r="W272" i="29"/>
  <c r="V272" i="29"/>
  <c r="S272" i="29"/>
  <c r="W271" i="29"/>
  <c r="V271" i="29"/>
  <c r="S271" i="29"/>
  <c r="W270" i="29"/>
  <c r="V270" i="29"/>
  <c r="S270" i="29"/>
  <c r="W269" i="29"/>
  <c r="V269" i="29"/>
  <c r="S269" i="29"/>
  <c r="W268" i="29"/>
  <c r="V268" i="29"/>
  <c r="S268" i="29"/>
  <c r="W267" i="29"/>
  <c r="V267" i="29"/>
  <c r="S267" i="29"/>
  <c r="W266" i="29"/>
  <c r="V266" i="29"/>
  <c r="S266" i="29"/>
  <c r="W265" i="29"/>
  <c r="V265" i="29"/>
  <c r="S265" i="29"/>
  <c r="W264" i="29"/>
  <c r="V264" i="29"/>
  <c r="S264" i="29"/>
  <c r="W263" i="29"/>
  <c r="V263" i="29"/>
  <c r="S263" i="29"/>
  <c r="W262" i="29"/>
  <c r="V262" i="29"/>
  <c r="S262" i="29"/>
  <c r="W261" i="29"/>
  <c r="V261" i="29"/>
  <c r="S261" i="29"/>
  <c r="W260" i="29"/>
  <c r="V260" i="29"/>
  <c r="S260" i="29"/>
  <c r="W259" i="29"/>
  <c r="V259" i="29"/>
  <c r="S259" i="29"/>
  <c r="W258" i="29"/>
  <c r="V258" i="29"/>
  <c r="S258" i="29"/>
  <c r="W257" i="29"/>
  <c r="V257" i="29"/>
  <c r="S257" i="29"/>
  <c r="W256" i="29"/>
  <c r="V256" i="29"/>
  <c r="S256" i="29"/>
  <c r="W255" i="29"/>
  <c r="V255" i="29"/>
  <c r="S255" i="29"/>
  <c r="W254" i="29"/>
  <c r="V254" i="29"/>
  <c r="S254" i="29"/>
  <c r="W253" i="29"/>
  <c r="V253" i="29"/>
  <c r="S253" i="29"/>
  <c r="W252" i="29"/>
  <c r="V252" i="29"/>
  <c r="S252" i="29"/>
  <c r="W251" i="29"/>
  <c r="V251" i="29"/>
  <c r="S251" i="29"/>
  <c r="W250" i="29"/>
  <c r="V250" i="29"/>
  <c r="S250" i="29"/>
  <c r="W249" i="29"/>
  <c r="V249" i="29"/>
  <c r="S249" i="29"/>
  <c r="W248" i="29"/>
  <c r="V248" i="29"/>
  <c r="S248" i="29"/>
  <c r="W247" i="29"/>
  <c r="V247" i="29"/>
  <c r="S247" i="29"/>
  <c r="W246" i="29"/>
  <c r="V246" i="29"/>
  <c r="S246" i="29"/>
  <c r="W245" i="29"/>
  <c r="V245" i="29"/>
  <c r="S245" i="29"/>
  <c r="W244" i="29"/>
  <c r="V244" i="29"/>
  <c r="S244" i="29"/>
  <c r="W243" i="29"/>
  <c r="V243" i="29"/>
  <c r="S243" i="29"/>
  <c r="W242" i="29"/>
  <c r="V242" i="29"/>
  <c r="S242" i="29"/>
  <c r="W241" i="29"/>
  <c r="V241" i="29"/>
  <c r="S241" i="29"/>
  <c r="W240" i="29"/>
  <c r="V240" i="29"/>
  <c r="S240" i="29"/>
  <c r="W239" i="29"/>
  <c r="V239" i="29"/>
  <c r="S239" i="29"/>
  <c r="W238" i="29"/>
  <c r="V238" i="29"/>
  <c r="S238" i="29"/>
  <c r="W237" i="29"/>
  <c r="V237" i="29"/>
  <c r="S237" i="29"/>
  <c r="W236" i="29"/>
  <c r="V236" i="29"/>
  <c r="S236" i="29"/>
  <c r="W235" i="29"/>
  <c r="V235" i="29"/>
  <c r="S235" i="29"/>
  <c r="W234" i="29"/>
  <c r="V234" i="29"/>
  <c r="S234" i="29"/>
  <c r="W233" i="29"/>
  <c r="V233" i="29"/>
  <c r="S233" i="29"/>
  <c r="W232" i="29"/>
  <c r="V232" i="29"/>
  <c r="S232" i="29"/>
  <c r="W231" i="29"/>
  <c r="V231" i="29"/>
  <c r="S231" i="29"/>
  <c r="W230" i="29"/>
  <c r="V230" i="29"/>
  <c r="S230" i="29"/>
  <c r="W229" i="29"/>
  <c r="V229" i="29"/>
  <c r="S229" i="29"/>
  <c r="W228" i="29"/>
  <c r="V228" i="29"/>
  <c r="S228" i="29"/>
  <c r="W227" i="29"/>
  <c r="V227" i="29"/>
  <c r="S227" i="29"/>
  <c r="W226" i="29"/>
  <c r="V226" i="29"/>
  <c r="S226" i="29"/>
  <c r="W225" i="29"/>
  <c r="V225" i="29"/>
  <c r="S225" i="29"/>
  <c r="W224" i="29"/>
  <c r="V224" i="29"/>
  <c r="S224" i="29"/>
  <c r="W223" i="29"/>
  <c r="V223" i="29"/>
  <c r="S223" i="29"/>
  <c r="W222" i="29"/>
  <c r="V222" i="29"/>
  <c r="S222" i="29"/>
  <c r="W221" i="29"/>
  <c r="V221" i="29"/>
  <c r="S221" i="29"/>
  <c r="W220" i="29"/>
  <c r="V220" i="29"/>
  <c r="S220" i="29"/>
  <c r="W219" i="29"/>
  <c r="V219" i="29"/>
  <c r="S219" i="29"/>
  <c r="W218" i="29"/>
  <c r="V218" i="29"/>
  <c r="S218" i="29"/>
  <c r="W217" i="29"/>
  <c r="V217" i="29"/>
  <c r="S217" i="29"/>
  <c r="W216" i="29"/>
  <c r="V216" i="29"/>
  <c r="S216" i="29"/>
  <c r="W215" i="29"/>
  <c r="V215" i="29"/>
  <c r="S215" i="29"/>
  <c r="W214" i="29"/>
  <c r="V214" i="29"/>
  <c r="S214" i="29"/>
  <c r="W213" i="29"/>
  <c r="V213" i="29"/>
  <c r="S213" i="29"/>
  <c r="W212" i="29"/>
  <c r="V212" i="29"/>
  <c r="S212" i="29"/>
  <c r="W211" i="29"/>
  <c r="V211" i="29"/>
  <c r="S211" i="29"/>
  <c r="W210" i="29"/>
  <c r="V210" i="29"/>
  <c r="S210" i="29"/>
  <c r="W209" i="29"/>
  <c r="V209" i="29"/>
  <c r="S209" i="29"/>
  <c r="W208" i="29"/>
  <c r="V208" i="29"/>
  <c r="S208" i="29"/>
  <c r="W207" i="29"/>
  <c r="V207" i="29"/>
  <c r="S207" i="29"/>
  <c r="W206" i="29"/>
  <c r="V206" i="29"/>
  <c r="S206" i="29"/>
  <c r="W205" i="29"/>
  <c r="V205" i="29"/>
  <c r="S205" i="29"/>
  <c r="W204" i="29"/>
  <c r="V204" i="29"/>
  <c r="S204" i="29"/>
  <c r="W203" i="29"/>
  <c r="V203" i="29"/>
  <c r="S203" i="29"/>
  <c r="W202" i="29"/>
  <c r="V202" i="29"/>
  <c r="S202" i="29"/>
  <c r="W201" i="29"/>
  <c r="V201" i="29"/>
  <c r="S201" i="29"/>
  <c r="W200" i="29"/>
  <c r="V200" i="29"/>
  <c r="S200" i="29"/>
  <c r="W199" i="29"/>
  <c r="V199" i="29"/>
  <c r="S199" i="29"/>
  <c r="W198" i="29"/>
  <c r="V198" i="29"/>
  <c r="S198" i="29"/>
  <c r="W197" i="29"/>
  <c r="V197" i="29"/>
  <c r="S197" i="29"/>
  <c r="W196" i="29"/>
  <c r="V196" i="29"/>
  <c r="S196" i="29"/>
  <c r="W195" i="29"/>
  <c r="V195" i="29"/>
  <c r="S195" i="29"/>
  <c r="W194" i="29"/>
  <c r="V194" i="29"/>
  <c r="S194" i="29"/>
  <c r="W193" i="29"/>
  <c r="V193" i="29"/>
  <c r="S193" i="29"/>
  <c r="W192" i="29"/>
  <c r="V192" i="29"/>
  <c r="S192" i="29"/>
  <c r="W191" i="29"/>
  <c r="V191" i="29"/>
  <c r="S191" i="29"/>
  <c r="W190" i="29"/>
  <c r="V190" i="29"/>
  <c r="S190" i="29"/>
  <c r="W189" i="29"/>
  <c r="V189" i="29"/>
  <c r="S189" i="29"/>
  <c r="W188" i="29"/>
  <c r="V188" i="29"/>
  <c r="S188" i="29"/>
  <c r="W187" i="29"/>
  <c r="V187" i="29"/>
  <c r="S187" i="29"/>
  <c r="W186" i="29"/>
  <c r="V186" i="29"/>
  <c r="S186" i="29"/>
  <c r="W185" i="29"/>
  <c r="V185" i="29"/>
  <c r="S185" i="29"/>
  <c r="W184" i="29"/>
  <c r="V184" i="29"/>
  <c r="S184" i="29"/>
  <c r="W183" i="29"/>
  <c r="V183" i="29"/>
  <c r="S183" i="29"/>
  <c r="W182" i="29"/>
  <c r="V182" i="29"/>
  <c r="S182" i="29"/>
  <c r="W181" i="29"/>
  <c r="V181" i="29"/>
  <c r="S181" i="29"/>
  <c r="W180" i="29"/>
  <c r="V180" i="29"/>
  <c r="S180" i="29"/>
  <c r="W179" i="29"/>
  <c r="V179" i="29"/>
  <c r="S179" i="29"/>
  <c r="W178" i="29"/>
  <c r="V178" i="29"/>
  <c r="S178" i="29"/>
  <c r="W177" i="29"/>
  <c r="V177" i="29"/>
  <c r="S177" i="29"/>
  <c r="W176" i="29"/>
  <c r="V176" i="29"/>
  <c r="S176" i="29"/>
  <c r="W175" i="29"/>
  <c r="V175" i="29"/>
  <c r="S175" i="29"/>
  <c r="W174" i="29"/>
  <c r="V174" i="29"/>
  <c r="S174" i="29"/>
  <c r="W173" i="29"/>
  <c r="V173" i="29"/>
  <c r="S173" i="29"/>
  <c r="W172" i="29"/>
  <c r="V172" i="29"/>
  <c r="S172" i="29"/>
  <c r="W171" i="29"/>
  <c r="V171" i="29"/>
  <c r="S171" i="29"/>
  <c r="W170" i="29"/>
  <c r="V170" i="29"/>
  <c r="S170" i="29"/>
  <c r="W169" i="29"/>
  <c r="V169" i="29"/>
  <c r="S169" i="29"/>
  <c r="W168" i="29"/>
  <c r="V168" i="29"/>
  <c r="S168" i="29"/>
  <c r="W167" i="29"/>
  <c r="V167" i="29"/>
  <c r="S167" i="29"/>
  <c r="W166" i="29"/>
  <c r="V166" i="29"/>
  <c r="S166" i="29"/>
  <c r="W165" i="29"/>
  <c r="V165" i="29"/>
  <c r="S165" i="29"/>
  <c r="W164" i="29"/>
  <c r="V164" i="29"/>
  <c r="S164" i="29"/>
  <c r="W163" i="29"/>
  <c r="V163" i="29"/>
  <c r="S163" i="29"/>
  <c r="W162" i="29"/>
  <c r="V162" i="29"/>
  <c r="S162" i="29"/>
  <c r="W161" i="29"/>
  <c r="V161" i="29"/>
  <c r="S161" i="29"/>
  <c r="W160" i="29"/>
  <c r="V160" i="29"/>
  <c r="S160" i="29"/>
  <c r="W159" i="29"/>
  <c r="V159" i="29"/>
  <c r="S159" i="29"/>
  <c r="W158" i="29"/>
  <c r="V158" i="29"/>
  <c r="S158" i="29"/>
  <c r="W157" i="29"/>
  <c r="V157" i="29"/>
  <c r="S157" i="29"/>
  <c r="W156" i="29"/>
  <c r="V156" i="29"/>
  <c r="S156" i="29"/>
  <c r="W155" i="29"/>
  <c r="V155" i="29"/>
  <c r="S155" i="29"/>
  <c r="W154" i="29"/>
  <c r="V154" i="29"/>
  <c r="S154" i="29"/>
  <c r="W153" i="29"/>
  <c r="V153" i="29"/>
  <c r="S153" i="29"/>
  <c r="W152" i="29"/>
  <c r="V152" i="29"/>
  <c r="S152" i="29"/>
  <c r="W151" i="29"/>
  <c r="V151" i="29"/>
  <c r="S151" i="29"/>
  <c r="W150" i="29"/>
  <c r="V150" i="29"/>
  <c r="S150" i="29"/>
  <c r="W149" i="29"/>
  <c r="V149" i="29"/>
  <c r="S149" i="29"/>
  <c r="W148" i="29"/>
  <c r="V148" i="29"/>
  <c r="S148" i="29"/>
  <c r="W147" i="29"/>
  <c r="V147" i="29"/>
  <c r="S147" i="29"/>
  <c r="W146" i="29"/>
  <c r="V146" i="29"/>
  <c r="S146" i="29"/>
  <c r="W145" i="29"/>
  <c r="V145" i="29"/>
  <c r="S145" i="29"/>
  <c r="W144" i="29"/>
  <c r="V144" i="29"/>
  <c r="S144" i="29"/>
  <c r="W143" i="29"/>
  <c r="V143" i="29"/>
  <c r="S143" i="29"/>
  <c r="W142" i="29"/>
  <c r="V142" i="29"/>
  <c r="S142" i="29"/>
  <c r="W141" i="29"/>
  <c r="V141" i="29"/>
  <c r="S141" i="29"/>
  <c r="W140" i="29"/>
  <c r="V140" i="29"/>
  <c r="S140" i="29"/>
  <c r="W139" i="29"/>
  <c r="V139" i="29"/>
  <c r="S139" i="29"/>
  <c r="W138" i="29"/>
  <c r="V138" i="29"/>
  <c r="S138" i="29"/>
  <c r="W137" i="29"/>
  <c r="V137" i="29"/>
  <c r="S137" i="29"/>
  <c r="W136" i="29"/>
  <c r="V136" i="29"/>
  <c r="S136" i="29"/>
  <c r="W135" i="29"/>
  <c r="V135" i="29"/>
  <c r="S135" i="29"/>
  <c r="W134" i="29"/>
  <c r="V134" i="29"/>
  <c r="S134" i="29"/>
  <c r="W133" i="29"/>
  <c r="V133" i="29"/>
  <c r="S133" i="29"/>
  <c r="W132" i="29"/>
  <c r="V132" i="29"/>
  <c r="S132" i="29"/>
  <c r="W131" i="29"/>
  <c r="V131" i="29"/>
  <c r="S131" i="29"/>
  <c r="W130" i="29"/>
  <c r="V130" i="29"/>
  <c r="S130" i="29"/>
  <c r="W129" i="29"/>
  <c r="V129" i="29"/>
  <c r="S129" i="29"/>
  <c r="W128" i="29"/>
  <c r="V128" i="29"/>
  <c r="S128" i="29"/>
  <c r="W127" i="29"/>
  <c r="V127" i="29"/>
  <c r="S127" i="29"/>
  <c r="W126" i="29"/>
  <c r="V126" i="29"/>
  <c r="S126" i="29"/>
  <c r="W125" i="29"/>
  <c r="V125" i="29"/>
  <c r="S125" i="29"/>
  <c r="W124" i="29"/>
  <c r="V124" i="29"/>
  <c r="S124" i="29"/>
  <c r="W123" i="29"/>
  <c r="V123" i="29"/>
  <c r="S123" i="29"/>
  <c r="W122" i="29"/>
  <c r="V122" i="29"/>
  <c r="S122" i="29"/>
  <c r="W121" i="29"/>
  <c r="V121" i="29"/>
  <c r="S121" i="29"/>
  <c r="W120" i="29"/>
  <c r="V120" i="29"/>
  <c r="S120" i="29"/>
  <c r="W119" i="29"/>
  <c r="V119" i="29"/>
  <c r="S119" i="29"/>
  <c r="W118" i="29"/>
  <c r="V118" i="29"/>
  <c r="S118" i="29"/>
  <c r="W117" i="29"/>
  <c r="V117" i="29"/>
  <c r="S117" i="29"/>
  <c r="W116" i="29"/>
  <c r="V116" i="29"/>
  <c r="S116" i="29"/>
  <c r="W115" i="29"/>
  <c r="V115" i="29"/>
  <c r="S115" i="29"/>
  <c r="W114" i="29"/>
  <c r="V114" i="29"/>
  <c r="S114" i="29"/>
  <c r="W113" i="29"/>
  <c r="V113" i="29"/>
  <c r="S113" i="29"/>
  <c r="W112" i="29"/>
  <c r="V112" i="29"/>
  <c r="S112" i="29"/>
  <c r="W111" i="29"/>
  <c r="V111" i="29"/>
  <c r="S111" i="29"/>
  <c r="W110" i="29"/>
  <c r="V110" i="29"/>
  <c r="S110" i="29"/>
  <c r="W109" i="29"/>
  <c r="V109" i="29"/>
  <c r="S109" i="29"/>
  <c r="W108" i="29"/>
  <c r="V108" i="29"/>
  <c r="S108" i="29"/>
  <c r="W107" i="29"/>
  <c r="V107" i="29"/>
  <c r="S107" i="29"/>
  <c r="W106" i="29"/>
  <c r="V106" i="29"/>
  <c r="S106" i="29"/>
  <c r="W105" i="29"/>
  <c r="V105" i="29"/>
  <c r="S105" i="29"/>
  <c r="W104" i="29"/>
  <c r="V104" i="29"/>
  <c r="S104" i="29"/>
  <c r="W103" i="29"/>
  <c r="V103" i="29"/>
  <c r="S103" i="29"/>
  <c r="W102" i="29"/>
  <c r="V102" i="29"/>
  <c r="S102" i="29"/>
  <c r="W101" i="29"/>
  <c r="V101" i="29"/>
  <c r="S101" i="29"/>
  <c r="W100" i="29"/>
  <c r="V100" i="29"/>
  <c r="S100" i="29"/>
  <c r="W99" i="29"/>
  <c r="V99" i="29"/>
  <c r="S99" i="29"/>
  <c r="W98" i="29"/>
  <c r="V98" i="29"/>
  <c r="S98" i="29"/>
  <c r="W97" i="29"/>
  <c r="V97" i="29"/>
  <c r="S97" i="29"/>
  <c r="W96" i="29"/>
  <c r="V96" i="29"/>
  <c r="S96" i="29"/>
  <c r="W95" i="29"/>
  <c r="V95" i="29"/>
  <c r="S95" i="29"/>
  <c r="W94" i="29"/>
  <c r="V94" i="29"/>
  <c r="S94" i="29"/>
  <c r="W93" i="29"/>
  <c r="V93" i="29"/>
  <c r="S93" i="29"/>
  <c r="W92" i="29"/>
  <c r="V92" i="29"/>
  <c r="S92" i="29"/>
  <c r="W91" i="29"/>
  <c r="V91" i="29"/>
  <c r="S91" i="29"/>
  <c r="W90" i="29"/>
  <c r="V90" i="29"/>
  <c r="S90" i="29"/>
  <c r="W89" i="29"/>
  <c r="V89" i="29"/>
  <c r="S89" i="29"/>
  <c r="W88" i="29"/>
  <c r="V88" i="29"/>
  <c r="S88" i="29"/>
  <c r="W87" i="29"/>
  <c r="V87" i="29"/>
  <c r="S87" i="29"/>
  <c r="W86" i="29"/>
  <c r="V86" i="29"/>
  <c r="S86" i="29"/>
  <c r="W85" i="29"/>
  <c r="V85" i="29"/>
  <c r="S85" i="29"/>
  <c r="W84" i="29"/>
  <c r="V84" i="29"/>
  <c r="S84" i="29"/>
  <c r="W83" i="29"/>
  <c r="V83" i="29"/>
  <c r="S83" i="29"/>
  <c r="W82" i="29"/>
  <c r="V82" i="29"/>
  <c r="S82" i="29"/>
  <c r="W81" i="29"/>
  <c r="V81" i="29"/>
  <c r="S81" i="29"/>
  <c r="W80" i="29"/>
  <c r="V80" i="29"/>
  <c r="S80" i="29"/>
  <c r="W79" i="29"/>
  <c r="V79" i="29"/>
  <c r="S79" i="29"/>
  <c r="W78" i="29"/>
  <c r="V78" i="29"/>
  <c r="S78" i="29"/>
  <c r="W77" i="29"/>
  <c r="V77" i="29"/>
  <c r="S77" i="29"/>
  <c r="W76" i="29"/>
  <c r="V76" i="29"/>
  <c r="S76" i="29"/>
  <c r="W75" i="29"/>
  <c r="V75" i="29"/>
  <c r="S75" i="29"/>
  <c r="W74" i="29"/>
  <c r="V74" i="29"/>
  <c r="S74" i="29"/>
  <c r="W73" i="29"/>
  <c r="V73" i="29"/>
  <c r="S73" i="29"/>
  <c r="W72" i="29"/>
  <c r="V72" i="29"/>
  <c r="S72" i="29"/>
  <c r="W71" i="29"/>
  <c r="V71" i="29"/>
  <c r="S71" i="29"/>
  <c r="W70" i="29"/>
  <c r="V70" i="29"/>
  <c r="S70" i="29"/>
  <c r="W69" i="29"/>
  <c r="V69" i="29"/>
  <c r="S69" i="29"/>
  <c r="W68" i="29"/>
  <c r="V68" i="29"/>
  <c r="S68" i="29"/>
  <c r="W67" i="29"/>
  <c r="V67" i="29"/>
  <c r="S67" i="29"/>
  <c r="W66" i="29"/>
  <c r="V66" i="29"/>
  <c r="S66" i="29"/>
  <c r="W65" i="29"/>
  <c r="V65" i="29"/>
  <c r="S65" i="29"/>
  <c r="W64" i="29"/>
  <c r="V64" i="29"/>
  <c r="S64" i="29"/>
  <c r="W63" i="29"/>
  <c r="V63" i="29"/>
  <c r="S63" i="29"/>
  <c r="W62" i="29"/>
  <c r="V62" i="29"/>
  <c r="S62" i="29"/>
  <c r="W61" i="29"/>
  <c r="V61" i="29"/>
  <c r="S61" i="29"/>
  <c r="W60" i="29"/>
  <c r="V60" i="29"/>
  <c r="S60" i="29"/>
  <c r="W59" i="29"/>
  <c r="V59" i="29"/>
  <c r="S59" i="29"/>
  <c r="W58" i="29"/>
  <c r="V58" i="29"/>
  <c r="S58" i="29"/>
  <c r="W57" i="29"/>
  <c r="V57" i="29"/>
  <c r="S57" i="29"/>
  <c r="W56" i="29"/>
  <c r="V56" i="29"/>
  <c r="S56" i="29"/>
  <c r="W55" i="29"/>
  <c r="V55" i="29"/>
  <c r="S55" i="29"/>
  <c r="W54" i="29"/>
  <c r="V54" i="29"/>
  <c r="S54" i="29"/>
  <c r="W53" i="29"/>
  <c r="V53" i="29"/>
  <c r="S53" i="29"/>
  <c r="W52" i="29"/>
  <c r="V52" i="29"/>
  <c r="S52" i="29"/>
  <c r="W51" i="29"/>
  <c r="V51" i="29"/>
  <c r="S51" i="29"/>
  <c r="W50" i="29"/>
  <c r="V50" i="29"/>
  <c r="S50" i="29"/>
  <c r="W49" i="29"/>
  <c r="V49" i="29"/>
  <c r="S49" i="29"/>
  <c r="W48" i="29"/>
  <c r="V48" i="29"/>
  <c r="S48" i="29"/>
  <c r="W47" i="29"/>
  <c r="V47" i="29"/>
  <c r="S47" i="29"/>
  <c r="W46" i="29"/>
  <c r="V46" i="29"/>
  <c r="S46" i="29"/>
  <c r="W45" i="29"/>
  <c r="V45" i="29"/>
  <c r="S45" i="29"/>
  <c r="W44" i="29"/>
  <c r="V44" i="29"/>
  <c r="S44" i="29"/>
  <c r="W43" i="29"/>
  <c r="V43" i="29"/>
  <c r="S43" i="29"/>
  <c r="W42" i="29"/>
  <c r="V42" i="29"/>
  <c r="S42" i="29"/>
  <c r="W41" i="29"/>
  <c r="V41" i="29"/>
  <c r="S41" i="29"/>
  <c r="W40" i="29"/>
  <c r="V40" i="29"/>
  <c r="S40" i="29"/>
  <c r="W39" i="29"/>
  <c r="V39" i="29"/>
  <c r="S39" i="29"/>
  <c r="W38" i="29"/>
  <c r="V38" i="29"/>
  <c r="S38" i="29"/>
  <c r="W37" i="29"/>
  <c r="V37" i="29"/>
  <c r="S37" i="29"/>
  <c r="W36" i="29"/>
  <c r="V36" i="29"/>
  <c r="S36" i="29"/>
  <c r="W35" i="29"/>
  <c r="V35" i="29"/>
  <c r="S35" i="29"/>
  <c r="W34" i="29"/>
  <c r="V34" i="29"/>
  <c r="S34" i="29"/>
  <c r="W33" i="29"/>
  <c r="V33" i="29"/>
  <c r="S33" i="29"/>
  <c r="W32" i="29"/>
  <c r="V32" i="29"/>
  <c r="S32" i="29"/>
  <c r="W31" i="29"/>
  <c r="V31" i="29"/>
  <c r="S31" i="29"/>
  <c r="W30" i="29"/>
  <c r="V30" i="29"/>
  <c r="S30" i="29"/>
  <c r="W29" i="29"/>
  <c r="V29" i="29"/>
  <c r="S29" i="29"/>
  <c r="W28" i="29"/>
  <c r="V28" i="29"/>
  <c r="S28" i="29"/>
  <c r="W27" i="29"/>
  <c r="V27" i="29"/>
  <c r="S27" i="29"/>
  <c r="W26" i="29"/>
  <c r="V26" i="29"/>
  <c r="S26" i="29"/>
  <c r="W25" i="29"/>
  <c r="V25" i="29"/>
  <c r="S25" i="29"/>
  <c r="W24" i="29"/>
  <c r="V24" i="29"/>
  <c r="S24" i="29"/>
  <c r="W23" i="29"/>
  <c r="V23" i="29"/>
  <c r="S23" i="29"/>
  <c r="W22" i="29"/>
  <c r="V22" i="29"/>
  <c r="S22" i="29"/>
  <c r="W21" i="29"/>
  <c r="V21" i="29"/>
  <c r="S21" i="29"/>
  <c r="W20" i="29"/>
  <c r="V20" i="29"/>
  <c r="S20" i="29"/>
  <c r="W19" i="29"/>
  <c r="V19" i="29"/>
  <c r="S19" i="29"/>
  <c r="W18" i="29"/>
  <c r="V18" i="29"/>
  <c r="S18" i="29"/>
  <c r="W17" i="29"/>
  <c r="V17" i="29"/>
  <c r="S17" i="29"/>
  <c r="W16" i="29"/>
  <c r="V16" i="29"/>
  <c r="S16" i="29"/>
  <c r="W15" i="29"/>
  <c r="V15" i="29"/>
  <c r="S15" i="29"/>
  <c r="W14" i="29"/>
  <c r="V14" i="29"/>
  <c r="S14" i="29"/>
  <c r="W13" i="29"/>
  <c r="V13" i="29"/>
  <c r="S13" i="29"/>
  <c r="W12" i="29"/>
  <c r="V12" i="29"/>
  <c r="S12" i="29"/>
  <c r="W11" i="29"/>
  <c r="V11" i="29"/>
  <c r="S11" i="29"/>
  <c r="W10" i="29"/>
  <c r="V10" i="29"/>
  <c r="S10" i="29"/>
  <c r="W9" i="29"/>
  <c r="V9" i="29"/>
  <c r="S9" i="29"/>
  <c r="W8" i="29"/>
  <c r="V8" i="29"/>
  <c r="T8" i="29" s="1"/>
  <c r="U8" i="29" s="1"/>
  <c r="S8" i="29"/>
  <c r="W7" i="29"/>
  <c r="V7" i="29"/>
  <c r="S7" i="29"/>
  <c r="W6" i="29"/>
  <c r="V6" i="29"/>
  <c r="S6" i="29"/>
  <c r="W5" i="29"/>
  <c r="V5" i="29"/>
  <c r="S5" i="29"/>
  <c r="W4" i="29"/>
  <c r="V4" i="29"/>
  <c r="T4" i="29" s="1"/>
  <c r="U4" i="29" s="1"/>
  <c r="Y3" i="29" s="1"/>
  <c r="Y5" i="29" s="1"/>
  <c r="S4" i="29"/>
  <c r="B7" i="27"/>
  <c r="O5" i="27"/>
  <c r="F15" i="27"/>
  <c r="F14" i="27"/>
  <c r="M14" i="27"/>
  <c r="N15" i="27"/>
  <c r="M15" i="27"/>
  <c r="K14" i="27"/>
  <c r="K15" i="27"/>
  <c r="I15" i="27"/>
  <c r="H15" i="27"/>
  <c r="J15" i="27"/>
  <c r="J14" i="27"/>
  <c r="I14" i="27"/>
  <c r="H14" i="27"/>
  <c r="G15" i="27"/>
  <c r="G14" i="27"/>
  <c r="E17" i="27"/>
  <c r="U15" i="27"/>
  <c r="T15" i="27"/>
  <c r="U14" i="27"/>
  <c r="T14" i="27"/>
  <c r="O14" i="27"/>
  <c r="O15" i="27"/>
  <c r="L15" i="27"/>
  <c r="C15" i="27"/>
  <c r="C14" i="27"/>
  <c r="L14" i="27"/>
  <c r="S4" i="27"/>
  <c r="A8" i="23"/>
  <c r="F2" i="40"/>
  <c r="V134" i="39"/>
  <c r="V130" i="39"/>
  <c r="V126" i="39"/>
  <c r="V122" i="39"/>
  <c r="V118" i="39"/>
  <c r="V114" i="39"/>
  <c r="V110" i="39"/>
  <c r="V106" i="39"/>
  <c r="V135" i="39"/>
  <c r="V131" i="39"/>
  <c r="V127" i="39"/>
  <c r="V123" i="39"/>
  <c r="V119" i="39"/>
  <c r="V115" i="39"/>
  <c r="V111" i="39"/>
  <c r="V107" i="39"/>
  <c r="V133" i="39"/>
  <c r="V125" i="39"/>
  <c r="V117" i="39"/>
  <c r="V109" i="39"/>
  <c r="V100" i="39"/>
  <c r="V96" i="39"/>
  <c r="V92" i="39"/>
  <c r="V88" i="39"/>
  <c r="V84" i="39"/>
  <c r="V80" i="39"/>
  <c r="V76" i="39"/>
  <c r="V72" i="39"/>
  <c r="V68" i="39"/>
  <c r="V64" i="39"/>
  <c r="V60" i="39"/>
  <c r="V56" i="39"/>
  <c r="V52" i="39"/>
  <c r="V48" i="39"/>
  <c r="V44" i="39"/>
  <c r="V40" i="39"/>
  <c r="W34" i="39"/>
  <c r="W127" i="39" s="1"/>
  <c r="V136" i="39"/>
  <c r="V128" i="39"/>
  <c r="V120" i="39"/>
  <c r="V112" i="39"/>
  <c r="V104" i="39"/>
  <c r="V101" i="39"/>
  <c r="V97" i="39"/>
  <c r="V93" i="39"/>
  <c r="V89" i="39"/>
  <c r="V85" i="39"/>
  <c r="V81" i="39"/>
  <c r="V77" i="39"/>
  <c r="V73" i="39"/>
  <c r="V69" i="39"/>
  <c r="V65" i="39"/>
  <c r="V61" i="39"/>
  <c r="V57" i="39"/>
  <c r="V53" i="39"/>
  <c r="V49" i="39"/>
  <c r="V45" i="39"/>
  <c r="V41" i="39"/>
  <c r="V82" i="39"/>
  <c r="V74" i="39"/>
  <c r="V70" i="39"/>
  <c r="V66" i="39"/>
  <c r="V62" i="39"/>
  <c r="V58" i="39"/>
  <c r="V50" i="39"/>
  <c r="V46" i="39"/>
  <c r="V42" i="39"/>
  <c r="V38" i="39"/>
  <c r="V137" i="39"/>
  <c r="V129" i="39"/>
  <c r="V121" i="39"/>
  <c r="V113" i="39"/>
  <c r="V105" i="39"/>
  <c r="V102" i="39"/>
  <c r="V98" i="39"/>
  <c r="V94" i="39"/>
  <c r="V90" i="39"/>
  <c r="V86" i="39"/>
  <c r="V78" i="39"/>
  <c r="V54" i="39"/>
  <c r="V91" i="39"/>
  <c r="V75" i="39"/>
  <c r="V59" i="39"/>
  <c r="V47" i="39"/>
  <c r="V95" i="39"/>
  <c r="V79" i="39"/>
  <c r="V63" i="39"/>
  <c r="V132" i="39"/>
  <c r="V124" i="39"/>
  <c r="V116" i="39"/>
  <c r="V108" i="39"/>
  <c r="V103" i="39"/>
  <c r="V87" i="39"/>
  <c r="V71" i="39"/>
  <c r="V55" i="39"/>
  <c r="V43" i="39"/>
  <c r="V99" i="39"/>
  <c r="V83" i="39"/>
  <c r="V67" i="39"/>
  <c r="V51" i="39"/>
  <c r="V39" i="39"/>
  <c r="W23" i="42"/>
  <c r="D23" i="42" s="1"/>
  <c r="N23" i="42"/>
  <c r="W131" i="39"/>
  <c r="W119" i="39"/>
  <c r="W107" i="39"/>
  <c r="W128" i="39"/>
  <c r="W116" i="39"/>
  <c r="W104" i="39"/>
  <c r="W118" i="39"/>
  <c r="W97" i="39"/>
  <c r="W85" i="39"/>
  <c r="W73" i="39"/>
  <c r="W61" i="39"/>
  <c r="W49" i="39"/>
  <c r="W137" i="39"/>
  <c r="W113" i="39"/>
  <c r="W98" i="39"/>
  <c r="W86" i="39"/>
  <c r="W74" i="39"/>
  <c r="W62" i="39"/>
  <c r="W50" i="39"/>
  <c r="W38" i="39"/>
  <c r="W67" i="39"/>
  <c r="W43" i="39"/>
  <c r="W122" i="39"/>
  <c r="W103" i="39"/>
  <c r="W91" i="39"/>
  <c r="W71" i="39"/>
  <c r="W51" i="39"/>
  <c r="W117" i="39"/>
  <c r="W80" i="39"/>
  <c r="W84" i="39"/>
  <c r="W40" i="39"/>
  <c r="W60" i="39"/>
  <c r="W72" i="39"/>
  <c r="D34" i="38"/>
  <c r="R48" i="42"/>
  <c r="AA232" i="23"/>
  <c r="AI232" i="23" s="1"/>
  <c r="J44" i="42"/>
  <c r="J48" i="42"/>
  <c r="AI3" i="23" l="1"/>
  <c r="X1" i="23" s="1"/>
  <c r="T46" i="29"/>
  <c r="U46" i="29" s="1"/>
  <c r="T5" i="29"/>
  <c r="U5" i="29" s="1"/>
  <c r="T16" i="29"/>
  <c r="U16" i="29" s="1"/>
  <c r="T32" i="29"/>
  <c r="U32" i="29" s="1"/>
  <c r="T88" i="29"/>
  <c r="U88" i="29" s="1"/>
  <c r="T12" i="29"/>
  <c r="U12" i="29" s="1"/>
  <c r="T7" i="29"/>
  <c r="T20" i="29"/>
  <c r="U20" i="29" s="1"/>
  <c r="T17" i="29"/>
  <c r="U17" i="29" s="1"/>
  <c r="T48" i="29"/>
  <c r="U48" i="29" s="1"/>
  <c r="T68" i="29"/>
  <c r="U68" i="29" s="1"/>
  <c r="T96" i="29"/>
  <c r="U96" i="29" s="1"/>
  <c r="T15" i="29"/>
  <c r="U15" i="29" s="1"/>
  <c r="T18" i="29"/>
  <c r="U18" i="29" s="1"/>
  <c r="T23" i="29"/>
  <c r="U23" i="29" s="1"/>
  <c r="T31" i="29"/>
  <c r="U31" i="29" s="1"/>
  <c r="T39" i="29"/>
  <c r="U39" i="29" s="1"/>
  <c r="T59" i="29"/>
  <c r="U59" i="29" s="1"/>
  <c r="T71" i="29"/>
  <c r="U71" i="29" s="1"/>
  <c r="T79" i="29"/>
  <c r="U79" i="29" s="1"/>
  <c r="T95" i="29"/>
  <c r="T99" i="29"/>
  <c r="U99" i="29" s="1"/>
  <c r="T36" i="29"/>
  <c r="U36" i="29" s="1"/>
  <c r="T72" i="29"/>
  <c r="U72" i="29" s="1"/>
  <c r="T75" i="29"/>
  <c r="U75" i="29" s="1"/>
  <c r="T30" i="29"/>
  <c r="T34" i="29"/>
  <c r="U34" i="29" s="1"/>
  <c r="T38" i="29"/>
  <c r="U38" i="29" s="1"/>
  <c r="T50" i="29"/>
  <c r="U50" i="29" s="1"/>
  <c r="T54" i="29"/>
  <c r="U54" i="29" s="1"/>
  <c r="T70" i="29"/>
  <c r="T44" i="29"/>
  <c r="U44" i="29" s="1"/>
  <c r="T64" i="29"/>
  <c r="U64" i="29" s="1"/>
  <c r="T92" i="29"/>
  <c r="T10" i="29"/>
  <c r="U10" i="29" s="1"/>
  <c r="T22" i="29"/>
  <c r="U22" i="29" s="1"/>
  <c r="T62" i="29"/>
  <c r="U62" i="29" s="1"/>
  <c r="T25" i="29"/>
  <c r="U25" i="29" s="1"/>
  <c r="T73" i="29"/>
  <c r="T695" i="29"/>
  <c r="U695" i="29" s="1"/>
  <c r="T532" i="29"/>
  <c r="U532" i="29" s="1"/>
  <c r="T681" i="29"/>
  <c r="U681" i="29" s="1"/>
  <c r="T362" i="29"/>
  <c r="U362" i="29" s="1"/>
  <c r="A3" i="41"/>
  <c r="T192" i="23"/>
  <c r="J192" i="23"/>
  <c r="R32" i="42"/>
  <c r="L105" i="42" s="1"/>
  <c r="M105" i="42" s="1"/>
  <c r="F195" i="23"/>
  <c r="J195" i="23"/>
  <c r="J116" i="23"/>
  <c r="AA112" i="23" s="1"/>
  <c r="AI112" i="23" s="1"/>
  <c r="J102" i="23" s="1"/>
  <c r="AI154" i="23"/>
  <c r="R22" i="42" s="1"/>
  <c r="L90" i="42" s="1"/>
  <c r="M90" i="42" s="1"/>
  <c r="T319" i="29"/>
  <c r="U319" i="29" s="1"/>
  <c r="R100" i="39"/>
  <c r="R58" i="39"/>
  <c r="R74" i="39"/>
  <c r="T122" i="29"/>
  <c r="U122" i="29" s="1"/>
  <c r="W52" i="39"/>
  <c r="W95" i="39"/>
  <c r="W75" i="39"/>
  <c r="W78" i="39"/>
  <c r="W41" i="39"/>
  <c r="W89" i="39"/>
  <c r="W120" i="39"/>
  <c r="W135" i="39"/>
  <c r="T657" i="29"/>
  <c r="U657" i="29" s="1"/>
  <c r="T489" i="29"/>
  <c r="U489" i="29" s="1"/>
  <c r="R118" i="39"/>
  <c r="R83" i="39"/>
  <c r="S28" i="39"/>
  <c r="G88" i="39"/>
  <c r="P88" i="39" s="1"/>
  <c r="R70" i="39"/>
  <c r="G39" i="39"/>
  <c r="P39" i="39" s="1"/>
  <c r="G103" i="39"/>
  <c r="P103" i="39" s="1"/>
  <c r="G76" i="39"/>
  <c r="P76" i="39" s="1"/>
  <c r="T42" i="29"/>
  <c r="T140" i="29"/>
  <c r="W88" i="39"/>
  <c r="W96" i="39"/>
  <c r="W55" i="39"/>
  <c r="W130" i="39"/>
  <c r="W54" i="39"/>
  <c r="W102" i="39"/>
  <c r="W65" i="39"/>
  <c r="W126" i="39"/>
  <c r="W111" i="39"/>
  <c r="W48" i="39"/>
  <c r="W68" i="39"/>
  <c r="W109" i="39"/>
  <c r="W59" i="39"/>
  <c r="W99" i="39"/>
  <c r="W39" i="39"/>
  <c r="W87" i="39"/>
  <c r="W58" i="39"/>
  <c r="W82" i="39"/>
  <c r="W105" i="39"/>
  <c r="W45" i="39"/>
  <c r="W69" i="39"/>
  <c r="W93" i="39"/>
  <c r="W134" i="39"/>
  <c r="W124" i="39"/>
  <c r="W115" i="39"/>
  <c r="T507" i="29"/>
  <c r="U507" i="29" s="1"/>
  <c r="T91" i="29"/>
  <c r="U91" i="29" s="1"/>
  <c r="T104" i="29"/>
  <c r="U104" i="29" s="1"/>
  <c r="T37" i="29"/>
  <c r="U37" i="29" s="1"/>
  <c r="T87" i="29"/>
  <c r="U87" i="29" s="1"/>
  <c r="T127" i="29"/>
  <c r="U127" i="29" s="1"/>
  <c r="J204" i="23"/>
  <c r="T204" i="23"/>
  <c r="AB204" i="23"/>
  <c r="Z204" i="23"/>
  <c r="H204" i="23"/>
  <c r="F204" i="23"/>
  <c r="P204" i="23"/>
  <c r="L204" i="23"/>
  <c r="V204" i="23"/>
  <c r="T321" i="29"/>
  <c r="U321" i="29" s="1"/>
  <c r="W44" i="39"/>
  <c r="W76" i="39"/>
  <c r="W100" i="39"/>
  <c r="W125" i="39"/>
  <c r="W79" i="39"/>
  <c r="W106" i="39"/>
  <c r="W47" i="39"/>
  <c r="W42" i="39"/>
  <c r="W66" i="39"/>
  <c r="W90" i="39"/>
  <c r="W121" i="39"/>
  <c r="W53" i="39"/>
  <c r="W77" i="39"/>
  <c r="W101" i="39"/>
  <c r="W132" i="39"/>
  <c r="W123" i="39"/>
  <c r="T49" i="29"/>
  <c r="U49" i="29" s="1"/>
  <c r="W108" i="39"/>
  <c r="T97" i="29"/>
  <c r="U97" i="29" s="1"/>
  <c r="W56" i="39"/>
  <c r="W92" i="39"/>
  <c r="W64" i="39"/>
  <c r="W133" i="39"/>
  <c r="W83" i="39"/>
  <c r="W114" i="39"/>
  <c r="W63" i="39"/>
  <c r="W46" i="39"/>
  <c r="W70" i="39"/>
  <c r="W94" i="39"/>
  <c r="W129" i="39"/>
  <c r="W57" i="39"/>
  <c r="W81" i="39"/>
  <c r="W110" i="39"/>
  <c r="W112" i="39"/>
  <c r="W136" i="39"/>
  <c r="T443" i="29"/>
  <c r="U443" i="29" s="1"/>
  <c r="R72" i="39"/>
  <c r="R98" i="39"/>
  <c r="R43" i="39"/>
  <c r="R96" i="39"/>
  <c r="R91" i="39"/>
  <c r="R42" i="39"/>
  <c r="R66" i="39"/>
  <c r="R68" i="39"/>
  <c r="R88" i="39"/>
  <c r="R114" i="39"/>
  <c r="R123" i="39"/>
  <c r="R53" i="39"/>
  <c r="R65" i="39"/>
  <c r="R77" i="39"/>
  <c r="R97" i="39"/>
  <c r="R63" i="39"/>
  <c r="R112" i="39"/>
  <c r="R92" i="39"/>
  <c r="R133" i="39"/>
  <c r="R56" i="39"/>
  <c r="R80" i="39"/>
  <c r="R103" i="39"/>
  <c r="R136" i="39"/>
  <c r="R39" i="39"/>
  <c r="R55" i="39"/>
  <c r="R90" i="39"/>
  <c r="R125" i="39"/>
  <c r="R71" i="39"/>
  <c r="R50" i="39"/>
  <c r="R94" i="39"/>
  <c r="R52" i="39"/>
  <c r="R78" i="39"/>
  <c r="R48" i="39"/>
  <c r="R84" i="39"/>
  <c r="R95" i="39"/>
  <c r="R44" i="39"/>
  <c r="R59" i="39"/>
  <c r="R79" i="39"/>
  <c r="R126" i="39"/>
  <c r="R135" i="39"/>
  <c r="R111" i="39"/>
  <c r="R85" i="39"/>
  <c r="R116" i="39"/>
  <c r="G108" i="39"/>
  <c r="P108" i="39" s="1"/>
  <c r="G132" i="39"/>
  <c r="P132" i="39" s="1"/>
  <c r="G123" i="39"/>
  <c r="P123" i="39" s="1"/>
  <c r="G105" i="39"/>
  <c r="P105" i="39" s="1"/>
  <c r="G90" i="39"/>
  <c r="P90" i="39" s="1"/>
  <c r="G74" i="39"/>
  <c r="P74" i="39" s="1"/>
  <c r="G62" i="39"/>
  <c r="P62" i="39" s="1"/>
  <c r="G50" i="39"/>
  <c r="P50" i="39" s="1"/>
  <c r="T64" i="39"/>
  <c r="T100" i="39"/>
  <c r="T44" i="39"/>
  <c r="T84" i="39"/>
  <c r="T79" i="39"/>
  <c r="T103" i="39"/>
  <c r="T58" i="39"/>
  <c r="T82" i="39"/>
  <c r="T107" i="39"/>
  <c r="T113" i="39"/>
  <c r="T137" i="39"/>
  <c r="T128" i="39"/>
  <c r="T69" i="39"/>
  <c r="L30" i="39"/>
  <c r="G109" i="39"/>
  <c r="P109" i="39" s="1"/>
  <c r="T73" i="39"/>
  <c r="G60" i="39"/>
  <c r="P60" i="39" s="1"/>
  <c r="L32" i="39"/>
  <c r="J32" i="39" s="1"/>
  <c r="BN11" i="42" s="1"/>
  <c r="G91" i="39"/>
  <c r="P91" i="39" s="1"/>
  <c r="S32" i="39"/>
  <c r="G67" i="39"/>
  <c r="P67" i="39" s="1"/>
  <c r="G95" i="39"/>
  <c r="P95" i="39" s="1"/>
  <c r="G43" i="39"/>
  <c r="P43" i="39" s="1"/>
  <c r="G63" i="39"/>
  <c r="P63" i="39" s="1"/>
  <c r="S39" i="39"/>
  <c r="N72" i="39"/>
  <c r="G72" i="39" s="1"/>
  <c r="P72" i="39" s="1"/>
  <c r="S129" i="39"/>
  <c r="N8" i="42"/>
  <c r="Z195" i="23"/>
  <c r="T101" i="39"/>
  <c r="G68" i="39"/>
  <c r="P68" i="39" s="1"/>
  <c r="T106" i="39"/>
  <c r="G117" i="39"/>
  <c r="P117" i="39" s="1"/>
  <c r="G84" i="39"/>
  <c r="P84" i="39" s="1"/>
  <c r="T130" i="39"/>
  <c r="O73" i="38"/>
  <c r="G92" i="39"/>
  <c r="P92" i="39" s="1"/>
  <c r="N195" i="23"/>
  <c r="G129" i="39"/>
  <c r="P129" i="39" s="1"/>
  <c r="G102" i="39"/>
  <c r="P102" i="39" s="1"/>
  <c r="G122" i="39"/>
  <c r="P122" i="39" s="1"/>
  <c r="T77" i="39"/>
  <c r="T88" i="39"/>
  <c r="T127" i="39"/>
  <c r="T60" i="39"/>
  <c r="T67" i="39"/>
  <c r="T91" i="39"/>
  <c r="T126" i="39"/>
  <c r="T70" i="39"/>
  <c r="T94" i="39"/>
  <c r="T131" i="39"/>
  <c r="T125" i="39"/>
  <c r="T116" i="39"/>
  <c r="L67" i="38"/>
  <c r="T65" i="39"/>
  <c r="M38" i="39"/>
  <c r="G125" i="39"/>
  <c r="P125" i="39" s="1"/>
  <c r="G79" i="39"/>
  <c r="P79" i="39" s="1"/>
  <c r="G55" i="39"/>
  <c r="P55" i="39" s="1"/>
  <c r="BE3" i="42"/>
  <c r="G104" i="39"/>
  <c r="P104" i="39" s="1"/>
  <c r="G106" i="39"/>
  <c r="P106" i="39" s="1"/>
  <c r="G80" i="39"/>
  <c r="P80" i="39" s="1"/>
  <c r="L31" i="39"/>
  <c r="S60" i="39"/>
  <c r="V195" i="23"/>
  <c r="G137" i="39"/>
  <c r="P137" i="39" s="1"/>
  <c r="G100" i="39"/>
  <c r="P100" i="39" s="1"/>
  <c r="G71" i="39"/>
  <c r="P71" i="39" s="1"/>
  <c r="G99" i="39"/>
  <c r="P99" i="39" s="1"/>
  <c r="S68" i="39"/>
  <c r="AL4" i="42"/>
  <c r="AL3" i="42"/>
  <c r="R195" i="23"/>
  <c r="J124" i="23"/>
  <c r="AJ28" i="23" s="1"/>
  <c r="Y6" i="29"/>
  <c r="T405" i="29"/>
  <c r="U405" i="29" s="1"/>
  <c r="T672" i="29"/>
  <c r="U672" i="29" s="1"/>
  <c r="T548" i="29"/>
  <c r="U548" i="29" s="1"/>
  <c r="T294" i="29"/>
  <c r="U294" i="29" s="1"/>
  <c r="T472" i="29"/>
  <c r="U472" i="29" s="1"/>
  <c r="T509" i="29"/>
  <c r="U509" i="29" s="1"/>
  <c r="T458" i="29"/>
  <c r="U458" i="29" s="1"/>
  <c r="T664" i="29"/>
  <c r="U664" i="29" s="1"/>
  <c r="T562" i="29"/>
  <c r="U562" i="29" s="1"/>
  <c r="T578" i="29"/>
  <c r="U578" i="29" s="1"/>
  <c r="T635" i="29"/>
  <c r="U635" i="29" s="1"/>
  <c r="T588" i="29"/>
  <c r="U588" i="29" s="1"/>
  <c r="T107" i="29"/>
  <c r="U107" i="29" s="1"/>
  <c r="T113" i="29"/>
  <c r="U113" i="29" s="1"/>
  <c r="T119" i="29"/>
  <c r="U119" i="29" s="1"/>
  <c r="T561" i="29"/>
  <c r="U561" i="29" s="1"/>
  <c r="T674" i="29"/>
  <c r="U674" i="29" s="1"/>
  <c r="T446" i="29"/>
  <c r="U446" i="29" s="1"/>
  <c r="T498" i="29"/>
  <c r="U498" i="29" s="1"/>
  <c r="T592" i="29"/>
  <c r="U592" i="29" s="1"/>
  <c r="T395" i="29"/>
  <c r="U395" i="29" s="1"/>
  <c r="T244" i="29"/>
  <c r="U244" i="29" s="1"/>
  <c r="T352" i="29"/>
  <c r="U352" i="29" s="1"/>
  <c r="T625" i="29"/>
  <c r="U625" i="29" s="1"/>
  <c r="T313" i="29"/>
  <c r="U313" i="29" s="1"/>
  <c r="T410" i="29"/>
  <c r="U410" i="29" s="1"/>
  <c r="T317" i="29"/>
  <c r="U317" i="29" s="1"/>
  <c r="T622" i="29"/>
  <c r="U622" i="29" s="1"/>
  <c r="T159" i="29"/>
  <c r="U159" i="29" s="1"/>
  <c r="T591" i="29"/>
  <c r="U591" i="29" s="1"/>
  <c r="T285" i="29"/>
  <c r="U285" i="29" s="1"/>
  <c r="T203" i="29"/>
  <c r="U203" i="29" s="1"/>
  <c r="T441" i="29"/>
  <c r="U441" i="29" s="1"/>
  <c r="T350" i="29"/>
  <c r="U350" i="29" s="1"/>
  <c r="T493" i="29"/>
  <c r="U493" i="29" s="1"/>
  <c r="T174" i="29"/>
  <c r="U174" i="29" s="1"/>
  <c r="T172" i="29"/>
  <c r="U172" i="29" s="1"/>
  <c r="T621" i="29"/>
  <c r="U621" i="29" s="1"/>
  <c r="T691" i="29"/>
  <c r="U691" i="29" s="1"/>
  <c r="T536" i="29"/>
  <c r="U536" i="29" s="1"/>
  <c r="T111" i="29"/>
  <c r="T115" i="29"/>
  <c r="U115" i="29" s="1"/>
  <c r="T121" i="29"/>
  <c r="U121" i="29" s="1"/>
  <c r="T131" i="29"/>
  <c r="U131" i="29" s="1"/>
  <c r="T398" i="29"/>
  <c r="U398" i="29" s="1"/>
  <c r="T502" i="29"/>
  <c r="U502" i="29" s="1"/>
  <c r="T555" i="29"/>
  <c r="U555" i="29" s="1"/>
  <c r="T347" i="29"/>
  <c r="U347" i="29" s="1"/>
  <c r="AI37" i="23"/>
  <c r="AI93" i="23"/>
  <c r="AJ26" i="23"/>
  <c r="V192" i="23"/>
  <c r="H195" i="23"/>
  <c r="H198" i="23"/>
  <c r="R192" i="23"/>
  <c r="F198" i="23"/>
  <c r="P192" i="23"/>
  <c r="N192" i="23"/>
  <c r="P195" i="23"/>
  <c r="AI191" i="23"/>
  <c r="AL193" i="23" s="1"/>
  <c r="R36" i="42"/>
  <c r="S36" i="42" s="1"/>
  <c r="O36" i="42" s="1"/>
  <c r="AE58" i="23" s="1"/>
  <c r="H192" i="23"/>
  <c r="AN193" i="23" s="1"/>
  <c r="AN194" i="23" s="1"/>
  <c r="AB192" i="23"/>
  <c r="T195" i="23"/>
  <c r="T197" i="23" s="1"/>
  <c r="X195" i="23"/>
  <c r="Z192" i="23"/>
  <c r="Z194" i="23" s="1"/>
  <c r="AA83" i="23"/>
  <c r="AI83" i="23" s="1"/>
  <c r="Q48" i="42"/>
  <c r="W48" i="42" s="1"/>
  <c r="B26" i="23"/>
  <c r="G19" i="44" s="1"/>
  <c r="H19" i="44" s="1"/>
  <c r="I19" i="44" s="1"/>
  <c r="L192" i="23"/>
  <c r="N198" i="23"/>
  <c r="V198" i="23"/>
  <c r="V200" i="23" s="1"/>
  <c r="T198" i="23"/>
  <c r="Z201" i="23"/>
  <c r="P198" i="23"/>
  <c r="X198" i="23"/>
  <c r="X200" i="23" s="1"/>
  <c r="L198" i="23"/>
  <c r="AB201" i="23"/>
  <c r="AB203" i="23" s="1"/>
  <c r="F206" i="23" s="1"/>
  <c r="R201" i="23"/>
  <c r="T201" i="23"/>
  <c r="T203" i="23" s="1"/>
  <c r="J201" i="23"/>
  <c r="P201" i="23"/>
  <c r="AB198" i="23"/>
  <c r="J198" i="23"/>
  <c r="J200" i="23" s="1"/>
  <c r="L201" i="23"/>
  <c r="Z198" i="23"/>
  <c r="T613" i="29"/>
  <c r="U613" i="29" s="1"/>
  <c r="T650" i="29"/>
  <c r="U650" i="29" s="1"/>
  <c r="T393" i="29"/>
  <c r="U393" i="29" s="1"/>
  <c r="T196" i="29"/>
  <c r="U196" i="29" s="1"/>
  <c r="T692" i="29"/>
  <c r="U692" i="29" s="1"/>
  <c r="T157" i="29"/>
  <c r="U157" i="29" s="1"/>
  <c r="T494" i="29"/>
  <c r="U494" i="29" s="1"/>
  <c r="T490" i="29"/>
  <c r="U490" i="29" s="1"/>
  <c r="T355" i="29"/>
  <c r="U355" i="29" s="1"/>
  <c r="T403" i="29"/>
  <c r="U403" i="29" s="1"/>
  <c r="T451" i="29"/>
  <c r="U451" i="29" s="1"/>
  <c r="T611" i="29"/>
  <c r="U611" i="29" s="1"/>
  <c r="T696" i="29"/>
  <c r="U696" i="29" s="1"/>
  <c r="T596" i="29"/>
  <c r="U596" i="29" s="1"/>
  <c r="T126" i="29"/>
  <c r="T202" i="29"/>
  <c r="U202" i="29" s="1"/>
  <c r="T530" i="29"/>
  <c r="U530" i="29" s="1"/>
  <c r="T367" i="29"/>
  <c r="U367" i="29" s="1"/>
  <c r="T415" i="29"/>
  <c r="U415" i="29" s="1"/>
  <c r="T463" i="29"/>
  <c r="U463" i="29" s="1"/>
  <c r="T659" i="29"/>
  <c r="U659" i="29" s="1"/>
  <c r="T560" i="29"/>
  <c r="U560" i="29" s="1"/>
  <c r="T615" i="29"/>
  <c r="U615" i="29" s="1"/>
  <c r="T673" i="29"/>
  <c r="U673" i="29" s="1"/>
  <c r="T529" i="29"/>
  <c r="U529" i="29" s="1"/>
  <c r="T525" i="29"/>
  <c r="U525" i="29" s="1"/>
  <c r="T358" i="29"/>
  <c r="U358" i="29" s="1"/>
  <c r="T406" i="29"/>
  <c r="U406" i="29" s="1"/>
  <c r="T454" i="29"/>
  <c r="U454" i="29" s="1"/>
  <c r="T619" i="29"/>
  <c r="U619" i="29" s="1"/>
  <c r="T551" i="29"/>
  <c r="U551" i="29" s="1"/>
  <c r="T599" i="29"/>
  <c r="U599" i="29" s="1"/>
  <c r="T259" i="29"/>
  <c r="U259" i="29" s="1"/>
  <c r="T301" i="29"/>
  <c r="U301" i="29" s="1"/>
  <c r="T142" i="29"/>
  <c r="T239" i="29"/>
  <c r="U239" i="29" s="1"/>
  <c r="T281" i="29"/>
  <c r="U281" i="29" s="1"/>
  <c r="T211" i="29"/>
  <c r="U211" i="29" s="1"/>
  <c r="T524" i="29"/>
  <c r="U524" i="29" s="1"/>
  <c r="T251" i="29"/>
  <c r="U251" i="29" s="1"/>
  <c r="T262" i="29"/>
  <c r="U262" i="29" s="1"/>
  <c r="T453" i="29"/>
  <c r="U453" i="29" s="1"/>
  <c r="T136" i="29"/>
  <c r="T694" i="29"/>
  <c r="U694" i="29" s="1"/>
  <c r="T444" i="29"/>
  <c r="U444" i="29" s="1"/>
  <c r="T545" i="29"/>
  <c r="U545" i="29" s="1"/>
  <c r="T448" i="29"/>
  <c r="U448" i="29" s="1"/>
  <c r="T671" i="29"/>
  <c r="U671" i="29" s="1"/>
  <c r="T652" i="29"/>
  <c r="U652" i="29" s="1"/>
  <c r="T566" i="29"/>
  <c r="U566" i="29" s="1"/>
  <c r="T495" i="29"/>
  <c r="U495" i="29" s="1"/>
  <c r="T689" i="29"/>
  <c r="U689" i="29" s="1"/>
  <c r="T686" i="29"/>
  <c r="U686" i="29" s="1"/>
  <c r="T593" i="29"/>
  <c r="U593" i="29" s="1"/>
  <c r="T610" i="29"/>
  <c r="U610" i="29" s="1"/>
  <c r="T469" i="29"/>
  <c r="U469" i="29" s="1"/>
  <c r="T373" i="29"/>
  <c r="U373" i="29" s="1"/>
  <c r="T512" i="29"/>
  <c r="U512" i="29" s="1"/>
  <c r="T668" i="29"/>
  <c r="U668" i="29" s="1"/>
  <c r="T108" i="29"/>
  <c r="T526" i="29"/>
  <c r="U526" i="29" s="1"/>
  <c r="T522" i="29"/>
  <c r="U522" i="29" s="1"/>
  <c r="T366" i="29"/>
  <c r="U366" i="29" s="1"/>
  <c r="T414" i="29"/>
  <c r="U414" i="29" s="1"/>
  <c r="T462" i="29"/>
  <c r="U462" i="29" s="1"/>
  <c r="T651" i="29"/>
  <c r="U651" i="29" s="1"/>
  <c r="T559" i="29"/>
  <c r="U559" i="29" s="1"/>
  <c r="T349" i="29"/>
  <c r="U349" i="29" s="1"/>
  <c r="T154" i="29"/>
  <c r="U154" i="29" s="1"/>
  <c r="T234" i="29"/>
  <c r="U234" i="29" s="1"/>
  <c r="T330" i="29"/>
  <c r="U330" i="29" s="1"/>
  <c r="T378" i="29"/>
  <c r="U378" i="29" s="1"/>
  <c r="T426" i="29"/>
  <c r="U426" i="29" s="1"/>
  <c r="T474" i="29"/>
  <c r="U474" i="29" s="1"/>
  <c r="T699" i="29"/>
  <c r="U699" i="29" s="1"/>
  <c r="T571" i="29"/>
  <c r="U571" i="29" s="1"/>
  <c r="T631" i="29"/>
  <c r="U631" i="29" s="1"/>
  <c r="T436" i="29"/>
  <c r="U436" i="29" s="1"/>
  <c r="T510" i="29"/>
  <c r="U510" i="29" s="1"/>
  <c r="T506" i="29"/>
  <c r="U506" i="29" s="1"/>
  <c r="T363" i="29"/>
  <c r="U363" i="29" s="1"/>
  <c r="T411" i="29"/>
  <c r="U411" i="29" s="1"/>
  <c r="T459" i="29"/>
  <c r="U459" i="29" s="1"/>
  <c r="T643" i="29"/>
  <c r="U643" i="29" s="1"/>
  <c r="T556" i="29"/>
  <c r="U556" i="29" s="1"/>
  <c r="T143" i="29"/>
  <c r="T249" i="29"/>
  <c r="U249" i="29" s="1"/>
  <c r="T289" i="29"/>
  <c r="U289" i="29" s="1"/>
  <c r="T153" i="29"/>
  <c r="U153" i="29" s="1"/>
  <c r="T165" i="29"/>
  <c r="U165" i="29" s="1"/>
  <c r="T324" i="29"/>
  <c r="U324" i="29" s="1"/>
  <c r="T201" i="29"/>
  <c r="U201" i="29" s="1"/>
  <c r="T642" i="29"/>
  <c r="U642" i="29" s="1"/>
  <c r="T241" i="29"/>
  <c r="U241" i="29" s="1"/>
  <c r="T145" i="29"/>
  <c r="T629" i="29"/>
  <c r="U629" i="29" s="1"/>
  <c r="T300" i="29"/>
  <c r="U300" i="29" s="1"/>
  <c r="T337" i="29"/>
  <c r="U337" i="29" s="1"/>
  <c r="T216" i="29"/>
  <c r="U216" i="29" s="1"/>
  <c r="T413" i="29"/>
  <c r="U413" i="29" s="1"/>
  <c r="T224" i="29"/>
  <c r="U224" i="29" s="1"/>
  <c r="T365" i="29"/>
  <c r="U365" i="29" s="1"/>
  <c r="T354" i="29"/>
  <c r="U354" i="29" s="1"/>
  <c r="T603" i="29"/>
  <c r="U603" i="29" s="1"/>
  <c r="T677" i="29"/>
  <c r="U677" i="29" s="1"/>
  <c r="T662" i="29"/>
  <c r="U662" i="29" s="1"/>
  <c r="T581" i="29"/>
  <c r="U581" i="29" s="1"/>
  <c r="T534" i="29"/>
  <c r="U534" i="29" s="1"/>
  <c r="T457" i="29"/>
  <c r="U457" i="29" s="1"/>
  <c r="T361" i="29"/>
  <c r="U361" i="29" s="1"/>
  <c r="T636" i="29"/>
  <c r="U636" i="29" s="1"/>
  <c r="T311" i="29"/>
  <c r="U311" i="29" s="1"/>
  <c r="T124" i="29"/>
  <c r="U124" i="29" s="1"/>
  <c r="T226" i="29"/>
  <c r="U226" i="29" s="1"/>
  <c r="T327" i="29"/>
  <c r="U327" i="29" s="1"/>
  <c r="T371" i="29"/>
  <c r="U371" i="29" s="1"/>
  <c r="T419" i="29"/>
  <c r="U419" i="29" s="1"/>
  <c r="T467" i="29"/>
  <c r="U467" i="29" s="1"/>
  <c r="T675" i="29"/>
  <c r="U675" i="29" s="1"/>
  <c r="T564" i="29"/>
  <c r="U564" i="29" s="1"/>
  <c r="T215" i="29"/>
  <c r="U215" i="29" s="1"/>
  <c r="T163" i="29"/>
  <c r="U163" i="29" s="1"/>
  <c r="T266" i="29"/>
  <c r="U266" i="29" s="1"/>
  <c r="T338" i="29"/>
  <c r="U338" i="29" s="1"/>
  <c r="T383" i="29"/>
  <c r="U383" i="29" s="1"/>
  <c r="T431" i="29"/>
  <c r="U431" i="29" s="1"/>
  <c r="T544" i="29"/>
  <c r="U544" i="29" s="1"/>
  <c r="T616" i="29"/>
  <c r="U616" i="29" s="1"/>
  <c r="T576" i="29"/>
  <c r="U576" i="29" s="1"/>
  <c r="T647" i="29"/>
  <c r="U647" i="29" s="1"/>
  <c r="T210" i="29"/>
  <c r="U210" i="29" s="1"/>
  <c r="T547" i="29"/>
  <c r="U547" i="29" s="1"/>
  <c r="T374" i="29"/>
  <c r="U374" i="29" s="1"/>
  <c r="T422" i="29"/>
  <c r="U422" i="29" s="1"/>
  <c r="T470" i="29"/>
  <c r="U470" i="29" s="1"/>
  <c r="T683" i="29"/>
  <c r="U683" i="29" s="1"/>
  <c r="T567" i="29"/>
  <c r="U567" i="29" s="1"/>
  <c r="T139" i="29"/>
  <c r="T306" i="29"/>
  <c r="U306" i="29" s="1"/>
  <c r="T245" i="29"/>
  <c r="U245" i="29" s="1"/>
  <c r="T318" i="29"/>
  <c r="U318" i="29" s="1"/>
  <c r="T198" i="29"/>
  <c r="U198" i="29" s="1"/>
  <c r="T388" i="29"/>
  <c r="U388" i="29" s="1"/>
  <c r="T185" i="29"/>
  <c r="U185" i="29" s="1"/>
  <c r="T253" i="29"/>
  <c r="U253" i="29" s="1"/>
  <c r="T137" i="29"/>
  <c r="T141" i="29"/>
  <c r="T199" i="29"/>
  <c r="U199" i="29" s="1"/>
  <c r="T232" i="29"/>
  <c r="U232" i="29" s="1"/>
  <c r="T609" i="29"/>
  <c r="U609" i="29" s="1"/>
  <c r="T240" i="29"/>
  <c r="U240" i="29" s="1"/>
  <c r="T479" i="29"/>
  <c r="U479" i="29" s="1"/>
  <c r="T148" i="29"/>
  <c r="U148" i="29" s="1"/>
  <c r="T542" i="29"/>
  <c r="U542" i="29" s="1"/>
  <c r="T386" i="29"/>
  <c r="U386" i="29" s="1"/>
  <c r="T466" i="29"/>
  <c r="U466" i="29" s="1"/>
  <c r="T123" i="29"/>
  <c r="T550" i="29"/>
  <c r="U550" i="29" s="1"/>
  <c r="T341" i="29"/>
  <c r="U341" i="29" s="1"/>
  <c r="T604" i="29"/>
  <c r="U604" i="29" s="1"/>
  <c r="T176" i="29"/>
  <c r="U176" i="29" s="1"/>
  <c r="T195" i="29"/>
  <c r="U195" i="29" s="1"/>
  <c r="T258" i="29"/>
  <c r="U258" i="29" s="1"/>
  <c r="T335" i="29"/>
  <c r="U335" i="29" s="1"/>
  <c r="T382" i="29"/>
  <c r="U382" i="29" s="1"/>
  <c r="T430" i="29"/>
  <c r="U430" i="29" s="1"/>
  <c r="T480" i="29"/>
  <c r="U480" i="29" s="1"/>
  <c r="T608" i="29"/>
  <c r="U608" i="29" s="1"/>
  <c r="T575" i="29"/>
  <c r="U575" i="29" s="1"/>
  <c r="T316" i="29"/>
  <c r="U316" i="29" s="1"/>
  <c r="T275" i="29"/>
  <c r="U275" i="29" s="1"/>
  <c r="T485" i="29"/>
  <c r="U485" i="29" s="1"/>
  <c r="T346" i="29"/>
  <c r="U346" i="29" s="1"/>
  <c r="T394" i="29"/>
  <c r="U394" i="29" s="1"/>
  <c r="T442" i="29"/>
  <c r="U442" i="29" s="1"/>
  <c r="T537" i="29"/>
  <c r="U537" i="29" s="1"/>
  <c r="T656" i="29"/>
  <c r="U656" i="29" s="1"/>
  <c r="T663" i="29"/>
  <c r="U663" i="29" s="1"/>
  <c r="T186" i="29"/>
  <c r="U186" i="29" s="1"/>
  <c r="T242" i="29"/>
  <c r="U242" i="29" s="1"/>
  <c r="T331" i="29"/>
  <c r="U331" i="29" s="1"/>
  <c r="T379" i="29"/>
  <c r="U379" i="29" s="1"/>
  <c r="T427" i="29"/>
  <c r="U427" i="29" s="1"/>
  <c r="T477" i="29"/>
  <c r="U477" i="29" s="1"/>
  <c r="T600" i="29"/>
  <c r="U600" i="29" s="1"/>
  <c r="T572" i="29"/>
  <c r="U572" i="29" s="1"/>
  <c r="T135" i="29"/>
  <c r="T254" i="29"/>
  <c r="U254" i="29" s="1"/>
  <c r="T235" i="29"/>
  <c r="U235" i="29" s="1"/>
  <c r="T302" i="29"/>
  <c r="U302" i="29" s="1"/>
  <c r="T178" i="29"/>
  <c r="U178" i="29" s="1"/>
  <c r="T369" i="29"/>
  <c r="U369" i="29" s="1"/>
  <c r="T118" i="29"/>
  <c r="U118" i="29" s="1"/>
  <c r="T238" i="29"/>
  <c r="U238" i="29" s="1"/>
  <c r="T237" i="29"/>
  <c r="U237" i="29" s="1"/>
  <c r="T181" i="29"/>
  <c r="U181" i="29" s="1"/>
  <c r="T476" i="29"/>
  <c r="U476" i="29" s="1"/>
  <c r="T264" i="29"/>
  <c r="U264" i="29" s="1"/>
  <c r="T504" i="29"/>
  <c r="U504" i="29" s="1"/>
  <c r="T574" i="29"/>
  <c r="U574" i="29" s="1"/>
  <c r="T307" i="29"/>
  <c r="U307" i="29" s="1"/>
  <c r="T573" i="29"/>
  <c r="U573" i="29" s="1"/>
  <c r="T326" i="29"/>
  <c r="U326" i="29" s="1"/>
  <c r="T501" i="29"/>
  <c r="U501" i="29" s="1"/>
  <c r="T437" i="29"/>
  <c r="U437" i="29" s="1"/>
  <c r="T175" i="29"/>
  <c r="U175" i="29" s="1"/>
  <c r="T645" i="29"/>
  <c r="U645" i="29" s="1"/>
  <c r="T598" i="29"/>
  <c r="U598" i="29" s="1"/>
  <c r="T549" i="29"/>
  <c r="U549" i="29" s="1"/>
  <c r="T527" i="29"/>
  <c r="U527" i="29" s="1"/>
  <c r="T425" i="29"/>
  <c r="U425" i="29" s="1"/>
  <c r="T329" i="29"/>
  <c r="U329" i="29" s="1"/>
  <c r="T265" i="29"/>
  <c r="U265" i="29" s="1"/>
  <c r="T290" i="29"/>
  <c r="U290" i="29" s="1"/>
  <c r="T343" i="29"/>
  <c r="U343" i="29" s="1"/>
  <c r="T387" i="29"/>
  <c r="U387" i="29" s="1"/>
  <c r="T435" i="29"/>
  <c r="U435" i="29" s="1"/>
  <c r="T543" i="29"/>
  <c r="U543" i="29" s="1"/>
  <c r="T632" i="29"/>
  <c r="U632" i="29" s="1"/>
  <c r="T580" i="29"/>
  <c r="U580" i="29" s="1"/>
  <c r="T106" i="29"/>
  <c r="U106" i="29" s="1"/>
  <c r="T497" i="29"/>
  <c r="U497" i="29" s="1"/>
  <c r="T517" i="29"/>
  <c r="U517" i="29" s="1"/>
  <c r="T351" i="29"/>
  <c r="U351" i="29" s="1"/>
  <c r="T399" i="29"/>
  <c r="U399" i="29" s="1"/>
  <c r="T447" i="29"/>
  <c r="U447" i="29" s="1"/>
  <c r="T540" i="29"/>
  <c r="U540" i="29" s="1"/>
  <c r="T680" i="29"/>
  <c r="U680" i="29" s="1"/>
  <c r="T587" i="29"/>
  <c r="U587" i="29" s="1"/>
  <c r="T679" i="29"/>
  <c r="U679" i="29" s="1"/>
  <c r="T169" i="29"/>
  <c r="U169" i="29" s="1"/>
  <c r="T274" i="29"/>
  <c r="U274" i="29" s="1"/>
  <c r="T339" i="29"/>
  <c r="U339" i="29" s="1"/>
  <c r="T390" i="29"/>
  <c r="U390" i="29" s="1"/>
  <c r="T438" i="29"/>
  <c r="U438" i="29" s="1"/>
  <c r="T481" i="29"/>
  <c r="U481" i="29" s="1"/>
  <c r="T640" i="29"/>
  <c r="U640" i="29" s="1"/>
  <c r="T583" i="29"/>
  <c r="U583" i="29" s="1"/>
  <c r="T189" i="29"/>
  <c r="U189" i="29" s="1"/>
  <c r="T225" i="29"/>
  <c r="U225" i="29" s="1"/>
  <c r="T278" i="29"/>
  <c r="U278" i="29" s="1"/>
  <c r="T513" i="29"/>
  <c r="U513" i="29" s="1"/>
  <c r="T170" i="29"/>
  <c r="U170" i="29" s="1"/>
  <c r="T206" i="29"/>
  <c r="U206" i="29" s="1"/>
  <c r="T227" i="29"/>
  <c r="U227" i="29" s="1"/>
  <c r="T357" i="29"/>
  <c r="U357" i="29" s="1"/>
  <c r="T247" i="29"/>
  <c r="U247" i="29" s="1"/>
  <c r="T628" i="29"/>
  <c r="U628" i="29" s="1"/>
  <c r="T325" i="29"/>
  <c r="U325" i="29" s="1"/>
  <c r="T601" i="29"/>
  <c r="U601" i="29" s="1"/>
  <c r="T344" i="29"/>
  <c r="U344" i="29" s="1"/>
  <c r="T585" i="29"/>
  <c r="U585" i="29" s="1"/>
  <c r="T14" i="29"/>
  <c r="U14" i="29" s="1"/>
  <c r="T58" i="29"/>
  <c r="T103" i="29"/>
  <c r="U103" i="29" s="1"/>
  <c r="T83" i="29"/>
  <c r="U83" i="29" s="1"/>
  <c r="T66" i="29"/>
  <c r="U66" i="29" s="1"/>
  <c r="T286" i="29"/>
  <c r="U286" i="29" s="1"/>
  <c r="T267" i="29"/>
  <c r="U267" i="29" s="1"/>
  <c r="T233" i="29"/>
  <c r="U233" i="29" s="1"/>
  <c r="T155" i="29"/>
  <c r="U155" i="29" s="1"/>
  <c r="T67" i="29"/>
  <c r="T482" i="29"/>
  <c r="U482" i="29" s="1"/>
  <c r="T179" i="29"/>
  <c r="U179" i="29" s="1"/>
  <c r="T105" i="29"/>
  <c r="U105" i="29" s="1"/>
  <c r="T409" i="29"/>
  <c r="U409" i="29" s="1"/>
  <c r="T273" i="29"/>
  <c r="U273" i="29" s="1"/>
  <c r="T310" i="29"/>
  <c r="U310" i="29" s="1"/>
  <c r="T110" i="29"/>
  <c r="T43" i="29"/>
  <c r="U43" i="29" s="1"/>
  <c r="T296" i="29"/>
  <c r="U296" i="29" s="1"/>
  <c r="T77" i="29"/>
  <c r="U77" i="29" s="1"/>
  <c r="T412" i="29"/>
  <c r="U412" i="29" s="1"/>
  <c r="T220" i="29"/>
  <c r="U220" i="29" s="1"/>
  <c r="T503" i="29"/>
  <c r="U503" i="29" s="1"/>
  <c r="T520" i="29"/>
  <c r="U520" i="29" s="1"/>
  <c r="T353" i="29"/>
  <c r="U353" i="29" s="1"/>
  <c r="T6" i="29"/>
  <c r="Y7" i="29" s="1"/>
  <c r="U7" i="29"/>
  <c r="T222" i="29"/>
  <c r="U222" i="29" s="1"/>
  <c r="T277" i="29"/>
  <c r="U277" i="29" s="1"/>
  <c r="T213" i="29"/>
  <c r="U213" i="29" s="1"/>
  <c r="T205" i="29"/>
  <c r="U205" i="29" s="1"/>
  <c r="T187" i="29"/>
  <c r="U187" i="29" s="1"/>
  <c r="T125" i="29"/>
  <c r="T146" i="29"/>
  <c r="T52" i="29"/>
  <c r="U52" i="29" s="1"/>
  <c r="T452" i="29"/>
  <c r="U452" i="29" s="1"/>
  <c r="T305" i="29"/>
  <c r="U305" i="29" s="1"/>
  <c r="T132" i="29"/>
  <c r="T263" i="29"/>
  <c r="U263" i="29" s="1"/>
  <c r="T314" i="29"/>
  <c r="U314" i="29" s="1"/>
  <c r="T309" i="29"/>
  <c r="U309" i="29" s="1"/>
  <c r="T229" i="29"/>
  <c r="U229" i="29" s="1"/>
  <c r="T150" i="29"/>
  <c r="U150" i="29" s="1"/>
  <c r="T193" i="29"/>
  <c r="U193" i="29" s="1"/>
  <c r="T194" i="29"/>
  <c r="U194" i="29" s="1"/>
  <c r="T51" i="29"/>
  <c r="U51" i="29" s="1"/>
  <c r="T268" i="29"/>
  <c r="U268" i="29" s="1"/>
  <c r="T101" i="29"/>
  <c r="T644" i="29"/>
  <c r="U644" i="29" s="1"/>
  <c r="T228" i="29"/>
  <c r="U228" i="29" s="1"/>
  <c r="T377" i="29"/>
  <c r="U377" i="29" s="1"/>
  <c r="T528" i="29"/>
  <c r="U528" i="29" s="1"/>
  <c r="T389" i="29"/>
  <c r="U389" i="29" s="1"/>
  <c r="T21" i="29"/>
  <c r="U21" i="29" s="1"/>
  <c r="T260" i="29"/>
  <c r="U260" i="29" s="1"/>
  <c r="T582" i="29"/>
  <c r="U582" i="29" s="1"/>
  <c r="T626" i="29"/>
  <c r="U626" i="29" s="1"/>
  <c r="T192" i="29"/>
  <c r="U192" i="29" s="1"/>
  <c r="T280" i="29"/>
  <c r="U280" i="29" s="1"/>
  <c r="T392" i="29"/>
  <c r="U392" i="29" s="1"/>
  <c r="T449" i="29"/>
  <c r="U449" i="29" s="1"/>
  <c r="T646" i="29"/>
  <c r="U646" i="29" s="1"/>
  <c r="T407" i="29"/>
  <c r="U407" i="29" s="1"/>
  <c r="T688" i="29"/>
  <c r="U688" i="29" s="1"/>
  <c r="T518" i="29"/>
  <c r="U518" i="29" s="1"/>
  <c r="T217" i="29"/>
  <c r="U217" i="29" s="1"/>
  <c r="T109" i="29"/>
  <c r="U109" i="29" s="1"/>
  <c r="T404" i="29"/>
  <c r="U404" i="29" s="1"/>
  <c r="T298" i="29"/>
  <c r="U298" i="29" s="1"/>
  <c r="T293" i="29"/>
  <c r="U293" i="29" s="1"/>
  <c r="T219" i="29"/>
  <c r="U219" i="29" s="1"/>
  <c r="T134" i="29"/>
  <c r="T171" i="29"/>
  <c r="U171" i="29" s="1"/>
  <c r="T162" i="29"/>
  <c r="U162" i="29" s="1"/>
  <c r="T295" i="29"/>
  <c r="U295" i="29" s="1"/>
  <c r="T612" i="29"/>
  <c r="U612" i="29" s="1"/>
  <c r="T112" i="29"/>
  <c r="U112" i="29" s="1"/>
  <c r="T252" i="29"/>
  <c r="U252" i="29" s="1"/>
  <c r="T421" i="29"/>
  <c r="U421" i="29" s="1"/>
  <c r="T236" i="29"/>
  <c r="U236" i="29" s="1"/>
  <c r="T348" i="29"/>
  <c r="U348" i="29" s="1"/>
  <c r="T523" i="29"/>
  <c r="U523" i="29" s="1"/>
  <c r="T29" i="29"/>
  <c r="U29" i="29" s="1"/>
  <c r="T167" i="29"/>
  <c r="U167" i="29" s="1"/>
  <c r="T284" i="29"/>
  <c r="U284" i="29" s="1"/>
  <c r="T661" i="29"/>
  <c r="U661" i="29" s="1"/>
  <c r="T666" i="29"/>
  <c r="U666" i="29" s="1"/>
  <c r="T697" i="29"/>
  <c r="U697" i="29" s="1"/>
  <c r="T304" i="29"/>
  <c r="U304" i="29" s="1"/>
  <c r="T400" i="29"/>
  <c r="U400" i="29" s="1"/>
  <c r="T461" i="29"/>
  <c r="U461" i="29" s="1"/>
  <c r="T670" i="29"/>
  <c r="U670" i="29" s="1"/>
  <c r="T439" i="29"/>
  <c r="U439" i="29" s="1"/>
  <c r="T579" i="29"/>
  <c r="U579" i="29" s="1"/>
  <c r="T61" i="29"/>
  <c r="U61" i="29" s="1"/>
  <c r="T63" i="29"/>
  <c r="U63" i="29" s="1"/>
  <c r="T65" i="29"/>
  <c r="U65" i="29" s="1"/>
  <c r="T69" i="29"/>
  <c r="U69" i="29" s="1"/>
  <c r="T81" i="29"/>
  <c r="U81" i="29" s="1"/>
  <c r="T85" i="29"/>
  <c r="U85" i="29" s="1"/>
  <c r="T26" i="29"/>
  <c r="U26" i="29" s="1"/>
  <c r="T322" i="29"/>
  <c r="U322" i="29" s="1"/>
  <c r="T505" i="29"/>
  <c r="U505" i="29" s="1"/>
  <c r="T257" i="29"/>
  <c r="U257" i="29" s="1"/>
  <c r="T190" i="29"/>
  <c r="U190" i="29" s="1"/>
  <c r="T147" i="29"/>
  <c r="T161" i="29"/>
  <c r="U161" i="29" s="1"/>
  <c r="T89" i="29"/>
  <c r="U89" i="29" s="1"/>
  <c r="T94" i="29"/>
  <c r="U94" i="29" s="1"/>
  <c r="T47" i="29"/>
  <c r="U47" i="29" s="1"/>
  <c r="T208" i="29"/>
  <c r="U208" i="29" s="1"/>
  <c r="T594" i="29"/>
  <c r="U594" i="29" s="1"/>
  <c r="T269" i="29"/>
  <c r="U269" i="29" s="1"/>
  <c r="T214" i="29"/>
  <c r="U214" i="29" s="1"/>
  <c r="T86" i="29"/>
  <c r="U86" i="29" s="1"/>
  <c r="T312" i="29"/>
  <c r="U312" i="29" s="1"/>
  <c r="T468" i="29"/>
  <c r="U468" i="29" s="1"/>
  <c r="T270" i="29"/>
  <c r="U270" i="29" s="1"/>
  <c r="T283" i="29"/>
  <c r="U283" i="29" s="1"/>
  <c r="T209" i="29"/>
  <c r="U209" i="29" s="1"/>
  <c r="T117" i="29"/>
  <c r="U117" i="29" s="1"/>
  <c r="T158" i="29"/>
  <c r="U158" i="29" s="1"/>
  <c r="T93" i="29"/>
  <c r="U93" i="29" s="1"/>
  <c r="T356" i="29"/>
  <c r="U356" i="29" s="1"/>
  <c r="T45" i="29"/>
  <c r="T183" i="29"/>
  <c r="U183" i="29" s="1"/>
  <c r="T292" i="29"/>
  <c r="U292" i="29" s="1"/>
  <c r="T565" i="29"/>
  <c r="U565" i="29" s="1"/>
  <c r="T84" i="29"/>
  <c r="U84" i="29" s="1"/>
  <c r="T57" i="29"/>
  <c r="U57" i="29" s="1"/>
  <c r="T533" i="29"/>
  <c r="U533" i="29" s="1"/>
  <c r="T396" i="29"/>
  <c r="U396" i="29" s="1"/>
  <c r="T630" i="29"/>
  <c r="U630" i="29" s="1"/>
  <c r="T660" i="29"/>
  <c r="U660" i="29" s="1"/>
  <c r="T184" i="29"/>
  <c r="U184" i="29" s="1"/>
  <c r="T231" i="29"/>
  <c r="U231" i="29" s="1"/>
  <c r="T401" i="29"/>
  <c r="U401" i="29" s="1"/>
  <c r="T554" i="29"/>
  <c r="U554" i="29" s="1"/>
  <c r="T173" i="29"/>
  <c r="U173" i="29" s="1"/>
  <c r="T200" i="29"/>
  <c r="U200" i="29" s="1"/>
  <c r="T299" i="29"/>
  <c r="U299" i="29" s="1"/>
  <c r="T440" i="29"/>
  <c r="U440" i="29" s="1"/>
  <c r="T539" i="29"/>
  <c r="U539" i="29" s="1"/>
  <c r="T669" i="29"/>
  <c r="U669" i="29" s="1"/>
  <c r="T607" i="29"/>
  <c r="U607" i="29" s="1"/>
  <c r="T282" i="29"/>
  <c r="U282" i="29" s="1"/>
  <c r="T100" i="29"/>
  <c r="U100" i="29" s="1"/>
  <c r="T133" i="29"/>
  <c r="U133" i="29" s="1"/>
  <c r="T334" i="29"/>
  <c r="U334" i="29" s="1"/>
  <c r="T624" i="29"/>
  <c r="U624" i="29" s="1"/>
  <c r="T455" i="29"/>
  <c r="U455" i="29" s="1"/>
  <c r="T486" i="29"/>
  <c r="U486" i="29" s="1"/>
  <c r="T667" i="29"/>
  <c r="U667" i="29" s="1"/>
  <c r="T514" i="29"/>
  <c r="U514" i="29" s="1"/>
  <c r="T568" i="29"/>
  <c r="U568" i="29" s="1"/>
  <c r="T375" i="29"/>
  <c r="U375" i="29" s="1"/>
  <c r="T11" i="29"/>
  <c r="U11" i="29" s="1"/>
  <c r="T649" i="29"/>
  <c r="U649" i="29" s="1"/>
  <c r="T606" i="29"/>
  <c r="U606" i="29" s="1"/>
  <c r="T553" i="29"/>
  <c r="U553" i="29" s="1"/>
  <c r="T531" i="29"/>
  <c r="U531" i="29" s="1"/>
  <c r="T429" i="29"/>
  <c r="U429" i="29" s="1"/>
  <c r="T333" i="29"/>
  <c r="U333" i="29" s="1"/>
  <c r="T432" i="29"/>
  <c r="U432" i="29" s="1"/>
  <c r="T384" i="29"/>
  <c r="U384" i="29" s="1"/>
  <c r="T336" i="29"/>
  <c r="U336" i="29" s="1"/>
  <c r="T287" i="29"/>
  <c r="U287" i="29" s="1"/>
  <c r="T248" i="29"/>
  <c r="U248" i="29" s="1"/>
  <c r="T488" i="29"/>
  <c r="U488" i="29" s="1"/>
  <c r="T168" i="29"/>
  <c r="U168" i="29" s="1"/>
  <c r="T160" i="29"/>
  <c r="U160" i="29" s="1"/>
  <c r="T620" i="29"/>
  <c r="U620" i="29" s="1"/>
  <c r="T685" i="29"/>
  <c r="U685" i="29" s="1"/>
  <c r="T678" i="29"/>
  <c r="U678" i="29" s="1"/>
  <c r="T589" i="29"/>
  <c r="U589" i="29" s="1"/>
  <c r="T602" i="29"/>
  <c r="U602" i="29" s="1"/>
  <c r="T465" i="29"/>
  <c r="U465" i="29" s="1"/>
  <c r="T381" i="29"/>
  <c r="U381" i="29" s="1"/>
  <c r="T618" i="29"/>
  <c r="U618" i="29" s="1"/>
  <c r="T191" i="29"/>
  <c r="U191" i="29" s="1"/>
  <c r="T496" i="29"/>
  <c r="U496" i="29" s="1"/>
  <c r="T120" i="29"/>
  <c r="U120" i="29" s="1"/>
  <c r="T128" i="29"/>
  <c r="U128" i="29" s="1"/>
  <c r="T90" i="29"/>
  <c r="U90" i="29" s="1"/>
  <c r="T33" i="29"/>
  <c r="U33" i="29" s="1"/>
  <c r="T700" i="29"/>
  <c r="U700" i="29" s="1"/>
  <c r="T577" i="29"/>
  <c r="U577" i="29" s="1"/>
  <c r="T478" i="29"/>
  <c r="U478" i="29" s="1"/>
  <c r="T380" i="29"/>
  <c r="U380" i="29" s="1"/>
  <c r="T303" i="29"/>
  <c r="U303" i="29" s="1"/>
  <c r="T492" i="29"/>
  <c r="U492" i="29" s="1"/>
  <c r="T102" i="29"/>
  <c r="U102" i="29" s="1"/>
  <c r="T541" i="29"/>
  <c r="U541" i="29" s="1"/>
  <c r="T370" i="29"/>
  <c r="U370" i="29" s="1"/>
  <c r="T563" i="29"/>
  <c r="U563" i="29" s="1"/>
  <c r="T639" i="29"/>
  <c r="U639" i="29" s="1"/>
  <c r="T423" i="29"/>
  <c r="U423" i="29" s="1"/>
  <c r="T597" i="29"/>
  <c r="U597" i="29" s="1"/>
  <c r="T535" i="29"/>
  <c r="U535" i="29" s="1"/>
  <c r="T250" i="29"/>
  <c r="U250" i="29" s="1"/>
  <c r="T648" i="29"/>
  <c r="U648" i="29" s="1"/>
  <c r="T342" i="29"/>
  <c r="U342" i="29" s="1"/>
  <c r="T637" i="29"/>
  <c r="U637" i="29" s="1"/>
  <c r="T590" i="29"/>
  <c r="U590" i="29" s="1"/>
  <c r="T698" i="29"/>
  <c r="U698" i="29" s="1"/>
  <c r="T519" i="29"/>
  <c r="U519" i="29" s="1"/>
  <c r="T417" i="29"/>
  <c r="U417" i="29" s="1"/>
  <c r="T546" i="29"/>
  <c r="U546" i="29" s="1"/>
  <c r="T424" i="29"/>
  <c r="U424" i="29" s="1"/>
  <c r="T376" i="29"/>
  <c r="U376" i="29" s="1"/>
  <c r="T328" i="29"/>
  <c r="U328" i="29" s="1"/>
  <c r="T271" i="29"/>
  <c r="U271" i="29" s="1"/>
  <c r="T308" i="29"/>
  <c r="U308" i="29" s="1"/>
  <c r="T138" i="29"/>
  <c r="T130" i="29"/>
  <c r="U130" i="29" s="1"/>
  <c r="T13" i="29"/>
  <c r="U13" i="29" s="1"/>
  <c r="T676" i="29"/>
  <c r="U676" i="29" s="1"/>
  <c r="T665" i="29"/>
  <c r="U665" i="29" s="1"/>
  <c r="T638" i="29"/>
  <c r="U638" i="29" s="1"/>
  <c r="T569" i="29"/>
  <c r="U569" i="29" s="1"/>
  <c r="T483" i="29"/>
  <c r="U483" i="29" s="1"/>
  <c r="T491" i="29"/>
  <c r="U491" i="29" s="1"/>
  <c r="T516" i="29"/>
  <c r="U516" i="29" s="1"/>
  <c r="T188" i="29"/>
  <c r="U188" i="29" s="1"/>
  <c r="T35" i="29"/>
  <c r="U35" i="29" s="1"/>
  <c r="T60" i="29"/>
  <c r="U60" i="29" s="1"/>
  <c r="T682" i="29"/>
  <c r="U682" i="29" s="1"/>
  <c r="T460" i="29"/>
  <c r="U460" i="29" s="1"/>
  <c r="T364" i="29"/>
  <c r="U364" i="29" s="1"/>
  <c r="T279" i="29"/>
  <c r="U279" i="29" s="1"/>
  <c r="T276" i="29"/>
  <c r="U276" i="29" s="1"/>
  <c r="T74" i="29"/>
  <c r="U74" i="29" s="1"/>
  <c r="T80" i="29"/>
  <c r="U80" i="29" s="1"/>
  <c r="T116" i="29"/>
  <c r="U116" i="29" s="1"/>
  <c r="T641" i="29"/>
  <c r="U641" i="29" s="1"/>
  <c r="T511" i="29"/>
  <c r="U511" i="29" s="1"/>
  <c r="T223" i="29"/>
  <c r="U223" i="29" s="1"/>
  <c r="T204" i="29"/>
  <c r="U204" i="29" s="1"/>
  <c r="T144" i="29"/>
  <c r="T684" i="29"/>
  <c r="U684" i="29" s="1"/>
  <c r="T420" i="29"/>
  <c r="U420" i="29" s="1"/>
  <c r="T9" i="29"/>
  <c r="T76" i="29"/>
  <c r="T230" i="29"/>
  <c r="U230" i="29" s="1"/>
  <c r="T177" i="29"/>
  <c r="U177" i="29" s="1"/>
  <c r="T197" i="29"/>
  <c r="U197" i="29" s="1"/>
  <c r="T261" i="29"/>
  <c r="U261" i="29" s="1"/>
  <c r="T521" i="29"/>
  <c r="U521" i="29" s="1"/>
  <c r="T243" i="29"/>
  <c r="U243" i="29" s="1"/>
  <c r="T340" i="29"/>
  <c r="U340" i="29" s="1"/>
  <c r="T152" i="29"/>
  <c r="U152" i="29" s="1"/>
  <c r="T221" i="29"/>
  <c r="U221" i="29" s="1"/>
  <c r="T166" i="29"/>
  <c r="U166" i="29" s="1"/>
  <c r="T291" i="29"/>
  <c r="U291" i="29" s="1"/>
  <c r="T475" i="29"/>
  <c r="U475" i="29" s="1"/>
  <c r="T500" i="29"/>
  <c r="U500" i="29" s="1"/>
  <c r="T82" i="29"/>
  <c r="U82" i="29" s="1"/>
  <c r="T149" i="29"/>
  <c r="U149" i="29" s="1"/>
  <c r="T182" i="29"/>
  <c r="U182" i="29" s="1"/>
  <c r="T402" i="29"/>
  <c r="U402" i="29" s="1"/>
  <c r="T595" i="29"/>
  <c r="U595" i="29" s="1"/>
  <c r="T584" i="29"/>
  <c r="U584" i="29" s="1"/>
  <c r="T391" i="29"/>
  <c r="U391" i="29" s="1"/>
  <c r="T687" i="29"/>
  <c r="U687" i="29" s="1"/>
  <c r="T450" i="29"/>
  <c r="U450" i="29" s="1"/>
  <c r="T297" i="29"/>
  <c r="U297" i="29" s="1"/>
  <c r="T627" i="29"/>
  <c r="U627" i="29" s="1"/>
  <c r="T484" i="29"/>
  <c r="U484" i="29" s="1"/>
  <c r="T27" i="29"/>
  <c r="U27" i="29" s="1"/>
  <c r="T617" i="29"/>
  <c r="U617" i="29" s="1"/>
  <c r="T570" i="29"/>
  <c r="U570" i="29" s="1"/>
  <c r="T658" i="29"/>
  <c r="U658" i="29" s="1"/>
  <c r="T499" i="29"/>
  <c r="U499" i="29" s="1"/>
  <c r="T397" i="29"/>
  <c r="U397" i="29" s="1"/>
  <c r="T464" i="29"/>
  <c r="U464" i="29" s="1"/>
  <c r="T416" i="29"/>
  <c r="U416" i="29" s="1"/>
  <c r="T368" i="29"/>
  <c r="U368" i="29" s="1"/>
  <c r="T323" i="29"/>
  <c r="U323" i="29" s="1"/>
  <c r="T255" i="29"/>
  <c r="U255" i="29" s="1"/>
  <c r="T180" i="29"/>
  <c r="U180" i="29" s="1"/>
  <c r="T288" i="29"/>
  <c r="U288" i="29" s="1"/>
  <c r="T151" i="29"/>
  <c r="U151" i="29" s="1"/>
  <c r="T19" i="29"/>
  <c r="U19" i="29" s="1"/>
  <c r="T653" i="29"/>
  <c r="U653" i="29" s="1"/>
  <c r="T614" i="29"/>
  <c r="U614" i="29" s="1"/>
  <c r="T557" i="29"/>
  <c r="U557" i="29" s="1"/>
  <c r="T538" i="29"/>
  <c r="U538" i="29" s="1"/>
  <c r="T445" i="29"/>
  <c r="U445" i="29" s="1"/>
  <c r="T129" i="29"/>
  <c r="U129" i="29" s="1"/>
  <c r="T434" i="29"/>
  <c r="U434" i="29" s="1"/>
  <c r="T655" i="29"/>
  <c r="U655" i="29" s="1"/>
  <c r="T552" i="29"/>
  <c r="U552" i="29" s="1"/>
  <c r="T359" i="29"/>
  <c r="U359" i="29" s="1"/>
  <c r="T623" i="29"/>
  <c r="U623" i="29" s="1"/>
  <c r="T418" i="29"/>
  <c r="U418" i="29" s="1"/>
  <c r="T246" i="29"/>
  <c r="U246" i="29" s="1"/>
  <c r="T471" i="29"/>
  <c r="U471" i="29" s="1"/>
  <c r="T218" i="29"/>
  <c r="U218" i="29" s="1"/>
  <c r="T605" i="29"/>
  <c r="U605" i="29" s="1"/>
  <c r="T558" i="29"/>
  <c r="U558" i="29" s="1"/>
  <c r="T634" i="29"/>
  <c r="U634" i="29" s="1"/>
  <c r="T487" i="29"/>
  <c r="U487" i="29" s="1"/>
  <c r="T385" i="29"/>
  <c r="U385" i="29" s="1"/>
  <c r="T456" i="29"/>
  <c r="U456" i="29" s="1"/>
  <c r="T408" i="29"/>
  <c r="U408" i="29" s="1"/>
  <c r="T360" i="29"/>
  <c r="U360" i="29" s="1"/>
  <c r="T315" i="29"/>
  <c r="U315" i="29" s="1"/>
  <c r="T320" i="29"/>
  <c r="U320" i="29" s="1"/>
  <c r="T164" i="29"/>
  <c r="U164" i="29" s="1"/>
  <c r="T256" i="29"/>
  <c r="U256" i="29" s="1"/>
  <c r="T53" i="29"/>
  <c r="U53" i="29" s="1"/>
  <c r="T114" i="29"/>
  <c r="U114" i="29" s="1"/>
  <c r="T633" i="29"/>
  <c r="U633" i="29" s="1"/>
  <c r="T586" i="29"/>
  <c r="U586" i="29" s="1"/>
  <c r="T690" i="29"/>
  <c r="U690" i="29" s="1"/>
  <c r="T515" i="29"/>
  <c r="U515" i="29" s="1"/>
  <c r="T433" i="29"/>
  <c r="U433" i="29" s="1"/>
  <c r="T654" i="29"/>
  <c r="U654" i="29" s="1"/>
  <c r="T345" i="29"/>
  <c r="U345" i="29" s="1"/>
  <c r="T41" i="29"/>
  <c r="U41" i="29" s="1"/>
  <c r="T693" i="29"/>
  <c r="U693" i="29" s="1"/>
  <c r="T473" i="29"/>
  <c r="U473" i="29" s="1"/>
  <c r="T428" i="29"/>
  <c r="U428" i="29" s="1"/>
  <c r="T332" i="29"/>
  <c r="U332" i="29" s="1"/>
  <c r="T207" i="29"/>
  <c r="U207" i="29" s="1"/>
  <c r="T212" i="29"/>
  <c r="U212" i="29" s="1"/>
  <c r="T272" i="29"/>
  <c r="U272" i="29" s="1"/>
  <c r="T78" i="29"/>
  <c r="U78" i="29" s="1"/>
  <c r="T508" i="29"/>
  <c r="U508" i="29" s="1"/>
  <c r="T156" i="29"/>
  <c r="U156" i="29" s="1"/>
  <c r="T98" i="29"/>
  <c r="T55" i="29"/>
  <c r="T24" i="29"/>
  <c r="U24" i="29" s="1"/>
  <c r="T28" i="29"/>
  <c r="T40" i="29"/>
  <c r="U40" i="29" s="1"/>
  <c r="T56" i="29"/>
  <c r="U56" i="29" s="1"/>
  <c r="T372" i="29"/>
  <c r="U372" i="29" s="1"/>
  <c r="O701" i="29"/>
  <c r="R701" i="29"/>
  <c r="AW107" i="42"/>
  <c r="AU107" i="42" s="1"/>
  <c r="D33" i="42"/>
  <c r="R34" i="42"/>
  <c r="Q34" i="42" s="1"/>
  <c r="R33" i="42"/>
  <c r="Q33" i="42" s="1"/>
  <c r="C85" i="40"/>
  <c r="Q37" i="42"/>
  <c r="F94" i="42" s="1"/>
  <c r="C34" i="40"/>
  <c r="C96" i="40"/>
  <c r="C70" i="40"/>
  <c r="N9" i="42"/>
  <c r="W22" i="42"/>
  <c r="D22" i="42" s="1"/>
  <c r="N22" i="42"/>
  <c r="I73" i="42"/>
  <c r="N28" i="42"/>
  <c r="D103" i="42"/>
  <c r="N10" i="42"/>
  <c r="Q24" i="42" s="1"/>
  <c r="S30" i="39"/>
  <c r="P30" i="39"/>
  <c r="B48" i="42"/>
  <c r="G16" i="27"/>
  <c r="AI92" i="23"/>
  <c r="L26" i="38"/>
  <c r="B66" i="38"/>
  <c r="J137" i="23"/>
  <c r="AJ29" i="23" s="1"/>
  <c r="V201" i="23"/>
  <c r="F26" i="38"/>
  <c r="AA58" i="23"/>
  <c r="AI58" i="23" s="1"/>
  <c r="R204" i="23"/>
  <c r="L195" i="23"/>
  <c r="AA148" i="23"/>
  <c r="AI148" i="23" s="1"/>
  <c r="V48" i="42"/>
  <c r="B67" i="38"/>
  <c r="R28" i="42"/>
  <c r="F28" i="42" s="1"/>
  <c r="AA55" i="23"/>
  <c r="AI55" i="23" s="1"/>
  <c r="G67" i="38"/>
  <c r="AW46" i="42"/>
  <c r="BI46" i="42" s="1"/>
  <c r="AW55" i="42"/>
  <c r="AU55" i="42" s="1"/>
  <c r="AW76" i="42"/>
  <c r="BG76" i="42" s="1"/>
  <c r="AW75" i="42"/>
  <c r="AU75" i="42" s="1"/>
  <c r="AW95" i="42"/>
  <c r="AU95" i="42" s="1"/>
  <c r="AW103" i="42"/>
  <c r="BA103" i="42" s="1"/>
  <c r="AW48" i="42"/>
  <c r="AU48" i="42" s="1"/>
  <c r="AW106" i="42"/>
  <c r="BK106" i="42" s="1"/>
  <c r="AW86" i="42"/>
  <c r="BG86" i="42" s="1"/>
  <c r="AW78" i="42"/>
  <c r="AU78" i="42" s="1"/>
  <c r="AW73" i="42"/>
  <c r="AY73" i="42" s="1"/>
  <c r="AW69" i="42"/>
  <c r="AY69" i="42" s="1"/>
  <c r="AW61" i="42"/>
  <c r="AU61" i="42" s="1"/>
  <c r="AW81" i="42"/>
  <c r="AU81" i="42" s="1"/>
  <c r="AW38" i="42"/>
  <c r="BI38" i="42" s="1"/>
  <c r="AW34" i="42"/>
  <c r="BI34" i="42" s="1"/>
  <c r="AW30" i="42"/>
  <c r="AU30" i="42" s="1"/>
  <c r="AW39" i="42"/>
  <c r="BE39" i="42" s="1"/>
  <c r="AW31" i="42"/>
  <c r="AU31" i="42" s="1"/>
  <c r="AW80" i="42"/>
  <c r="AU80" i="42" s="1"/>
  <c r="AW100" i="42"/>
  <c r="AU100" i="42" s="1"/>
  <c r="AW79" i="42"/>
  <c r="AU79" i="42" s="1"/>
  <c r="AW87" i="42"/>
  <c r="AU87" i="42" s="1"/>
  <c r="AW98" i="42"/>
  <c r="BG98" i="42" s="1"/>
  <c r="AW71" i="42"/>
  <c r="BK71" i="42" s="1"/>
  <c r="AW47" i="42"/>
  <c r="AU47" i="42" s="1"/>
  <c r="AW85" i="42"/>
  <c r="AU85" i="42" s="1"/>
  <c r="AW60" i="42"/>
  <c r="AU60" i="42" s="1"/>
  <c r="AW32" i="42"/>
  <c r="AU32" i="42" s="1"/>
  <c r="AW52" i="42"/>
  <c r="AU52" i="42" s="1"/>
  <c r="AW65" i="42"/>
  <c r="AU65" i="42" s="1"/>
  <c r="AW33" i="42"/>
  <c r="AU33" i="42" s="1"/>
  <c r="AW66" i="42"/>
  <c r="AU66" i="42" s="1"/>
  <c r="AW58" i="42"/>
  <c r="BE58" i="42" s="1"/>
  <c r="AW50" i="42"/>
  <c r="AU50" i="42" s="1"/>
  <c r="AW42" i="42"/>
  <c r="AU42" i="42" s="1"/>
  <c r="AW88" i="42"/>
  <c r="AU88" i="42" s="1"/>
  <c r="AW101" i="42"/>
  <c r="AU101" i="42" s="1"/>
  <c r="AW72" i="42"/>
  <c r="AU72" i="42" s="1"/>
  <c r="AW64" i="42"/>
  <c r="BK64" i="42" s="1"/>
  <c r="AW57" i="42"/>
  <c r="AU57" i="42" s="1"/>
  <c r="AW49" i="42"/>
  <c r="AU49" i="42" s="1"/>
  <c r="AW45" i="42"/>
  <c r="AU45" i="42" s="1"/>
  <c r="AW41" i="42"/>
  <c r="AU41" i="42" s="1"/>
  <c r="AW105" i="42"/>
  <c r="BG105" i="42" s="1"/>
  <c r="AW74" i="42"/>
  <c r="AU74" i="42" s="1"/>
  <c r="AW70" i="42"/>
  <c r="AU70" i="42" s="1"/>
  <c r="AW62" i="42"/>
  <c r="AU62" i="42" s="1"/>
  <c r="AW54" i="42"/>
  <c r="AU54" i="42" s="1"/>
  <c r="AW92" i="42"/>
  <c r="BG92" i="42" s="1"/>
  <c r="AW91" i="42"/>
  <c r="AU91" i="42" s="1"/>
  <c r="AW99" i="42"/>
  <c r="AU99" i="42" s="1"/>
  <c r="AW90" i="42"/>
  <c r="AU90" i="42" s="1"/>
  <c r="AW59" i="42"/>
  <c r="BC59" i="42" s="1"/>
  <c r="AW68" i="42"/>
  <c r="AU68" i="42" s="1"/>
  <c r="BN8" i="42"/>
  <c r="AW89" i="42"/>
  <c r="AU89" i="42" s="1"/>
  <c r="AW96" i="42"/>
  <c r="BC96" i="42" s="1"/>
  <c r="AW67" i="42"/>
  <c r="AU67" i="42" s="1"/>
  <c r="AW93" i="42"/>
  <c r="BG93" i="42" s="1"/>
  <c r="AW36" i="42"/>
  <c r="BA36" i="42" s="1"/>
  <c r="AL71" i="23"/>
  <c r="AE71" i="23" s="1"/>
  <c r="AI76" i="23" s="1"/>
  <c r="AW102" i="42"/>
  <c r="AU102" i="42" s="1"/>
  <c r="AW94" i="42"/>
  <c r="AU94" i="42" s="1"/>
  <c r="AW53" i="42"/>
  <c r="BC53" i="42" s="1"/>
  <c r="AW37" i="42"/>
  <c r="AU37" i="42" s="1"/>
  <c r="AW97" i="42"/>
  <c r="AU97" i="42" s="1"/>
  <c r="AW35" i="42"/>
  <c r="AU35" i="42" s="1"/>
  <c r="AW84" i="42"/>
  <c r="AU84" i="42" s="1"/>
  <c r="AW104" i="42"/>
  <c r="AU104" i="42" s="1"/>
  <c r="AW83" i="42"/>
  <c r="BK83" i="42" s="1"/>
  <c r="AW82" i="42"/>
  <c r="BE82" i="42" s="1"/>
  <c r="AW63" i="42"/>
  <c r="AU63" i="42" s="1"/>
  <c r="AW51" i="42"/>
  <c r="AU51" i="42" s="1"/>
  <c r="AW43" i="42"/>
  <c r="AU43" i="42" s="1"/>
  <c r="AW44" i="42"/>
  <c r="BI44" i="42" s="1"/>
  <c r="AW77" i="42"/>
  <c r="AU77" i="42" s="1"/>
  <c r="AW40" i="42"/>
  <c r="BE40" i="42" s="1"/>
  <c r="AW56" i="42"/>
  <c r="U141" i="39"/>
  <c r="D14" i="39" s="1"/>
  <c r="AI22" i="23"/>
  <c r="X206" i="23"/>
  <c r="B8" i="42"/>
  <c r="B16" i="42" s="1"/>
  <c r="D25" i="38"/>
  <c r="L194" i="23"/>
  <c r="AL74" i="23"/>
  <c r="AI21" i="23"/>
  <c r="V139" i="39"/>
  <c r="AL72" i="23"/>
  <c r="AI30" i="23"/>
  <c r="AI29" i="23"/>
  <c r="B29" i="23" s="1"/>
  <c r="AL73" i="23"/>
  <c r="AI20" i="23"/>
  <c r="B20" i="23" s="1"/>
  <c r="AI23" i="23"/>
  <c r="AI31" i="23"/>
  <c r="AI54" i="42"/>
  <c r="AJ54" i="42" s="1"/>
  <c r="AI57" i="42"/>
  <c r="L57" i="42" s="1"/>
  <c r="AI65" i="42"/>
  <c r="M65" i="42" s="1"/>
  <c r="AI70" i="42"/>
  <c r="M70" i="42" s="1"/>
  <c r="AG70" i="42" s="1"/>
  <c r="AI55" i="42"/>
  <c r="M55" i="42" s="1"/>
  <c r="AI56" i="42"/>
  <c r="M56" i="42" s="1"/>
  <c r="AI58" i="42"/>
  <c r="L58" i="42" s="1"/>
  <c r="AI61" i="42"/>
  <c r="M61" i="42" s="1"/>
  <c r="AI62" i="42"/>
  <c r="AJ62" i="42" s="1"/>
  <c r="AI63" i="42"/>
  <c r="AJ63" i="42" s="1"/>
  <c r="AI68" i="42"/>
  <c r="M68" i="42" s="1"/>
  <c r="AI60" i="42"/>
  <c r="AJ60" i="42" s="1"/>
  <c r="AI66" i="42"/>
  <c r="L66" i="42" s="1"/>
  <c r="AI69" i="42"/>
  <c r="M69" i="42" s="1"/>
  <c r="AI72" i="42"/>
  <c r="M72" i="42" s="1"/>
  <c r="AI52" i="42"/>
  <c r="M52" i="42" s="1"/>
  <c r="AI53" i="42"/>
  <c r="AJ53" i="42" s="1"/>
  <c r="AI59" i="42"/>
  <c r="M59" i="42" s="1"/>
  <c r="AI64" i="42"/>
  <c r="M64" i="42" s="1"/>
  <c r="AI71" i="42"/>
  <c r="L71" i="42" s="1"/>
  <c r="M16" i="42"/>
  <c r="U142" i="39"/>
  <c r="D15" i="39" s="1"/>
  <c r="C12" i="40"/>
  <c r="C41" i="40"/>
  <c r="C94" i="40"/>
  <c r="C58" i="40"/>
  <c r="C43" i="40"/>
  <c r="C87" i="40"/>
  <c r="C37" i="40"/>
  <c r="C72" i="40"/>
  <c r="C104" i="40"/>
  <c r="C91" i="40"/>
  <c r="C71" i="40"/>
  <c r="C51" i="40"/>
  <c r="C106" i="40"/>
  <c r="C66" i="40"/>
  <c r="C15" i="40"/>
  <c r="C102" i="40"/>
  <c r="C62" i="40"/>
  <c r="C27" i="40"/>
  <c r="C89" i="40"/>
  <c r="C40" i="40"/>
  <c r="C73" i="40"/>
  <c r="C17" i="40"/>
  <c r="C25" i="40"/>
  <c r="C33" i="40"/>
  <c r="C77" i="40"/>
  <c r="C20" i="40"/>
  <c r="C44" i="40"/>
  <c r="C93" i="40"/>
  <c r="C101" i="40"/>
  <c r="C61" i="40"/>
  <c r="C24" i="40"/>
  <c r="C103" i="40"/>
  <c r="C83" i="40"/>
  <c r="C59" i="40"/>
  <c r="C39" i="40"/>
  <c r="C90" i="40"/>
  <c r="C42" i="40"/>
  <c r="C86" i="40"/>
  <c r="C38" i="40"/>
  <c r="C56" i="40"/>
  <c r="C68" i="40"/>
  <c r="C28" i="40"/>
  <c r="C13" i="40"/>
  <c r="C80" i="40"/>
  <c r="V138" i="39"/>
  <c r="U138" i="39"/>
  <c r="D11" i="39" s="1"/>
  <c r="C60" i="40"/>
  <c r="C10" i="40"/>
  <c r="C32" i="40"/>
  <c r="C57" i="40"/>
  <c r="C30" i="40"/>
  <c r="C23" i="40"/>
  <c r="C74" i="40"/>
  <c r="C55" i="40"/>
  <c r="C99" i="40"/>
  <c r="C84" i="40"/>
  <c r="C8" i="40"/>
  <c r="C65" i="40"/>
  <c r="C16" i="40"/>
  <c r="C18" i="40"/>
  <c r="C64" i="40"/>
  <c r="C54" i="40"/>
  <c r="C98" i="40"/>
  <c r="C67" i="40"/>
  <c r="C21" i="40"/>
  <c r="C52" i="40"/>
  <c r="C29" i="40"/>
  <c r="C45" i="40"/>
  <c r="C22" i="40"/>
  <c r="C97" i="40"/>
  <c r="C92" i="40"/>
  <c r="C26" i="40"/>
  <c r="C88" i="40"/>
  <c r="C105" i="40"/>
  <c r="C36" i="40"/>
  <c r="C14" i="40"/>
  <c r="C9" i="40"/>
  <c r="C11" i="40"/>
  <c r="C46" i="40"/>
  <c r="C78" i="40"/>
  <c r="C19" i="40"/>
  <c r="C7" i="40"/>
  <c r="C50" i="40"/>
  <c r="C82" i="40"/>
  <c r="C31" i="40"/>
  <c r="C47" i="40"/>
  <c r="C63" i="40"/>
  <c r="C79" i="40"/>
  <c r="C95" i="40"/>
  <c r="C49" i="40"/>
  <c r="C81" i="40"/>
  <c r="C48" i="40"/>
  <c r="C76" i="40"/>
  <c r="C69" i="40"/>
  <c r="C53" i="40"/>
  <c r="AX8" i="42"/>
  <c r="O75" i="38"/>
  <c r="W42" i="42"/>
  <c r="D42" i="42" s="1"/>
  <c r="W43" i="42"/>
  <c r="G26" i="38"/>
  <c r="AT196" i="23"/>
  <c r="AT197" i="23" s="1"/>
  <c r="AP193" i="23"/>
  <c r="F32" i="42"/>
  <c r="AA51" i="23"/>
  <c r="AI51" i="23" s="1"/>
  <c r="K34" i="38"/>
  <c r="D75" i="38"/>
  <c r="AI67" i="42"/>
  <c r="M67" i="42" s="1"/>
  <c r="AO1" i="40"/>
  <c r="AE26" i="39"/>
  <c r="K4" i="36"/>
  <c r="O4" i="27"/>
  <c r="V143" i="39"/>
  <c r="V140" i="39"/>
  <c r="X203" i="23"/>
  <c r="T194" i="23"/>
  <c r="J206" i="23"/>
  <c r="N203" i="23"/>
  <c r="H200" i="23"/>
  <c r="N194" i="23"/>
  <c r="U143" i="39"/>
  <c r="D16" i="39" s="1"/>
  <c r="U140" i="39"/>
  <c r="D13" i="39" s="1"/>
  <c r="U139" i="39"/>
  <c r="D12" i="39" s="1"/>
  <c r="AI33" i="23"/>
  <c r="B35" i="23"/>
  <c r="AI24" i="23"/>
  <c r="AI25" i="23"/>
  <c r="AI28" i="23"/>
  <c r="AL75" i="23"/>
  <c r="V142" i="39"/>
  <c r="V141" i="39"/>
  <c r="BK58" i="42"/>
  <c r="C35" i="40" l="1"/>
  <c r="C100" i="40"/>
  <c r="C75" i="40"/>
  <c r="AE76" i="23"/>
  <c r="U28" i="29"/>
  <c r="U67" i="29"/>
  <c r="U123" i="29"/>
  <c r="U108" i="29"/>
  <c r="U42" i="29"/>
  <c r="U73" i="29"/>
  <c r="U132" i="29"/>
  <c r="U55" i="29"/>
  <c r="U98" i="29"/>
  <c r="U92" i="29"/>
  <c r="U144" i="29"/>
  <c r="R35" i="42"/>
  <c r="Q35" i="42" s="1"/>
  <c r="R197" i="23"/>
  <c r="V197" i="23"/>
  <c r="AY84" i="42"/>
  <c r="BC89" i="42"/>
  <c r="BC84" i="42"/>
  <c r="AL199" i="23"/>
  <c r="V194" i="23"/>
  <c r="AB206" i="23"/>
  <c r="T206" i="23"/>
  <c r="N197" i="23"/>
  <c r="H194" i="23"/>
  <c r="P206" i="23"/>
  <c r="AD206" i="23" s="1"/>
  <c r="R206" i="23"/>
  <c r="R194" i="23"/>
  <c r="Z197" i="23"/>
  <c r="J194" i="23"/>
  <c r="H203" i="23"/>
  <c r="AZ205" i="23"/>
  <c r="AT193" i="23"/>
  <c r="AP196" i="23"/>
  <c r="V206" i="23"/>
  <c r="F194" i="23"/>
  <c r="AY91" i="42"/>
  <c r="L197" i="23"/>
  <c r="J197" i="23"/>
  <c r="AB197" i="23"/>
  <c r="BF199" i="23"/>
  <c r="AZ193" i="23"/>
  <c r="AX196" i="23"/>
  <c r="BK66" i="42"/>
  <c r="Z203" i="23"/>
  <c r="V203" i="23"/>
  <c r="BH199" i="23"/>
  <c r="BH200" i="23" s="1"/>
  <c r="AX202" i="23"/>
  <c r="AX203" i="23" s="1"/>
  <c r="AV199" i="23"/>
  <c r="N200" i="23"/>
  <c r="AB194" i="23"/>
  <c r="F197" i="23" s="1"/>
  <c r="P197" i="23"/>
  <c r="BA91" i="42"/>
  <c r="BA72" i="42"/>
  <c r="H206" i="23"/>
  <c r="X194" i="23"/>
  <c r="N206" i="23"/>
  <c r="R200" i="23"/>
  <c r="Z200" i="23"/>
  <c r="BD205" i="23"/>
  <c r="BD206" i="23" s="1"/>
  <c r="BF196" i="23"/>
  <c r="BF197" i="23" s="1"/>
  <c r="L203" i="23"/>
  <c r="J203" i="23"/>
  <c r="T200" i="23"/>
  <c r="X197" i="23"/>
  <c r="H197" i="23"/>
  <c r="AX205" i="23"/>
  <c r="AX206" i="23" s="1"/>
  <c r="AR202" i="23"/>
  <c r="AR203" i="23" s="1"/>
  <c r="L200" i="23"/>
  <c r="BD196" i="23"/>
  <c r="BD197" i="23" s="1"/>
  <c r="P194" i="23"/>
  <c r="BF202" i="23"/>
  <c r="BF203" i="23" s="1"/>
  <c r="AR193" i="23"/>
  <c r="AR194" i="23" s="1"/>
  <c r="AN199" i="23"/>
  <c r="AN200" i="23" s="1"/>
  <c r="L206" i="23"/>
  <c r="Z206" i="23"/>
  <c r="AB200" i="23"/>
  <c r="F203" i="23" s="1"/>
  <c r="P200" i="23"/>
  <c r="AV200" i="23" s="1"/>
  <c r="AA154" i="23"/>
  <c r="R203" i="23"/>
  <c r="BB196" i="23"/>
  <c r="BB197" i="23" s="1"/>
  <c r="W142" i="39"/>
  <c r="E15" i="39" s="1"/>
  <c r="AY95" i="42"/>
  <c r="BI105" i="42"/>
  <c r="BK105" i="42"/>
  <c r="W138" i="39"/>
  <c r="E11" i="39" s="1"/>
  <c r="W143" i="39"/>
  <c r="E16" i="39" s="1"/>
  <c r="W141" i="39"/>
  <c r="E14" i="39" s="1"/>
  <c r="BA75" i="42"/>
  <c r="BE34" i="42"/>
  <c r="W140" i="39"/>
  <c r="W139" i="39"/>
  <c r="E12" i="39" s="1"/>
  <c r="BG34" i="42"/>
  <c r="AY105" i="42"/>
  <c r="AP199" i="23"/>
  <c r="AP200" i="23" s="1"/>
  <c r="AZ202" i="23"/>
  <c r="AZ203" i="23" s="1"/>
  <c r="BB199" i="23"/>
  <c r="BF193" i="23"/>
  <c r="BF194" i="23" s="1"/>
  <c r="AT202" i="23"/>
  <c r="AT203" i="23" s="1"/>
  <c r="BB200" i="23"/>
  <c r="AR196" i="23"/>
  <c r="AR197" i="23" s="1"/>
  <c r="BB202" i="23"/>
  <c r="BB203" i="23" s="1"/>
  <c r="BD193" i="23"/>
  <c r="BD194" i="23" s="1"/>
  <c r="AR199" i="23"/>
  <c r="AR200" i="23" s="1"/>
  <c r="AT205" i="23"/>
  <c r="AT206" i="23" s="1"/>
  <c r="AV205" i="23"/>
  <c r="AV206" i="23" s="1"/>
  <c r="AV196" i="23"/>
  <c r="AV197" i="23" s="1"/>
  <c r="BB205" i="23"/>
  <c r="BB206" i="23" s="1"/>
  <c r="BG107" i="42"/>
  <c r="BC91" i="42"/>
  <c r="BE91" i="42"/>
  <c r="BK91" i="42"/>
  <c r="BK95" i="42"/>
  <c r="BE30" i="42"/>
  <c r="BC58" i="42"/>
  <c r="M39" i="39"/>
  <c r="M40" i="39" s="1"/>
  <c r="BG73" i="42"/>
  <c r="AV202" i="23"/>
  <c r="AP205" i="23"/>
  <c r="AP206" i="23" s="1"/>
  <c r="BH196" i="23"/>
  <c r="AZ196" i="23"/>
  <c r="AZ197" i="23" s="1"/>
  <c r="AL2" i="42"/>
  <c r="L21" i="42" s="1"/>
  <c r="BI30" i="42"/>
  <c r="AP202" i="23"/>
  <c r="AP203" i="23" s="1"/>
  <c r="BD199" i="23"/>
  <c r="BD200" i="23" s="1"/>
  <c r="AT199" i="23"/>
  <c r="AT200" i="23" s="1"/>
  <c r="AL196" i="23"/>
  <c r="BH193" i="23"/>
  <c r="BH194" i="23" s="1"/>
  <c r="Y8" i="29"/>
  <c r="Y21" i="29"/>
  <c r="U6" i="29"/>
  <c r="B28" i="23"/>
  <c r="BI107" i="42"/>
  <c r="BC107" i="42"/>
  <c r="AY107" i="42"/>
  <c r="BA33" i="42"/>
  <c r="BE101" i="42"/>
  <c r="BA57" i="42"/>
  <c r="BG95" i="42"/>
  <c r="BE33" i="42"/>
  <c r="BA73" i="42"/>
  <c r="BE107" i="42"/>
  <c r="BK87" i="42"/>
  <c r="U143" i="29"/>
  <c r="U147" i="29"/>
  <c r="U126" i="29"/>
  <c r="U111" i="29"/>
  <c r="U138" i="29"/>
  <c r="U146" i="29"/>
  <c r="U135" i="29"/>
  <c r="U142" i="29"/>
  <c r="U140" i="29"/>
  <c r="BG58" i="42"/>
  <c r="BK30" i="42"/>
  <c r="BA87" i="42"/>
  <c r="BI95" i="42"/>
  <c r="BI58" i="42"/>
  <c r="BC30" i="42"/>
  <c r="BG99" i="42"/>
  <c r="AY30" i="42"/>
  <c r="AI89" i="23"/>
  <c r="BD202" i="23"/>
  <c r="BD203" i="23" s="1"/>
  <c r="BB193" i="23"/>
  <c r="BB194" i="23" s="1"/>
  <c r="BH205" i="23"/>
  <c r="BH206" i="23" s="1"/>
  <c r="L103" i="42"/>
  <c r="AL202" i="23"/>
  <c r="AL203" i="23" s="1"/>
  <c r="AL205" i="23"/>
  <c r="BC80" i="42"/>
  <c r="AR205" i="23"/>
  <c r="AR206" i="23" s="1"/>
  <c r="AX193" i="23"/>
  <c r="AX194" i="23" s="1"/>
  <c r="AJ25" i="23"/>
  <c r="B25" i="23" s="1"/>
  <c r="G18" i="44" s="1"/>
  <c r="H18" i="44" s="1"/>
  <c r="I18" i="44" s="1"/>
  <c r="BH202" i="23"/>
  <c r="BH203" i="23" s="1"/>
  <c r="AZ199" i="23"/>
  <c r="AZ200" i="23" s="1"/>
  <c r="BF205" i="23"/>
  <c r="BF206" i="23" s="1"/>
  <c r="AN202" i="23"/>
  <c r="AN203" i="23" s="1"/>
  <c r="AV193" i="23"/>
  <c r="AV194" i="23" s="1"/>
  <c r="AN196" i="23"/>
  <c r="AN197" i="23" s="1"/>
  <c r="AX199" i="23"/>
  <c r="AX200" i="23" s="1"/>
  <c r="AN205" i="23"/>
  <c r="AN206" i="23" s="1"/>
  <c r="BA99" i="42"/>
  <c r="BI84" i="42"/>
  <c r="BA107" i="42"/>
  <c r="BG51" i="42"/>
  <c r="BK94" i="42"/>
  <c r="BA30" i="42"/>
  <c r="BE60" i="42"/>
  <c r="BA74" i="42"/>
  <c r="BA80" i="42"/>
  <c r="BF200" i="23"/>
  <c r="P203" i="23"/>
  <c r="AV203" i="23" s="1"/>
  <c r="U110" i="29"/>
  <c r="Y17" i="29"/>
  <c r="Y9" i="29"/>
  <c r="Y60" i="29"/>
  <c r="Y55" i="29"/>
  <c r="Y38" i="29"/>
  <c r="U125" i="29"/>
  <c r="Y34" i="29"/>
  <c r="Y61" i="29"/>
  <c r="Y36" i="29"/>
  <c r="Y42" i="29"/>
  <c r="Y49" i="29"/>
  <c r="Y39" i="29"/>
  <c r="U145" i="29"/>
  <c r="U9" i="29"/>
  <c r="Y12" i="29"/>
  <c r="Y11" i="29"/>
  <c r="U95" i="29"/>
  <c r="Y22" i="29"/>
  <c r="Y25" i="29"/>
  <c r="Y30" i="29"/>
  <c r="Y16" i="29"/>
  <c r="Y62" i="29"/>
  <c r="Y41" i="29"/>
  <c r="Y43" i="29"/>
  <c r="Y52" i="29"/>
  <c r="Y57" i="29"/>
  <c r="Y54" i="29"/>
  <c r="U70" i="29"/>
  <c r="Y15" i="29"/>
  <c r="U30" i="29"/>
  <c r="Z3" i="29" s="1"/>
  <c r="Y20" i="29"/>
  <c r="Y64" i="29"/>
  <c r="U141" i="29"/>
  <c r="U76" i="29"/>
  <c r="Y40" i="29"/>
  <c r="Y63" i="29"/>
  <c r="Y48" i="29"/>
  <c r="U139" i="29"/>
  <c r="Y32" i="29"/>
  <c r="Y28" i="29"/>
  <c r="U58" i="29"/>
  <c r="Y23" i="29"/>
  <c r="Y18" i="29"/>
  <c r="U136" i="29"/>
  <c r="Y53" i="29"/>
  <c r="Y47" i="29"/>
  <c r="Y58" i="29"/>
  <c r="Y46" i="29"/>
  <c r="Y59" i="29"/>
  <c r="Y35" i="29"/>
  <c r="U134" i="29"/>
  <c r="U101" i="29"/>
  <c r="Y14" i="29"/>
  <c r="Y10" i="29"/>
  <c r="Y19" i="29"/>
  <c r="Y44" i="29"/>
  <c r="Y31" i="29"/>
  <c r="Y50" i="29"/>
  <c r="Y56" i="29"/>
  <c r="Y45" i="29"/>
  <c r="Y51" i="29"/>
  <c r="Y33" i="29"/>
  <c r="Y37" i="29"/>
  <c r="U137" i="29"/>
  <c r="U45" i="29"/>
  <c r="Y29" i="29"/>
  <c r="Y24" i="29"/>
  <c r="Y27" i="29"/>
  <c r="Y13" i="29"/>
  <c r="Y26" i="29"/>
  <c r="L104" i="42"/>
  <c r="R31" i="42"/>
  <c r="Q31" i="42" s="1"/>
  <c r="R30" i="42"/>
  <c r="Q30" i="42" s="1"/>
  <c r="D104" i="42" s="1"/>
  <c r="R29" i="42"/>
  <c r="Q29" i="42" s="1"/>
  <c r="F29" i="42" s="1"/>
  <c r="BA71" i="42"/>
  <c r="BA48" i="42"/>
  <c r="BE31" i="42"/>
  <c r="BK52" i="42"/>
  <c r="BG42" i="42"/>
  <c r="BE42" i="42"/>
  <c r="BK93" i="42"/>
  <c r="BC95" i="42"/>
  <c r="N16" i="42"/>
  <c r="BK32" i="42"/>
  <c r="BA96" i="42"/>
  <c r="BC105" i="42"/>
  <c r="BK61" i="42"/>
  <c r="BE98" i="42"/>
  <c r="BA85" i="42"/>
  <c r="BC87" i="42"/>
  <c r="BC73" i="42"/>
  <c r="BA58" i="42"/>
  <c r="BK38" i="42"/>
  <c r="BI45" i="42"/>
  <c r="AY100" i="42"/>
  <c r="AY36" i="42"/>
  <c r="BA81" i="42"/>
  <c r="BE76" i="42"/>
  <c r="BK80" i="42"/>
  <c r="BG80" i="42"/>
  <c r="AY87" i="42"/>
  <c r="BK73" i="42"/>
  <c r="BC45" i="42"/>
  <c r="BE86" i="42"/>
  <c r="AY37" i="42"/>
  <c r="BC52" i="42"/>
  <c r="BA45" i="42"/>
  <c r="BI100" i="42"/>
  <c r="BE38" i="42"/>
  <c r="BK45" i="42"/>
  <c r="BC100" i="42"/>
  <c r="BC36" i="42"/>
  <c r="AY49" i="42"/>
  <c r="BC38" i="42"/>
  <c r="BC47" i="42"/>
  <c r="AY93" i="42"/>
  <c r="AY68" i="42"/>
  <c r="BE100" i="42"/>
  <c r="BE93" i="42"/>
  <c r="BI36" i="42"/>
  <c r="AY76" i="42"/>
  <c r="BG68" i="42"/>
  <c r="BI69" i="42"/>
  <c r="BG45" i="42"/>
  <c r="BG38" i="42"/>
  <c r="BG96" i="42"/>
  <c r="BA82" i="42"/>
  <c r="BA68" i="42"/>
  <c r="BG36" i="42"/>
  <c r="BK100" i="42"/>
  <c r="BG82" i="42"/>
  <c r="AY38" i="42"/>
  <c r="BK82" i="42"/>
  <c r="BI76" i="42"/>
  <c r="BA40" i="42"/>
  <c r="BC68" i="42"/>
  <c r="BK36" i="42"/>
  <c r="BI82" i="42"/>
  <c r="BK97" i="42"/>
  <c r="AY45" i="42"/>
  <c r="BA100" i="42"/>
  <c r="BG47" i="42"/>
  <c r="AY82" i="42"/>
  <c r="BK68" i="42"/>
  <c r="AY70" i="42"/>
  <c r="BG90" i="42"/>
  <c r="BG48" i="42"/>
  <c r="BE32" i="42"/>
  <c r="BA84" i="42"/>
  <c r="AY42" i="42"/>
  <c r="BG103" i="42"/>
  <c r="AY31" i="42"/>
  <c r="BG30" i="42"/>
  <c r="BK81" i="42"/>
  <c r="BK96" i="42"/>
  <c r="BC98" i="42"/>
  <c r="BA105" i="42"/>
  <c r="BI48" i="42"/>
  <c r="BI91" i="42"/>
  <c r="BI87" i="42"/>
  <c r="BA95" i="42"/>
  <c r="AY98" i="42"/>
  <c r="BK98" i="42"/>
  <c r="BE84" i="42"/>
  <c r="BI42" i="42"/>
  <c r="BE37" i="42"/>
  <c r="BI62" i="42"/>
  <c r="BK84" i="42"/>
  <c r="BG64" i="42"/>
  <c r="BG91" i="42"/>
  <c r="BA42" i="42"/>
  <c r="AY80" i="42"/>
  <c r="BA77" i="42"/>
  <c r="BE73" i="42"/>
  <c r="BE43" i="42"/>
  <c r="BI98" i="42"/>
  <c r="BI32" i="42"/>
  <c r="BC48" i="42"/>
  <c r="BA31" i="42"/>
  <c r="AY50" i="42"/>
  <c r="BE53" i="42"/>
  <c r="BK46" i="42"/>
  <c r="AY57" i="42"/>
  <c r="AY32" i="42"/>
  <c r="BC44" i="42"/>
  <c r="BA53" i="42"/>
  <c r="BK48" i="42"/>
  <c r="BG46" i="42"/>
  <c r="BC57" i="42"/>
  <c r="BI61" i="42"/>
  <c r="BG57" i="42"/>
  <c r="BK53" i="42"/>
  <c r="BK31" i="42"/>
  <c r="BA61" i="42"/>
  <c r="BG32" i="42"/>
  <c r="BI90" i="42"/>
  <c r="BE61" i="42"/>
  <c r="BI31" i="42"/>
  <c r="BE48" i="42"/>
  <c r="BA32" i="42"/>
  <c r="BG31" i="42"/>
  <c r="BC61" i="42"/>
  <c r="AY53" i="42"/>
  <c r="BA50" i="42"/>
  <c r="BC93" i="42"/>
  <c r="BC33" i="42"/>
  <c r="BK90" i="42"/>
  <c r="BE44" i="42"/>
  <c r="BK35" i="42"/>
  <c r="BC42" i="42"/>
  <c r="BE46" i="42"/>
  <c r="BE57" i="42"/>
  <c r="BG87" i="42"/>
  <c r="BK70" i="42"/>
  <c r="AY66" i="42"/>
  <c r="AY61" i="42"/>
  <c r="BK43" i="42"/>
  <c r="BI80" i="42"/>
  <c r="BG70" i="42"/>
  <c r="AY101" i="42"/>
  <c r="BA41" i="42"/>
  <c r="AY35" i="42"/>
  <c r="BK92" i="42"/>
  <c r="BE35" i="42"/>
  <c r="BC104" i="42"/>
  <c r="BI57" i="42"/>
  <c r="BC101" i="42"/>
  <c r="BI41" i="42"/>
  <c r="AY41" i="42"/>
  <c r="AY85" i="42"/>
  <c r="BC92" i="42"/>
  <c r="BC41" i="42"/>
  <c r="BK85" i="42"/>
  <c r="BE85" i="42"/>
  <c r="BE92" i="42"/>
  <c r="BE97" i="42"/>
  <c r="BG41" i="42"/>
  <c r="BC83" i="42"/>
  <c r="BC85" i="42"/>
  <c r="BG33" i="42"/>
  <c r="BK101" i="42"/>
  <c r="BA101" i="42"/>
  <c r="AY33" i="42"/>
  <c r="BE41" i="42"/>
  <c r="BE83" i="42"/>
  <c r="AY92" i="42"/>
  <c r="BE75" i="42"/>
  <c r="BK33" i="42"/>
  <c r="BI101" i="42"/>
  <c r="BG85" i="42"/>
  <c r="BK41" i="42"/>
  <c r="BI85" i="42"/>
  <c r="BI92" i="42"/>
  <c r="BI75" i="42"/>
  <c r="BI65" i="42"/>
  <c r="BE95" i="42"/>
  <c r="AY48" i="42"/>
  <c r="AY46" i="42"/>
  <c r="BC75" i="42"/>
  <c r="BI94" i="42"/>
  <c r="BA47" i="42"/>
  <c r="AY34" i="42"/>
  <c r="BG62" i="42"/>
  <c r="BE94" i="42"/>
  <c r="AY47" i="42"/>
  <c r="BC34" i="42"/>
  <c r="BI33" i="42"/>
  <c r="BC63" i="42"/>
  <c r="BC31" i="42"/>
  <c r="BE45" i="42"/>
  <c r="BG61" i="42"/>
  <c r="BE88" i="42"/>
  <c r="BI68" i="42"/>
  <c r="BC94" i="42"/>
  <c r="BC67" i="42"/>
  <c r="BE47" i="42"/>
  <c r="BK34" i="42"/>
  <c r="BI63" i="42"/>
  <c r="AY65" i="42"/>
  <c r="BI47" i="42"/>
  <c r="BK59" i="42"/>
  <c r="BC88" i="42"/>
  <c r="AY94" i="42"/>
  <c r="AY75" i="42"/>
  <c r="BC65" i="42"/>
  <c r="BA94" i="42"/>
  <c r="BK47" i="42"/>
  <c r="BG75" i="42"/>
  <c r="BC62" i="42"/>
  <c r="BG63" i="42"/>
  <c r="R37" i="42"/>
  <c r="F37" i="42" s="1"/>
  <c r="H98" i="42"/>
  <c r="F95" i="42"/>
  <c r="F98" i="42"/>
  <c r="F97" i="42"/>
  <c r="J98" i="42"/>
  <c r="F96" i="42"/>
  <c r="W37" i="42"/>
  <c r="D37" i="42" s="1"/>
  <c r="N37" i="42"/>
  <c r="D92" i="42" s="1"/>
  <c r="D107" i="42"/>
  <c r="F93" i="42"/>
  <c r="F92" i="42"/>
  <c r="J92" i="42"/>
  <c r="J93" i="42"/>
  <c r="J95" i="42"/>
  <c r="J96" i="42"/>
  <c r="BE49" i="42"/>
  <c r="BG72" i="42"/>
  <c r="BC37" i="42"/>
  <c r="BK103" i="42"/>
  <c r="BA65" i="42"/>
  <c r="BI81" i="42"/>
  <c r="BI67" i="42"/>
  <c r="BG83" i="42"/>
  <c r="AY83" i="42"/>
  <c r="BE78" i="42"/>
  <c r="BI50" i="42"/>
  <c r="BE71" i="42"/>
  <c r="BE103" i="42"/>
  <c r="BG79" i="42"/>
  <c r="BG74" i="42"/>
  <c r="BE74" i="42"/>
  <c r="BG49" i="42"/>
  <c r="BC81" i="42"/>
  <c r="BG65" i="42"/>
  <c r="BI60" i="42"/>
  <c r="AY60" i="42"/>
  <c r="BE72" i="42"/>
  <c r="BA90" i="42"/>
  <c r="BC50" i="42"/>
  <c r="BA37" i="42"/>
  <c r="BG78" i="42"/>
  <c r="BC49" i="42"/>
  <c r="BI72" i="42"/>
  <c r="BC103" i="42"/>
  <c r="BE81" i="42"/>
  <c r="BK67" i="42"/>
  <c r="BG55" i="42"/>
  <c r="BI83" i="42"/>
  <c r="AY51" i="42"/>
  <c r="BC78" i="42"/>
  <c r="BG39" i="42"/>
  <c r="AY103" i="42"/>
  <c r="BI37" i="42"/>
  <c r="BI74" i="42"/>
  <c r="BE102" i="42"/>
  <c r="BI49" i="42"/>
  <c r="BA79" i="42"/>
  <c r="AY74" i="42"/>
  <c r="BI78" i="42"/>
  <c r="BC90" i="42"/>
  <c r="BE50" i="42"/>
  <c r="BG50" i="42"/>
  <c r="BG37" i="42"/>
  <c r="BE65" i="42"/>
  <c r="BK65" i="42"/>
  <c r="BK72" i="42"/>
  <c r="BG81" i="42"/>
  <c r="BK55" i="42"/>
  <c r="BK51" i="42"/>
  <c r="AY90" i="42"/>
  <c r="BK37" i="42"/>
  <c r="BC74" i="42"/>
  <c r="BA78" i="42"/>
  <c r="AY72" i="42"/>
  <c r="BK78" i="42"/>
  <c r="BE90" i="42"/>
  <c r="BK50" i="42"/>
  <c r="BK60" i="42"/>
  <c r="BK49" i="42"/>
  <c r="BC72" i="42"/>
  <c r="BK42" i="42"/>
  <c r="AY81" i="42"/>
  <c r="AJ58" i="42"/>
  <c r="BG84" i="42"/>
  <c r="BG94" i="42"/>
  <c r="BE80" i="42"/>
  <c r="D29" i="42"/>
  <c r="L68" i="42"/>
  <c r="BI96" i="42"/>
  <c r="AI38" i="42"/>
  <c r="L38" i="42" s="1"/>
  <c r="BK74" i="42"/>
  <c r="BK75" i="42"/>
  <c r="BA67" i="42"/>
  <c r="BA51" i="42"/>
  <c r="BE51" i="42"/>
  <c r="D105" i="42"/>
  <c r="BG59" i="42"/>
  <c r="BK44" i="42"/>
  <c r="BC99" i="42"/>
  <c r="BK40" i="42"/>
  <c r="BK102" i="42"/>
  <c r="BC102" i="42"/>
  <c r="BC35" i="42"/>
  <c r="BG44" i="42"/>
  <c r="BI99" i="42"/>
  <c r="BC70" i="42"/>
  <c r="BC54" i="42"/>
  <c r="BE67" i="42"/>
  <c r="AY67" i="42"/>
  <c r="BC51" i="42"/>
  <c r="BI51" i="42"/>
  <c r="AZ206" i="23"/>
  <c r="AI42" i="42"/>
  <c r="L42" i="42" s="1"/>
  <c r="BE59" i="42"/>
  <c r="BE99" i="42"/>
  <c r="AY40" i="42"/>
  <c r="AY102" i="42"/>
  <c r="BA102" i="42"/>
  <c r="BA35" i="42"/>
  <c r="BG35" i="42"/>
  <c r="BI70" i="42"/>
  <c r="BA44" i="42"/>
  <c r="AY99" i="42"/>
  <c r="BI59" i="42"/>
  <c r="BG100" i="42"/>
  <c r="BA49" i="42"/>
  <c r="W41" i="42"/>
  <c r="W46" i="42"/>
  <c r="N38" i="42"/>
  <c r="W40" i="42"/>
  <c r="W44" i="42"/>
  <c r="W47" i="42"/>
  <c r="W45" i="42"/>
  <c r="W39" i="42"/>
  <c r="AP197" i="23"/>
  <c r="AP194" i="23"/>
  <c r="BG40" i="42"/>
  <c r="BI40" i="42"/>
  <c r="BI102" i="42"/>
  <c r="BI35" i="42"/>
  <c r="BE70" i="42"/>
  <c r="BK99" i="42"/>
  <c r="BA70" i="42"/>
  <c r="BC32" i="42"/>
  <c r="N48" i="42"/>
  <c r="O48" i="42"/>
  <c r="AJ69" i="42"/>
  <c r="L70" i="42"/>
  <c r="AU56" i="42"/>
  <c r="BC56" i="42"/>
  <c r="AU69" i="42"/>
  <c r="BC69" i="42"/>
  <c r="BE79" i="42"/>
  <c r="AU106" i="42"/>
  <c r="BC106" i="42"/>
  <c r="BI106" i="42"/>
  <c r="AY106" i="42"/>
  <c r="BE106" i="42"/>
  <c r="BA106" i="42"/>
  <c r="BG106" i="42"/>
  <c r="BG77" i="42"/>
  <c r="BK56" i="42"/>
  <c r="BA97" i="42"/>
  <c r="BG88" i="42"/>
  <c r="AY89" i="42"/>
  <c r="BK54" i="42"/>
  <c r="AY55" i="42"/>
  <c r="BA69" i="42"/>
  <c r="BA66" i="42"/>
  <c r="BE64" i="42"/>
  <c r="AY77" i="42"/>
  <c r="BE77" i="42"/>
  <c r="BE54" i="42"/>
  <c r="BK79" i="42"/>
  <c r="BE52" i="42"/>
  <c r="BI77" i="42"/>
  <c r="BA52" i="42"/>
  <c r="BG69" i="42"/>
  <c r="BG56" i="42"/>
  <c r="BC97" i="42"/>
  <c r="BE63" i="42"/>
  <c r="BG66" i="42"/>
  <c r="BA43" i="42"/>
  <c r="BI43" i="42"/>
  <c r="BI88" i="42"/>
  <c r="BE104" i="42"/>
  <c r="BK69" i="42"/>
  <c r="BE89" i="42"/>
  <c r="AU83" i="42"/>
  <c r="BA83" i="42"/>
  <c r="AU53" i="42"/>
  <c r="BI53" i="42"/>
  <c r="AU36" i="42"/>
  <c r="BE36" i="42"/>
  <c r="AU96" i="42"/>
  <c r="AY96" i="42"/>
  <c r="AU92" i="42"/>
  <c r="BA92" i="42"/>
  <c r="BI64" i="42"/>
  <c r="AU58" i="42"/>
  <c r="AY58" i="42"/>
  <c r="AU98" i="42"/>
  <c r="BA98" i="42"/>
  <c r="BG101" i="42"/>
  <c r="AU38" i="42"/>
  <c r="BA38" i="42"/>
  <c r="AU86" i="42"/>
  <c r="BA86" i="42"/>
  <c r="BI86" i="42"/>
  <c r="AY86" i="42"/>
  <c r="BK86" i="42"/>
  <c r="BC86" i="42"/>
  <c r="AU103" i="42"/>
  <c r="BI103" i="42"/>
  <c r="BE96" i="42"/>
  <c r="AU76" i="42"/>
  <c r="BC76" i="42"/>
  <c r="BA76" i="42"/>
  <c r="BK76" i="42"/>
  <c r="BG97" i="42"/>
  <c r="BG54" i="42"/>
  <c r="BE55" i="42"/>
  <c r="BC55" i="42"/>
  <c r="BA104" i="42"/>
  <c r="AY54" i="42"/>
  <c r="BI79" i="42"/>
  <c r="BK77" i="42"/>
  <c r="BG52" i="42"/>
  <c r="BC66" i="42"/>
  <c r="BE66" i="42"/>
  <c r="BC43" i="42"/>
  <c r="AY43" i="42"/>
  <c r="BI104" i="42"/>
  <c r="BK104" i="42"/>
  <c r="BA63" i="42"/>
  <c r="BI89" i="42"/>
  <c r="AU40" i="42"/>
  <c r="BC40" i="42"/>
  <c r="AU44" i="42"/>
  <c r="AY44" i="42"/>
  <c r="BG53" i="42"/>
  <c r="BK89" i="42"/>
  <c r="BE68" i="42"/>
  <c r="AU71" i="42"/>
  <c r="BG71" i="42"/>
  <c r="BC71" i="42"/>
  <c r="BI71" i="42"/>
  <c r="AY71" i="42"/>
  <c r="AU46" i="42"/>
  <c r="BC46" i="42"/>
  <c r="BA46" i="42"/>
  <c r="AU64" i="42"/>
  <c r="BA64" i="42"/>
  <c r="BA56" i="42"/>
  <c r="BA88" i="42"/>
  <c r="BA89" i="42"/>
  <c r="AY56" i="42"/>
  <c r="BI97" i="42"/>
  <c r="BK88" i="42"/>
  <c r="BG89" i="42"/>
  <c r="BA54" i="42"/>
  <c r="BA55" i="42"/>
  <c r="BI55" i="42"/>
  <c r="BG104" i="42"/>
  <c r="BC64" i="42"/>
  <c r="AY52" i="42"/>
  <c r="BI54" i="42"/>
  <c r="AY79" i="42"/>
  <c r="BC79" i="42"/>
  <c r="BC77" i="42"/>
  <c r="BI52" i="42"/>
  <c r="BK63" i="42"/>
  <c r="BI56" i="42"/>
  <c r="AY64" i="42"/>
  <c r="BI66" i="42"/>
  <c r="BG43" i="42"/>
  <c r="AY88" i="42"/>
  <c r="AY104" i="42"/>
  <c r="AY63" i="42"/>
  <c r="BE69" i="42"/>
  <c r="AU82" i="42"/>
  <c r="BC82" i="42"/>
  <c r="AU93" i="42"/>
  <c r="BI93" i="42"/>
  <c r="AY97" i="42"/>
  <c r="AU59" i="42"/>
  <c r="AY59" i="42"/>
  <c r="BA59" i="42"/>
  <c r="BA93" i="42"/>
  <c r="AU105" i="42"/>
  <c r="BE105" i="42"/>
  <c r="BE56" i="42"/>
  <c r="BG102" i="42"/>
  <c r="BK57" i="42"/>
  <c r="BG67" i="42"/>
  <c r="AU39" i="42"/>
  <c r="BC39" i="42"/>
  <c r="BK39" i="42"/>
  <c r="BI39" i="42"/>
  <c r="AY39" i="42"/>
  <c r="BA39" i="42"/>
  <c r="AU34" i="42"/>
  <c r="BA34" i="42"/>
  <c r="AU73" i="42"/>
  <c r="BI73" i="42"/>
  <c r="BE87" i="42"/>
  <c r="AY78" i="42"/>
  <c r="L69" i="42"/>
  <c r="L52" i="42"/>
  <c r="AJ52" i="42"/>
  <c r="AJ68" i="42"/>
  <c r="AJ66" i="42"/>
  <c r="BC60" i="42"/>
  <c r="L65" i="42"/>
  <c r="L56" i="42"/>
  <c r="AJ65" i="42"/>
  <c r="L55" i="42"/>
  <c r="BK62" i="42"/>
  <c r="BE62" i="42"/>
  <c r="BA62" i="42"/>
  <c r="AY62" i="42"/>
  <c r="AJ71" i="42"/>
  <c r="AJ72" i="42"/>
  <c r="BG60" i="42"/>
  <c r="BA60" i="42"/>
  <c r="L59" i="42"/>
  <c r="AJ59" i="42"/>
  <c r="L62" i="42"/>
  <c r="AJ55" i="42"/>
  <c r="AJ57" i="42"/>
  <c r="L72" i="42"/>
  <c r="AG69" i="42"/>
  <c r="M58" i="42"/>
  <c r="AG58" i="42" s="1"/>
  <c r="R26" i="38"/>
  <c r="D66" i="38"/>
  <c r="R68" i="38" s="1"/>
  <c r="AJ70" i="42"/>
  <c r="L54" i="42"/>
  <c r="M66" i="42"/>
  <c r="AG66" i="42" s="1"/>
  <c r="M54" i="42"/>
  <c r="AG54" i="42" s="1"/>
  <c r="M71" i="42"/>
  <c r="AG71" i="42" s="1"/>
  <c r="AG55" i="42"/>
  <c r="AG65" i="42"/>
  <c r="AJ56" i="42"/>
  <c r="AG56" i="42" s="1"/>
  <c r="L60" i="42"/>
  <c r="M62" i="42"/>
  <c r="AG62" i="42" s="1"/>
  <c r="AG68" i="42"/>
  <c r="AG59" i="42"/>
  <c r="AG72" i="42"/>
  <c r="L64" i="42"/>
  <c r="L61" i="42"/>
  <c r="M57" i="42"/>
  <c r="AJ64" i="42"/>
  <c r="AJ61" i="42"/>
  <c r="L63" i="42"/>
  <c r="L53" i="42"/>
  <c r="M53" i="42"/>
  <c r="AG53" i="42" s="1"/>
  <c r="M60" i="42"/>
  <c r="AG60" i="42" s="1"/>
  <c r="M63" i="42"/>
  <c r="AG63" i="42" s="1"/>
  <c r="W24" i="42"/>
  <c r="D24" i="42" s="1"/>
  <c r="N24" i="42"/>
  <c r="D101" i="42"/>
  <c r="AI43" i="42"/>
  <c r="M43" i="42" s="1"/>
  <c r="D43" i="42"/>
  <c r="AZ194" i="23"/>
  <c r="AJ196" i="23"/>
  <c r="AL194" i="23"/>
  <c r="AT194" i="23"/>
  <c r="AX197" i="23"/>
  <c r="N35" i="42"/>
  <c r="W35" i="42"/>
  <c r="W34" i="42"/>
  <c r="N34" i="42"/>
  <c r="O34" i="42"/>
  <c r="W33" i="42"/>
  <c r="E33" i="42" s="1"/>
  <c r="N33" i="42"/>
  <c r="AG61" i="42"/>
  <c r="AG52" i="42"/>
  <c r="AG64" i="42"/>
  <c r="E13" i="39"/>
  <c r="M12" i="36"/>
  <c r="AC8" i="36"/>
  <c r="L5" i="36"/>
  <c r="Y5" i="36"/>
  <c r="AH5" i="36"/>
  <c r="AL5" i="36"/>
  <c r="AL6" i="36" s="1"/>
  <c r="AI5" i="36"/>
  <c r="AF8" i="36"/>
  <c r="M5" i="36"/>
  <c r="S5" i="36"/>
  <c r="U8" i="36"/>
  <c r="Z5" i="36"/>
  <c r="O5" i="36"/>
  <c r="O6" i="36" s="1"/>
  <c r="AG8" i="36"/>
  <c r="AK5" i="36"/>
  <c r="AK6" i="36" s="1"/>
  <c r="AA5" i="36"/>
  <c r="AE5" i="36"/>
  <c r="AE6" i="36" s="1"/>
  <c r="M8" i="36"/>
  <c r="C3" i="36"/>
  <c r="C13" i="36" s="1"/>
  <c r="R8" i="36"/>
  <c r="W5" i="36"/>
  <c r="W6" i="36" s="1"/>
  <c r="AD8" i="36"/>
  <c r="AB5" i="36"/>
  <c r="AG5" i="36"/>
  <c r="AL8" i="36"/>
  <c r="X8" i="36"/>
  <c r="U5" i="36"/>
  <c r="W8" i="36"/>
  <c r="AJ8" i="36"/>
  <c r="AI8" i="36"/>
  <c r="Y8" i="36"/>
  <c r="N8" i="36"/>
  <c r="AF5" i="36"/>
  <c r="N5" i="36"/>
  <c r="N6" i="36" s="1"/>
  <c r="L8" i="36"/>
  <c r="T5" i="36"/>
  <c r="AD5" i="36"/>
  <c r="AD6" i="36" s="1"/>
  <c r="AM7" i="36"/>
  <c r="P5" i="36"/>
  <c r="P6" i="36" s="1"/>
  <c r="V5" i="36"/>
  <c r="V6" i="36" s="1"/>
  <c r="AJ5" i="36"/>
  <c r="AJ6" i="36" s="1"/>
  <c r="AB8" i="36"/>
  <c r="AA8" i="36"/>
  <c r="K8" i="36"/>
  <c r="S8" i="36"/>
  <c r="Q5" i="36"/>
  <c r="Q6" i="36" s="1"/>
  <c r="Z8" i="36"/>
  <c r="V8" i="36"/>
  <c r="AH8" i="36"/>
  <c r="R5" i="36"/>
  <c r="R6" i="36" s="1"/>
  <c r="T8" i="36"/>
  <c r="P8" i="36"/>
  <c r="K5" i="36"/>
  <c r="K6" i="36" s="1"/>
  <c r="O8" i="36"/>
  <c r="AE8" i="36"/>
  <c r="Q8" i="36"/>
  <c r="K12" i="36"/>
  <c r="AC5" i="36"/>
  <c r="AC6" i="36" s="1"/>
  <c r="AK8" i="36"/>
  <c r="X5" i="36"/>
  <c r="X6" i="36" s="1"/>
  <c r="AJ67" i="42"/>
  <c r="AG67" i="42" s="1"/>
  <c r="L67" i="42"/>
  <c r="N31" i="42"/>
  <c r="F200" i="23"/>
  <c r="BH197" i="23"/>
  <c r="J5" i="40"/>
  <c r="L5" i="40"/>
  <c r="Y6" i="40"/>
  <c r="V6" i="40"/>
  <c r="AA6" i="40"/>
  <c r="R6" i="40"/>
  <c r="AH4" i="40"/>
  <c r="N6" i="40"/>
  <c r="U5" i="40"/>
  <c r="O5" i="40"/>
  <c r="Q6" i="40"/>
  <c r="AD5" i="40"/>
  <c r="AF5" i="40"/>
  <c r="S6" i="40"/>
  <c r="W6" i="40"/>
  <c r="AB5" i="40"/>
  <c r="I6" i="40"/>
  <c r="G6" i="40"/>
  <c r="S5" i="40"/>
  <c r="AD6" i="40"/>
  <c r="R5" i="40"/>
  <c r="AE5" i="40"/>
  <c r="AF6" i="40"/>
  <c r="AG5" i="40"/>
  <c r="K5" i="40"/>
  <c r="Z5" i="40"/>
  <c r="W5" i="40"/>
  <c r="X6" i="40"/>
  <c r="Y5" i="40"/>
  <c r="U6" i="40"/>
  <c r="AC6" i="40"/>
  <c r="F5" i="40"/>
  <c r="Z6" i="40"/>
  <c r="P6" i="40"/>
  <c r="Q5" i="40"/>
  <c r="M6" i="40"/>
  <c r="M5" i="40"/>
  <c r="V5" i="40"/>
  <c r="T6" i="40"/>
  <c r="T5" i="40"/>
  <c r="N5" i="40"/>
  <c r="G5" i="40"/>
  <c r="X5" i="40"/>
  <c r="AB6" i="40"/>
  <c r="K6" i="40"/>
  <c r="P5" i="40"/>
  <c r="AC5" i="40"/>
  <c r="G1" i="40"/>
  <c r="F6" i="40"/>
  <c r="J6" i="40"/>
  <c r="AE6" i="40"/>
  <c r="AA5" i="40"/>
  <c r="H6" i="40"/>
  <c r="O6" i="40"/>
  <c r="L6" i="40"/>
  <c r="I5" i="40"/>
  <c r="AG6" i="40"/>
  <c r="H5" i="40"/>
  <c r="H26" i="39"/>
  <c r="H36" i="39"/>
  <c r="AL197" i="23"/>
  <c r="AD197" i="23" l="1"/>
  <c r="M21" i="42"/>
  <c r="AD194" i="23"/>
  <c r="AD3" i="29"/>
  <c r="AD23" i="29" s="1"/>
  <c r="AD205" i="23"/>
  <c r="AF205" i="23" s="1"/>
  <c r="AI205" i="23" s="1"/>
  <c r="AL206" i="23"/>
  <c r="AJ206" i="23" s="1"/>
  <c r="AD196" i="23"/>
  <c r="AF196" i="23" s="1"/>
  <c r="AI196" i="23" s="1"/>
  <c r="AJ193" i="23"/>
  <c r="AJ199" i="23"/>
  <c r="AD193" i="23"/>
  <c r="AF193" i="23" s="1"/>
  <c r="AI193" i="23" s="1"/>
  <c r="AD199" i="23"/>
  <c r="AJ205" i="23"/>
  <c r="M41" i="39"/>
  <c r="AD202" i="23"/>
  <c r="M103" i="42"/>
  <c r="Y6" i="36"/>
  <c r="AF6" i="36"/>
  <c r="AA235" i="23"/>
  <c r="AI235" i="23" s="1"/>
  <c r="AA231" i="23" s="1"/>
  <c r="AI231" i="23" s="1"/>
  <c r="J227" i="23" s="1"/>
  <c r="AJ202" i="23"/>
  <c r="AJ203" i="23"/>
  <c r="L6" i="36"/>
  <c r="AG6" i="36"/>
  <c r="Z6" i="36"/>
  <c r="S6" i="36"/>
  <c r="AD203" i="23"/>
  <c r="AH3" i="29"/>
  <c r="AH5" i="29" s="1"/>
  <c r="AL3" i="29"/>
  <c r="AL46" i="29" s="1"/>
  <c r="AD8" i="29"/>
  <c r="AD14" i="29"/>
  <c r="AD11" i="29"/>
  <c r="AD22" i="29"/>
  <c r="AD58" i="29"/>
  <c r="AD18" i="29"/>
  <c r="AD48" i="29"/>
  <c r="AD39" i="29"/>
  <c r="AD52" i="29"/>
  <c r="AD46" i="29"/>
  <c r="AD45" i="29"/>
  <c r="AD24" i="29"/>
  <c r="AD21" i="29"/>
  <c r="AD6" i="29"/>
  <c r="AD42" i="29"/>
  <c r="AD60" i="29"/>
  <c r="AD25" i="29"/>
  <c r="AD59" i="29"/>
  <c r="AD30" i="29"/>
  <c r="AD28" i="29"/>
  <c r="AD36" i="29"/>
  <c r="AD41" i="29"/>
  <c r="AD35" i="29"/>
  <c r="AD38" i="29"/>
  <c r="AD10" i="29"/>
  <c r="AD16" i="29"/>
  <c r="AD37" i="29"/>
  <c r="AD49" i="29"/>
  <c r="AD51" i="29"/>
  <c r="AD19" i="29"/>
  <c r="AD64" i="29"/>
  <c r="AD20" i="29"/>
  <c r="AH21" i="29"/>
  <c r="AH36" i="29"/>
  <c r="AH19" i="29"/>
  <c r="AH26" i="29"/>
  <c r="AH52" i="29"/>
  <c r="AH31" i="29"/>
  <c r="AH16" i="29"/>
  <c r="AH49" i="29"/>
  <c r="AE3" i="29"/>
  <c r="AA3" i="29"/>
  <c r="AB3" i="29"/>
  <c r="AJ3" i="29"/>
  <c r="AI3" i="29"/>
  <c r="Z41" i="29"/>
  <c r="Z13" i="29"/>
  <c r="Z29" i="29"/>
  <c r="Z16" i="29"/>
  <c r="Z25" i="29"/>
  <c r="Z50" i="29"/>
  <c r="Z46" i="29"/>
  <c r="Z30" i="29"/>
  <c r="Z51" i="29"/>
  <c r="Z19" i="29"/>
  <c r="Z38" i="29"/>
  <c r="Z12" i="29"/>
  <c r="Z8" i="29"/>
  <c r="Z17" i="29"/>
  <c r="Z14" i="29"/>
  <c r="Z20" i="29"/>
  <c r="Z11" i="29"/>
  <c r="Z54" i="29"/>
  <c r="Z53" i="29"/>
  <c r="Z49" i="29"/>
  <c r="Z26" i="29"/>
  <c r="Z63" i="29"/>
  <c r="Z62" i="29"/>
  <c r="Z36" i="29"/>
  <c r="Z32" i="29"/>
  <c r="Z34" i="29"/>
  <c r="Z18" i="29"/>
  <c r="Z47" i="29"/>
  <c r="Z9" i="29"/>
  <c r="Z43" i="29"/>
  <c r="Z55" i="29"/>
  <c r="Z37" i="29"/>
  <c r="Z5" i="29"/>
  <c r="Z42" i="29"/>
  <c r="Z6" i="29"/>
  <c r="Z40" i="29"/>
  <c r="Z10" i="29"/>
  <c r="Z22" i="29"/>
  <c r="Z60" i="29"/>
  <c r="Z7" i="29"/>
  <c r="Z15" i="29"/>
  <c r="Z48" i="29"/>
  <c r="Z23" i="29"/>
  <c r="Z33" i="29"/>
  <c r="Z59" i="29"/>
  <c r="Z58" i="29"/>
  <c r="Z24" i="29"/>
  <c r="Z28" i="29"/>
  <c r="Z61" i="29"/>
  <c r="Z31" i="29"/>
  <c r="Z45" i="29"/>
  <c r="Z64" i="29"/>
  <c r="Z56" i="29"/>
  <c r="Z57" i="29"/>
  <c r="Z39" i="29"/>
  <c r="Z35" i="29"/>
  <c r="Z21" i="29"/>
  <c r="Z27" i="29"/>
  <c r="Z52" i="29"/>
  <c r="Z44" i="29"/>
  <c r="AG3" i="29"/>
  <c r="AC3" i="29"/>
  <c r="AM3" i="29"/>
  <c r="AM63" i="29" s="1"/>
  <c r="AK3" i="29"/>
  <c r="AF3" i="29"/>
  <c r="AN3" i="29"/>
  <c r="AL16" i="29"/>
  <c r="AL8" i="29"/>
  <c r="AL37" i="29"/>
  <c r="AL53" i="29"/>
  <c r="AL18" i="29"/>
  <c r="AL64" i="29"/>
  <c r="AL24" i="29"/>
  <c r="AL60" i="29"/>
  <c r="AL20" i="29"/>
  <c r="AL52" i="29"/>
  <c r="AL28" i="29"/>
  <c r="AL12" i="29"/>
  <c r="AL5" i="29"/>
  <c r="AL21" i="29"/>
  <c r="AL42" i="29"/>
  <c r="AL58" i="29"/>
  <c r="AL40" i="29"/>
  <c r="AL23" i="29"/>
  <c r="AL36" i="29"/>
  <c r="AL57" i="29"/>
  <c r="AL27" i="29"/>
  <c r="AL38" i="29"/>
  <c r="AL61" i="29"/>
  <c r="AL39" i="29"/>
  <c r="AL15" i="29"/>
  <c r="AL55" i="29"/>
  <c r="AL56" i="29"/>
  <c r="AL49" i="29"/>
  <c r="AL26" i="29"/>
  <c r="AL43" i="29"/>
  <c r="W30" i="42"/>
  <c r="E30" i="42" s="1"/>
  <c r="N30" i="42"/>
  <c r="M38" i="42"/>
  <c r="AG38" i="42" s="1"/>
  <c r="L92" i="42"/>
  <c r="N57" i="42"/>
  <c r="N52" i="42"/>
  <c r="AJ38" i="42"/>
  <c r="AJ42" i="42"/>
  <c r="M42" i="42"/>
  <c r="AG42" i="42" s="1"/>
  <c r="F35" i="42"/>
  <c r="I35" i="42"/>
  <c r="AJ194" i="23"/>
  <c r="D44" i="42"/>
  <c r="AI44" i="42"/>
  <c r="D46" i="42"/>
  <c r="AI46" i="42"/>
  <c r="D48" i="42"/>
  <c r="AI48" i="42"/>
  <c r="D39" i="42"/>
  <c r="AI39" i="42"/>
  <c r="L39" i="42" s="1"/>
  <c r="D40" i="42"/>
  <c r="AI40" i="42"/>
  <c r="D41" i="42"/>
  <c r="AI41" i="42"/>
  <c r="D45" i="42"/>
  <c r="AI45" i="42"/>
  <c r="D47" i="42"/>
  <c r="AI47" i="42"/>
  <c r="F73" i="38"/>
  <c r="F75" i="38" s="1"/>
  <c r="M73" i="38"/>
  <c r="M75" i="38" s="1"/>
  <c r="G73" i="38"/>
  <c r="G75" i="38" s="1"/>
  <c r="J73" i="38"/>
  <c r="J75" i="38" s="1"/>
  <c r="E73" i="38"/>
  <c r="E75" i="38" s="1"/>
  <c r="I73" i="38"/>
  <c r="I75" i="38" s="1"/>
  <c r="K73" i="38"/>
  <c r="K75" i="38" s="1"/>
  <c r="H73" i="38"/>
  <c r="N73" i="38"/>
  <c r="N75" i="38" s="1"/>
  <c r="L73" i="38"/>
  <c r="L75" i="38" s="1"/>
  <c r="D73" i="38"/>
  <c r="E32" i="38"/>
  <c r="L32" i="38"/>
  <c r="R27" i="38"/>
  <c r="O32" i="38" s="1"/>
  <c r="AC33" i="38" s="1"/>
  <c r="M32" i="38"/>
  <c r="J32" i="38"/>
  <c r="D32" i="38"/>
  <c r="G32" i="38"/>
  <c r="N32" i="38"/>
  <c r="H32" i="38"/>
  <c r="K32" i="38"/>
  <c r="I32" i="38"/>
  <c r="F32" i="38"/>
  <c r="T6" i="36"/>
  <c r="AA6" i="36"/>
  <c r="M6" i="36"/>
  <c r="AH6" i="36"/>
  <c r="AG57" i="42"/>
  <c r="N60" i="42"/>
  <c r="L43" i="42"/>
  <c r="AJ43" i="42"/>
  <c r="AG43" i="42" s="1"/>
  <c r="AJ197" i="23"/>
  <c r="E35" i="42"/>
  <c r="AI34" i="42"/>
  <c r="M34" i="42" s="1"/>
  <c r="G84" i="42" s="1"/>
  <c r="E34" i="42"/>
  <c r="W29" i="42"/>
  <c r="N29" i="42"/>
  <c r="N63" i="42"/>
  <c r="O124" i="39"/>
  <c r="O119" i="39"/>
  <c r="O46" i="39"/>
  <c r="O67" i="39"/>
  <c r="O115" i="39"/>
  <c r="O45" i="39"/>
  <c r="J45" i="39" s="1"/>
  <c r="O110" i="39"/>
  <c r="O120" i="39"/>
  <c r="O111" i="39"/>
  <c r="O42" i="39"/>
  <c r="O63" i="39"/>
  <c r="O40" i="39"/>
  <c r="J40" i="39" s="1"/>
  <c r="O72" i="39"/>
  <c r="O101" i="39"/>
  <c r="O116" i="39"/>
  <c r="O102" i="39"/>
  <c r="O91" i="39"/>
  <c r="O88" i="39"/>
  <c r="O126" i="39"/>
  <c r="O112" i="39"/>
  <c r="O125" i="39"/>
  <c r="O62" i="39"/>
  <c r="O51" i="39"/>
  <c r="O80" i="39"/>
  <c r="O137" i="39"/>
  <c r="O74" i="39"/>
  <c r="O79" i="39"/>
  <c r="O93" i="39"/>
  <c r="O132" i="39"/>
  <c r="O86" i="39"/>
  <c r="O43" i="39"/>
  <c r="J43" i="39" s="1"/>
  <c r="O60" i="39"/>
  <c r="O97" i="39"/>
  <c r="O127" i="39"/>
  <c r="O50" i="39"/>
  <c r="J50" i="39" s="1"/>
  <c r="O87" i="39"/>
  <c r="O39" i="39"/>
  <c r="J39" i="39" s="1"/>
  <c r="O100" i="39"/>
  <c r="O61" i="39"/>
  <c r="O109" i="39"/>
  <c r="O122" i="39"/>
  <c r="O76" i="39"/>
  <c r="O52" i="39"/>
  <c r="J52" i="39" s="1"/>
  <c r="O53" i="39"/>
  <c r="O121" i="39"/>
  <c r="O58" i="39"/>
  <c r="O47" i="39"/>
  <c r="J47" i="39" s="1"/>
  <c r="O107" i="39"/>
  <c r="O134" i="39"/>
  <c r="O133" i="39"/>
  <c r="O70" i="39"/>
  <c r="O106" i="39"/>
  <c r="O64" i="39"/>
  <c r="O73" i="39"/>
  <c r="O128" i="39"/>
  <c r="O98" i="39"/>
  <c r="O71" i="39"/>
  <c r="O84" i="39"/>
  <c r="O118" i="39"/>
  <c r="O108" i="39"/>
  <c r="O83" i="39"/>
  <c r="O49" i="39"/>
  <c r="J49" i="39" s="1"/>
  <c r="O90" i="39"/>
  <c r="O68" i="39"/>
  <c r="O38" i="39"/>
  <c r="J38" i="39" s="1"/>
  <c r="O104" i="39"/>
  <c r="O113" i="39"/>
  <c r="O103" i="39"/>
  <c r="O123" i="39"/>
  <c r="O81" i="39"/>
  <c r="O94" i="39"/>
  <c r="O44" i="39"/>
  <c r="O65" i="39"/>
  <c r="O114" i="39"/>
  <c r="O92" i="39"/>
  <c r="O117" i="39"/>
  <c r="O75" i="39"/>
  <c r="O77" i="39"/>
  <c r="O82" i="39"/>
  <c r="O55" i="39"/>
  <c r="J55" i="39" s="1"/>
  <c r="O56" i="39"/>
  <c r="O99" i="39"/>
  <c r="O105" i="39"/>
  <c r="O41" i="39"/>
  <c r="J41" i="39" s="1"/>
  <c r="O131" i="39"/>
  <c r="O130" i="39"/>
  <c r="O69" i="39"/>
  <c r="O96" i="39"/>
  <c r="O95" i="39"/>
  <c r="O135" i="39"/>
  <c r="O85" i="39"/>
  <c r="O54" i="39"/>
  <c r="J54" i="39" s="1"/>
  <c r="O129" i="39"/>
  <c r="O48" i="39"/>
  <c r="O89" i="39"/>
  <c r="O59" i="39"/>
  <c r="J59" i="39" s="1"/>
  <c r="O78" i="39"/>
  <c r="O66" i="39"/>
  <c r="O136" i="39"/>
  <c r="O57" i="39"/>
  <c r="U6" i="36"/>
  <c r="AB6" i="36"/>
  <c r="AI6" i="36"/>
  <c r="AI4" i="40"/>
  <c r="AH5" i="40"/>
  <c r="AH107" i="40"/>
  <c r="AH6" i="40"/>
  <c r="AL200" i="23"/>
  <c r="AJ200" i="23" s="1"/>
  <c r="AD200" i="23"/>
  <c r="AM5" i="36"/>
  <c r="AM6" i="36" s="1"/>
  <c r="AM8" i="36"/>
  <c r="AN7" i="36"/>
  <c r="AO7" i="36" s="1"/>
  <c r="J30" i="42"/>
  <c r="O32" i="39"/>
  <c r="O29" i="39"/>
  <c r="O31" i="39"/>
  <c r="J31" i="39" s="1"/>
  <c r="O28" i="39"/>
  <c r="J28" i="39" s="1"/>
  <c r="O30" i="39"/>
  <c r="J30" i="39" s="1"/>
  <c r="W31" i="42"/>
  <c r="F31" i="42" s="1"/>
  <c r="AD16" i="36"/>
  <c r="X16" i="36"/>
  <c r="P13" i="36"/>
  <c r="Z13" i="36"/>
  <c r="Z14" i="36" s="1"/>
  <c r="AK13" i="36"/>
  <c r="M16" i="36"/>
  <c r="M13" i="36"/>
  <c r="AL16" i="36"/>
  <c r="P16" i="36"/>
  <c r="Y13" i="36"/>
  <c r="Y14" i="36" s="1"/>
  <c r="AD13" i="36"/>
  <c r="R16" i="36"/>
  <c r="L16" i="36"/>
  <c r="AL13" i="36"/>
  <c r="AL14" i="36" s="1"/>
  <c r="N16" i="36"/>
  <c r="AA16" i="36"/>
  <c r="AI13" i="36"/>
  <c r="K16" i="36"/>
  <c r="AJ16" i="36"/>
  <c r="AE13" i="36"/>
  <c r="AE14" i="36" s="1"/>
  <c r="V16" i="36"/>
  <c r="AI16" i="36"/>
  <c r="AA13" i="36"/>
  <c r="AH13" i="36"/>
  <c r="AK16" i="36"/>
  <c r="AE16" i="36"/>
  <c r="R13" i="36"/>
  <c r="R14" i="36" s="1"/>
  <c r="V13" i="36"/>
  <c r="AG16" i="36"/>
  <c r="S13" i="36"/>
  <c r="S14" i="36" s="1"/>
  <c r="Z16" i="36"/>
  <c r="AB13" i="36"/>
  <c r="Y16" i="36"/>
  <c r="AC13" i="36"/>
  <c r="AJ13" i="36"/>
  <c r="Q13" i="36"/>
  <c r="Q14" i="36" s="1"/>
  <c r="Q16" i="36"/>
  <c r="AC16" i="36"/>
  <c r="L13" i="36"/>
  <c r="L14" i="36" s="1"/>
  <c r="AF16" i="36"/>
  <c r="X13" i="36"/>
  <c r="X14" i="36" s="1"/>
  <c r="AH16" i="36"/>
  <c r="T13" i="36"/>
  <c r="U13" i="36"/>
  <c r="W16" i="36"/>
  <c r="AM15" i="36"/>
  <c r="AN15" i="36" s="1"/>
  <c r="AB16" i="36"/>
  <c r="AG13" i="36"/>
  <c r="AG14" i="36" s="1"/>
  <c r="O13" i="36"/>
  <c r="O16" i="36"/>
  <c r="K13" i="36"/>
  <c r="K14" i="36" s="1"/>
  <c r="W13" i="36"/>
  <c r="N13" i="36"/>
  <c r="N14" i="36" s="1"/>
  <c r="S16" i="36"/>
  <c r="T16" i="36"/>
  <c r="U16" i="36"/>
  <c r="AF13" i="36"/>
  <c r="AF14" i="36" s="1"/>
  <c r="AO15" i="36"/>
  <c r="AD55" i="29" l="1"/>
  <c r="AD33" i="29"/>
  <c r="AD47" i="29"/>
  <c r="AD26" i="29"/>
  <c r="AD61" i="29"/>
  <c r="AD32" i="29"/>
  <c r="AD9" i="29"/>
  <c r="AD12" i="29"/>
  <c r="AL62" i="29"/>
  <c r="AL9" i="29"/>
  <c r="AL47" i="29"/>
  <c r="AL30" i="29"/>
  <c r="AL7" i="29"/>
  <c r="AL19" i="29"/>
  <c r="AL14" i="29"/>
  <c r="AL34" i="29"/>
  <c r="AL6" i="29"/>
  <c r="AL44" i="29"/>
  <c r="AL48" i="29"/>
  <c r="AL51" i="29"/>
  <c r="AL25" i="29"/>
  <c r="AL41" i="29"/>
  <c r="AL35" i="29"/>
  <c r="AL17" i="29"/>
  <c r="AL63" i="29"/>
  <c r="AL10" i="29"/>
  <c r="AL13" i="29"/>
  <c r="AL29" i="29"/>
  <c r="AL22" i="29"/>
  <c r="AL45" i="29"/>
  <c r="AL54" i="29"/>
  <c r="AL33" i="29"/>
  <c r="AL59" i="29"/>
  <c r="AL11" i="29"/>
  <c r="AL50" i="29"/>
  <c r="AL32" i="29"/>
  <c r="AL31" i="29"/>
  <c r="AH15" i="29"/>
  <c r="AH38" i="29"/>
  <c r="AD34" i="29"/>
  <c r="AD40" i="29"/>
  <c r="AD56" i="29"/>
  <c r="AD17" i="29"/>
  <c r="AD54" i="29"/>
  <c r="AD62" i="29"/>
  <c r="AD44" i="29"/>
  <c r="AD15" i="29"/>
  <c r="AD53" i="29"/>
  <c r="AD57" i="29"/>
  <c r="AD31" i="29"/>
  <c r="AD29" i="29"/>
  <c r="AD13" i="29"/>
  <c r="AD27" i="29"/>
  <c r="AD63" i="29"/>
  <c r="AD50" i="29"/>
  <c r="AD43" i="29"/>
  <c r="AD5" i="29"/>
  <c r="AD7" i="29"/>
  <c r="AF199" i="23"/>
  <c r="AI199" i="23" s="1"/>
  <c r="AJ37" i="23"/>
  <c r="B37" i="23" s="1"/>
  <c r="J185" i="23"/>
  <c r="AB14" i="36"/>
  <c r="AI14" i="36"/>
  <c r="U14" i="36"/>
  <c r="AF202" i="23"/>
  <c r="AI202" i="23" s="1"/>
  <c r="M42" i="39"/>
  <c r="M14" i="36"/>
  <c r="AH14" i="36"/>
  <c r="T14" i="36"/>
  <c r="AA14" i="36"/>
  <c r="AO8" i="36"/>
  <c r="AO5" i="36"/>
  <c r="AO6" i="36" s="1"/>
  <c r="AM34" i="29"/>
  <c r="AM13" i="29"/>
  <c r="AM26" i="29"/>
  <c r="AM48" i="29"/>
  <c r="AM32" i="29"/>
  <c r="AM21" i="29"/>
  <c r="AM29" i="29"/>
  <c r="AH24" i="29"/>
  <c r="AH37" i="29"/>
  <c r="AH12" i="29"/>
  <c r="AH29" i="29"/>
  <c r="AH13" i="29"/>
  <c r="AH17" i="29"/>
  <c r="AH61" i="29"/>
  <c r="AH45" i="29"/>
  <c r="AH56" i="29"/>
  <c r="AH41" i="29"/>
  <c r="AH57" i="29"/>
  <c r="AH42" i="29"/>
  <c r="AH25" i="29"/>
  <c r="AH14" i="29"/>
  <c r="AH48" i="29"/>
  <c r="AH62" i="29"/>
  <c r="AH51" i="29"/>
  <c r="AH20" i="29"/>
  <c r="AH59" i="29"/>
  <c r="AH34" i="29"/>
  <c r="AH60" i="29"/>
  <c r="AH55" i="29"/>
  <c r="AH46" i="29"/>
  <c r="AH33" i="29"/>
  <c r="AH40" i="29"/>
  <c r="AH30" i="29"/>
  <c r="AH44" i="29"/>
  <c r="AH58" i="29"/>
  <c r="AH8" i="29"/>
  <c r="AH9" i="29"/>
  <c r="AH18" i="29"/>
  <c r="AH32" i="29"/>
  <c r="AH27" i="29"/>
  <c r="AH28" i="29"/>
  <c r="AH22" i="29"/>
  <c r="AH6" i="29"/>
  <c r="AH10" i="29"/>
  <c r="AH23" i="29"/>
  <c r="AH64" i="29"/>
  <c r="AH53" i="29"/>
  <c r="AH50" i="29"/>
  <c r="AH39" i="29"/>
  <c r="AH63" i="29"/>
  <c r="AH11" i="29"/>
  <c r="AH54" i="29"/>
  <c r="AH35" i="29"/>
  <c r="AH43" i="29"/>
  <c r="AH47" i="29"/>
  <c r="AH7" i="29"/>
  <c r="AM28" i="29"/>
  <c r="AM64" i="29"/>
  <c r="AM55" i="29"/>
  <c r="AM23" i="29"/>
  <c r="AM57" i="29"/>
  <c r="AM27" i="29"/>
  <c r="AM54" i="29"/>
  <c r="W33" i="38"/>
  <c r="AJ14" i="36"/>
  <c r="O14" i="36"/>
  <c r="AC14" i="36"/>
  <c r="V14" i="36"/>
  <c r="Y33" i="38"/>
  <c r="AM7" i="29"/>
  <c r="AM60" i="29"/>
  <c r="AM56" i="29"/>
  <c r="AM11" i="29"/>
  <c r="AM22" i="29"/>
  <c r="AM51" i="29"/>
  <c r="AM35" i="29"/>
  <c r="AM41" i="29"/>
  <c r="AM25" i="29"/>
  <c r="AM36" i="29"/>
  <c r="AM10" i="29"/>
  <c r="AM33" i="29"/>
  <c r="AM45" i="29"/>
  <c r="AM50" i="29"/>
  <c r="AM20" i="29"/>
  <c r="AM42" i="29"/>
  <c r="AM30" i="29"/>
  <c r="AM58" i="29"/>
  <c r="AM39" i="29"/>
  <c r="AM6" i="29"/>
  <c r="AM53" i="29"/>
  <c r="AM40" i="29"/>
  <c r="AM59" i="29"/>
  <c r="AM49" i="29"/>
  <c r="AM8" i="29"/>
  <c r="AM18" i="29"/>
  <c r="AM14" i="29"/>
  <c r="AM9" i="29"/>
  <c r="AM44" i="29"/>
  <c r="AM16" i="29"/>
  <c r="AM19" i="29"/>
  <c r="AM52" i="29"/>
  <c r="AM61" i="29"/>
  <c r="AM46" i="29"/>
  <c r="AM38" i="29"/>
  <c r="AM24" i="29"/>
  <c r="AM17" i="29"/>
  <c r="AM62" i="29"/>
  <c r="AM31" i="29"/>
  <c r="AM5" i="29"/>
  <c r="AM37" i="29"/>
  <c r="AM47" i="29"/>
  <c r="AM12" i="29"/>
  <c r="AM43" i="29"/>
  <c r="AM15" i="29"/>
  <c r="AN40" i="29"/>
  <c r="AN20" i="29"/>
  <c r="AN46" i="29"/>
  <c r="AN14" i="29"/>
  <c r="AN25" i="29"/>
  <c r="AN11" i="29"/>
  <c r="AN6" i="29"/>
  <c r="AN24" i="29"/>
  <c r="AN50" i="29"/>
  <c r="AN9" i="29"/>
  <c r="AN21" i="29"/>
  <c r="AN63" i="29"/>
  <c r="AN23" i="29"/>
  <c r="AN52" i="29"/>
  <c r="AN57" i="29"/>
  <c r="AN58" i="29"/>
  <c r="AN45" i="29"/>
  <c r="AN56" i="29"/>
  <c r="AN35" i="29"/>
  <c r="AN22" i="29"/>
  <c r="AN32" i="29"/>
  <c r="AN38" i="29"/>
  <c r="AN36" i="29"/>
  <c r="AN26" i="29"/>
  <c r="AN30" i="29"/>
  <c r="AN48" i="29"/>
  <c r="AN27" i="29"/>
  <c r="AN13" i="29"/>
  <c r="AN49" i="29"/>
  <c r="AN53" i="29"/>
  <c r="AN31" i="29"/>
  <c r="AN17" i="29"/>
  <c r="AN28" i="29"/>
  <c r="AN18" i="29"/>
  <c r="AN10" i="29"/>
  <c r="AN39" i="29"/>
  <c r="AN44" i="29"/>
  <c r="AN51" i="29"/>
  <c r="AN42" i="29"/>
  <c r="AN37" i="29"/>
  <c r="AN8" i="29"/>
  <c r="AN41" i="29"/>
  <c r="AN59" i="29"/>
  <c r="AN47" i="29"/>
  <c r="AN61" i="29"/>
  <c r="AN43" i="29"/>
  <c r="AN15" i="29"/>
  <c r="AN60" i="29"/>
  <c r="AN54" i="29"/>
  <c r="AN34" i="29"/>
  <c r="AN55" i="29"/>
  <c r="AN33" i="29"/>
  <c r="AN62" i="29"/>
  <c r="AN64" i="29"/>
  <c r="AN5" i="29"/>
  <c r="AN29" i="29"/>
  <c r="AN19" i="29"/>
  <c r="AN12" i="29"/>
  <c r="AN7" i="29"/>
  <c r="AN16" i="29"/>
  <c r="AI53" i="29"/>
  <c r="AI38" i="29"/>
  <c r="AI28" i="29"/>
  <c r="AI50" i="29"/>
  <c r="AI18" i="29"/>
  <c r="AI44" i="29"/>
  <c r="AI32" i="29"/>
  <c r="AI8" i="29"/>
  <c r="AI40" i="29"/>
  <c r="AI60" i="29"/>
  <c r="AI43" i="29"/>
  <c r="AI31" i="29"/>
  <c r="AI17" i="29"/>
  <c r="AI36" i="29"/>
  <c r="AI13" i="29"/>
  <c r="AI5" i="29"/>
  <c r="AI19" i="29"/>
  <c r="AI23" i="29"/>
  <c r="AI63" i="29"/>
  <c r="AI24" i="29"/>
  <c r="AI55" i="29"/>
  <c r="AI56" i="29"/>
  <c r="AI61" i="29"/>
  <c r="AI29" i="29"/>
  <c r="AI47" i="29"/>
  <c r="AI58" i="29"/>
  <c r="AI30" i="29"/>
  <c r="AI52" i="29"/>
  <c r="AI64" i="29"/>
  <c r="AI54" i="29"/>
  <c r="AI12" i="29"/>
  <c r="AI45" i="29"/>
  <c r="AI46" i="29"/>
  <c r="AI48" i="29"/>
  <c r="AI21" i="29"/>
  <c r="AI51" i="29"/>
  <c r="AI11" i="29"/>
  <c r="AI39" i="29"/>
  <c r="AI37" i="29"/>
  <c r="AI42" i="29"/>
  <c r="AI62" i="29"/>
  <c r="AI35" i="29"/>
  <c r="AI9" i="29"/>
  <c r="AI22" i="29"/>
  <c r="AI26" i="29"/>
  <c r="AI14" i="29"/>
  <c r="AI16" i="29"/>
  <c r="AI20" i="29"/>
  <c r="AI7" i="29"/>
  <c r="AI34" i="29"/>
  <c r="AI33" i="29"/>
  <c r="AI49" i="29"/>
  <c r="AI27" i="29"/>
  <c r="AI25" i="29"/>
  <c r="AI10" i="29"/>
  <c r="AI6" i="29"/>
  <c r="AI15" i="29"/>
  <c r="AI41" i="29"/>
  <c r="AI57" i="29"/>
  <c r="AI59" i="29"/>
  <c r="AG10" i="29"/>
  <c r="AG62" i="29"/>
  <c r="AG46" i="29"/>
  <c r="AG13" i="29"/>
  <c r="AG14" i="29"/>
  <c r="AG31" i="29"/>
  <c r="AG53" i="29"/>
  <c r="AG61" i="29"/>
  <c r="AG7" i="29"/>
  <c r="AG57" i="29"/>
  <c r="AG12" i="29"/>
  <c r="AG51" i="29"/>
  <c r="AG5" i="29"/>
  <c r="AG47" i="29"/>
  <c r="AG27" i="29"/>
  <c r="AG8" i="29"/>
  <c r="AG23" i="29"/>
  <c r="AG18" i="29"/>
  <c r="AG50" i="29"/>
  <c r="AG56" i="29"/>
  <c r="AG54" i="29"/>
  <c r="AG21" i="29"/>
  <c r="AG34" i="29"/>
  <c r="AG45" i="29"/>
  <c r="AG30" i="29"/>
  <c r="AG48" i="29"/>
  <c r="AG19" i="29"/>
  <c r="AG35" i="29"/>
  <c r="AG42" i="29"/>
  <c r="AG55" i="29"/>
  <c r="AG37" i="29"/>
  <c r="AG22" i="29"/>
  <c r="AG49" i="29"/>
  <c r="AG26" i="29"/>
  <c r="AG38" i="29"/>
  <c r="AG39" i="29"/>
  <c r="AG59" i="29"/>
  <c r="AG17" i="29"/>
  <c r="AG28" i="29"/>
  <c r="AG16" i="29"/>
  <c r="AG52" i="29"/>
  <c r="AG44" i="29"/>
  <c r="AG6" i="29"/>
  <c r="AG20" i="29"/>
  <c r="AG33" i="29"/>
  <c r="AG40" i="29"/>
  <c r="AG9" i="29"/>
  <c r="AG25" i="29"/>
  <c r="AG36" i="29"/>
  <c r="AG32" i="29"/>
  <c r="AG29" i="29"/>
  <c r="AG43" i="29"/>
  <c r="AG41" i="29"/>
  <c r="AG60" i="29"/>
  <c r="AG64" i="29"/>
  <c r="AG11" i="29"/>
  <c r="AG63" i="29"/>
  <c r="AG58" i="29"/>
  <c r="AG24" i="29"/>
  <c r="AG15" i="29"/>
  <c r="AF8" i="29"/>
  <c r="AF63" i="29"/>
  <c r="AF7" i="29"/>
  <c r="AF52" i="29"/>
  <c r="AF59" i="29"/>
  <c r="AF6" i="29"/>
  <c r="AF10" i="29"/>
  <c r="AF14" i="29"/>
  <c r="AF17" i="29"/>
  <c r="AF50" i="29"/>
  <c r="AF64" i="29"/>
  <c r="AF57" i="29"/>
  <c r="AF43" i="29"/>
  <c r="AF54" i="29"/>
  <c r="AF44" i="29"/>
  <c r="AF12" i="29"/>
  <c r="AF13" i="29"/>
  <c r="AF32" i="29"/>
  <c r="AF9" i="29"/>
  <c r="AF53" i="29"/>
  <c r="AF49" i="29"/>
  <c r="AF29" i="29"/>
  <c r="AF34" i="29"/>
  <c r="AF27" i="29"/>
  <c r="AF33" i="29"/>
  <c r="AF20" i="29"/>
  <c r="AF23" i="29"/>
  <c r="AF36" i="29"/>
  <c r="AF48" i="29"/>
  <c r="AF11" i="29"/>
  <c r="AF45" i="29"/>
  <c r="AF5" i="29"/>
  <c r="AF46" i="29"/>
  <c r="AF55" i="29"/>
  <c r="AF41" i="29"/>
  <c r="AF18" i="29"/>
  <c r="AF60" i="29"/>
  <c r="AF39" i="29"/>
  <c r="AF42" i="29"/>
  <c r="AF15" i="29"/>
  <c r="AF38" i="29"/>
  <c r="AF16" i="29"/>
  <c r="AF22" i="29"/>
  <c r="AF47" i="29"/>
  <c r="AF56" i="29"/>
  <c r="AF61" i="29"/>
  <c r="AF19" i="29"/>
  <c r="AF26" i="29"/>
  <c r="AF37" i="29"/>
  <c r="AF31" i="29"/>
  <c r="AF24" i="29"/>
  <c r="AF58" i="29"/>
  <c r="AF30" i="29"/>
  <c r="AF35" i="29"/>
  <c r="AF25" i="29"/>
  <c r="AF21" i="29"/>
  <c r="AF28" i="29"/>
  <c r="AF51" i="29"/>
  <c r="AF62" i="29"/>
  <c r="AF40" i="29"/>
  <c r="AJ62" i="29"/>
  <c r="AJ43" i="29"/>
  <c r="AJ14" i="29"/>
  <c r="AJ51" i="29"/>
  <c r="AJ9" i="29"/>
  <c r="AJ42" i="29"/>
  <c r="AJ64" i="29"/>
  <c r="AJ47" i="29"/>
  <c r="AJ16" i="29"/>
  <c r="AJ20" i="29"/>
  <c r="AJ37" i="29"/>
  <c r="AJ59" i="29"/>
  <c r="AJ50" i="29"/>
  <c r="AJ15" i="29"/>
  <c r="AJ10" i="29"/>
  <c r="AJ58" i="29"/>
  <c r="AJ36" i="29"/>
  <c r="AJ12" i="29"/>
  <c r="AJ55" i="29"/>
  <c r="AJ11" i="29"/>
  <c r="AJ56" i="29"/>
  <c r="AJ29" i="29"/>
  <c r="AJ61" i="29"/>
  <c r="AJ19" i="29"/>
  <c r="AJ44" i="29"/>
  <c r="AJ49" i="29"/>
  <c r="AJ27" i="29"/>
  <c r="AJ24" i="29"/>
  <c r="AJ6" i="29"/>
  <c r="AJ28" i="29"/>
  <c r="AJ8" i="29"/>
  <c r="AJ45" i="29"/>
  <c r="AJ53" i="29"/>
  <c r="AJ48" i="29"/>
  <c r="AJ32" i="29"/>
  <c r="AJ52" i="29"/>
  <c r="AJ63" i="29"/>
  <c r="AJ13" i="29"/>
  <c r="AJ54" i="29"/>
  <c r="AJ40" i="29"/>
  <c r="AJ22" i="29"/>
  <c r="AJ31" i="29"/>
  <c r="AJ17" i="29"/>
  <c r="AJ23" i="29"/>
  <c r="AJ38" i="29"/>
  <c r="AJ25" i="29"/>
  <c r="AJ21" i="29"/>
  <c r="AJ26" i="29"/>
  <c r="AJ41" i="29"/>
  <c r="AJ60" i="29"/>
  <c r="AJ18" i="29"/>
  <c r="AJ39" i="29"/>
  <c r="AJ34" i="29"/>
  <c r="AJ57" i="29"/>
  <c r="AJ5" i="29"/>
  <c r="AJ7" i="29"/>
  <c r="AJ35" i="29"/>
  <c r="AJ46" i="29"/>
  <c r="AJ30" i="29"/>
  <c r="AJ33" i="29"/>
  <c r="AK51" i="29"/>
  <c r="AK17" i="29"/>
  <c r="AK35" i="29"/>
  <c r="AK27" i="29"/>
  <c r="AK47" i="29"/>
  <c r="AK33" i="29"/>
  <c r="AK15" i="29"/>
  <c r="AK12" i="29"/>
  <c r="AK48" i="29"/>
  <c r="AK61" i="29"/>
  <c r="AK42" i="29"/>
  <c r="AK59" i="29"/>
  <c r="AK58" i="29"/>
  <c r="AK57" i="29"/>
  <c r="AK37" i="29"/>
  <c r="AK53" i="29"/>
  <c r="AK30" i="29"/>
  <c r="AK20" i="29"/>
  <c r="AK8" i="29"/>
  <c r="AK31" i="29"/>
  <c r="AK40" i="29"/>
  <c r="AK16" i="29"/>
  <c r="AK22" i="29"/>
  <c r="AK18" i="29"/>
  <c r="AK46" i="29"/>
  <c r="AK64" i="29"/>
  <c r="AK26" i="29"/>
  <c r="AK41" i="29"/>
  <c r="AK62" i="29"/>
  <c r="AK38" i="29"/>
  <c r="AK36" i="29"/>
  <c r="AK6" i="29"/>
  <c r="AK32" i="29"/>
  <c r="AK14" i="29"/>
  <c r="AK49" i="29"/>
  <c r="AK10" i="29"/>
  <c r="AK63" i="29"/>
  <c r="AK50" i="29"/>
  <c r="AK11" i="29"/>
  <c r="AK44" i="29"/>
  <c r="AK21" i="29"/>
  <c r="AK54" i="29"/>
  <c r="AK34" i="29"/>
  <c r="AK23" i="29"/>
  <c r="AK13" i="29"/>
  <c r="AK29" i="29"/>
  <c r="AK9" i="29"/>
  <c r="AK39" i="29"/>
  <c r="AK60" i="29"/>
  <c r="AK19" i="29"/>
  <c r="AK28" i="29"/>
  <c r="AK56" i="29"/>
  <c r="AK25" i="29"/>
  <c r="AK52" i="29"/>
  <c r="AK45" i="29"/>
  <c r="AK24" i="29"/>
  <c r="AK43" i="29"/>
  <c r="AK7" i="29"/>
  <c r="AK5" i="29"/>
  <c r="AK55" i="29"/>
  <c r="AB11" i="29"/>
  <c r="AB15" i="29"/>
  <c r="AB10" i="29"/>
  <c r="AB13" i="29"/>
  <c r="AB7" i="29"/>
  <c r="AB14" i="29"/>
  <c r="AB6" i="29"/>
  <c r="AB9" i="29"/>
  <c r="AB16" i="29"/>
  <c r="AB48" i="29"/>
  <c r="AB20" i="29"/>
  <c r="AB59" i="29"/>
  <c r="AB52" i="29"/>
  <c r="AB46" i="29"/>
  <c r="AB33" i="29"/>
  <c r="AB12" i="29"/>
  <c r="AB34" i="29"/>
  <c r="AB8" i="29"/>
  <c r="AB61" i="29"/>
  <c r="AB28" i="29"/>
  <c r="AB5" i="29"/>
  <c r="AB41" i="29"/>
  <c r="AB24" i="29"/>
  <c r="AB50" i="29"/>
  <c r="AB38" i="29"/>
  <c r="AB39" i="29"/>
  <c r="AB62" i="29"/>
  <c r="AB32" i="29"/>
  <c r="AB63" i="29"/>
  <c r="AB36" i="29"/>
  <c r="AB26" i="29"/>
  <c r="AB22" i="29"/>
  <c r="AB54" i="29"/>
  <c r="AB47" i="29"/>
  <c r="AB40" i="29"/>
  <c r="AB49" i="29"/>
  <c r="AB44" i="29"/>
  <c r="AB31" i="29"/>
  <c r="AB17" i="29"/>
  <c r="AB56" i="29"/>
  <c r="AB51" i="29"/>
  <c r="AB43" i="29"/>
  <c r="AB42" i="29"/>
  <c r="AB18" i="29"/>
  <c r="AB35" i="29"/>
  <c r="AB37" i="29"/>
  <c r="AB29" i="29"/>
  <c r="AB25" i="29"/>
  <c r="AB19" i="29"/>
  <c r="AB23" i="29"/>
  <c r="AB58" i="29"/>
  <c r="AB55" i="29"/>
  <c r="AB57" i="29"/>
  <c r="AB30" i="29"/>
  <c r="AB27" i="29"/>
  <c r="AB21" i="29"/>
  <c r="AB53" i="29"/>
  <c r="AB64" i="29"/>
  <c r="AB60" i="29"/>
  <c r="AB45" i="29"/>
  <c r="AA45" i="29"/>
  <c r="AA64" i="29"/>
  <c r="AA21" i="29"/>
  <c r="AA53" i="29"/>
  <c r="AA16" i="29"/>
  <c r="AA48" i="29"/>
  <c r="AA62" i="29"/>
  <c r="AA63" i="29"/>
  <c r="AA30" i="29"/>
  <c r="AA43" i="29"/>
  <c r="AA60" i="29"/>
  <c r="AA59" i="29"/>
  <c r="AA26" i="29"/>
  <c r="AA55" i="29"/>
  <c r="AA36" i="29"/>
  <c r="AA29" i="29"/>
  <c r="AA50" i="29"/>
  <c r="AA40" i="29"/>
  <c r="AA32" i="29"/>
  <c r="AA22" i="29"/>
  <c r="AA31" i="29"/>
  <c r="AA46" i="29"/>
  <c r="AA10" i="29"/>
  <c r="AA35" i="29"/>
  <c r="AA17" i="29"/>
  <c r="AA47" i="29"/>
  <c r="AA61" i="29"/>
  <c r="AA54" i="29"/>
  <c r="AA37" i="29"/>
  <c r="AA6" i="29"/>
  <c r="AA38" i="29"/>
  <c r="AA5" i="29"/>
  <c r="AA51" i="29"/>
  <c r="AA12" i="29"/>
  <c r="AA14" i="29"/>
  <c r="AA28" i="29"/>
  <c r="AA44" i="29"/>
  <c r="AA57" i="29"/>
  <c r="AA33" i="29"/>
  <c r="AA19" i="29"/>
  <c r="AA7" i="29"/>
  <c r="AA25" i="29"/>
  <c r="AA8" i="29"/>
  <c r="AA9" i="29"/>
  <c r="AA34" i="29"/>
  <c r="AA39" i="29"/>
  <c r="AA13" i="29"/>
  <c r="AA42" i="29"/>
  <c r="AA56" i="29"/>
  <c r="AA18" i="29"/>
  <c r="AA52" i="29"/>
  <c r="AA58" i="29"/>
  <c r="AA24" i="29"/>
  <c r="AA11" i="29"/>
  <c r="AA49" i="29"/>
  <c r="AA27" i="29"/>
  <c r="AA23" i="29"/>
  <c r="AA41" i="29"/>
  <c r="AA20" i="29"/>
  <c r="AA15" i="29"/>
  <c r="AC51" i="29"/>
  <c r="AC11" i="29"/>
  <c r="AC63" i="29"/>
  <c r="AC23" i="29"/>
  <c r="AC44" i="29"/>
  <c r="AC50" i="29"/>
  <c r="AC37" i="29"/>
  <c r="AC60" i="29"/>
  <c r="AC16" i="29"/>
  <c r="AC26" i="29"/>
  <c r="AC45" i="29"/>
  <c r="AC22" i="29"/>
  <c r="AC48" i="29"/>
  <c r="AC5" i="29"/>
  <c r="AC34" i="29"/>
  <c r="AC7" i="29"/>
  <c r="AC39" i="29"/>
  <c r="AC58" i="29"/>
  <c r="AC36" i="29"/>
  <c r="AC54" i="29"/>
  <c r="AC25" i="29"/>
  <c r="AC13" i="29"/>
  <c r="AC57" i="29"/>
  <c r="AC9" i="29"/>
  <c r="AC32" i="29"/>
  <c r="AC52" i="29"/>
  <c r="AC18" i="29"/>
  <c r="AC12" i="29"/>
  <c r="AC15" i="29"/>
  <c r="AC40" i="29"/>
  <c r="AC29" i="29"/>
  <c r="AC62" i="29"/>
  <c r="AC8" i="29"/>
  <c r="AC14" i="29"/>
  <c r="AC46" i="29"/>
  <c r="AC41" i="29"/>
  <c r="AC61" i="29"/>
  <c r="AC53" i="29"/>
  <c r="AC24" i="29"/>
  <c r="AC43" i="29"/>
  <c r="AC27" i="29"/>
  <c r="AC35" i="29"/>
  <c r="AC49" i="29"/>
  <c r="AC42" i="29"/>
  <c r="AC38" i="29"/>
  <c r="AC30" i="29"/>
  <c r="AC56" i="29"/>
  <c r="AC47" i="29"/>
  <c r="AC64" i="29"/>
  <c r="AC55" i="29"/>
  <c r="AC21" i="29"/>
  <c r="AC20" i="29"/>
  <c r="AC17" i="29"/>
  <c r="AC28" i="29"/>
  <c r="AC31" i="29"/>
  <c r="AC6" i="29"/>
  <c r="AC10" i="29"/>
  <c r="AC19" i="29"/>
  <c r="AC59" i="29"/>
  <c r="AC33" i="29"/>
  <c r="AE14" i="29"/>
  <c r="AE7" i="29"/>
  <c r="AE21" i="29"/>
  <c r="AE6" i="29"/>
  <c r="AE5" i="29"/>
  <c r="AE20" i="29"/>
  <c r="AE10" i="29"/>
  <c r="AE59" i="29"/>
  <c r="AE40" i="29"/>
  <c r="AE50" i="29"/>
  <c r="AE61" i="29"/>
  <c r="AE8" i="29"/>
  <c r="AE23" i="29"/>
  <c r="AE17" i="29"/>
  <c r="AE55" i="29"/>
  <c r="AE64" i="29"/>
  <c r="AE39" i="29"/>
  <c r="AE16" i="29"/>
  <c r="AE54" i="29"/>
  <c r="AE47" i="29"/>
  <c r="AE22" i="29"/>
  <c r="AE52" i="29"/>
  <c r="AE41" i="29"/>
  <c r="AE37" i="29"/>
  <c r="AE44" i="29"/>
  <c r="AE35" i="29"/>
  <c r="AE45" i="29"/>
  <c r="AE28" i="29"/>
  <c r="AE11" i="29"/>
  <c r="AE57" i="29"/>
  <c r="AE9" i="29"/>
  <c r="AE32" i="29"/>
  <c r="AE49" i="29"/>
  <c r="AE34" i="29"/>
  <c r="AE27" i="29"/>
  <c r="AE29" i="29"/>
  <c r="AE58" i="29"/>
  <c r="AE56" i="29"/>
  <c r="AE31" i="29"/>
  <c r="AE38" i="29"/>
  <c r="AE43" i="29"/>
  <c r="AE51" i="29"/>
  <c r="AE33" i="29"/>
  <c r="AE53" i="29"/>
  <c r="AE19" i="29"/>
  <c r="AE36" i="29"/>
  <c r="AE30" i="29"/>
  <c r="AE25" i="29"/>
  <c r="AE18" i="29"/>
  <c r="AE26" i="29"/>
  <c r="AE13" i="29"/>
  <c r="AE24" i="29"/>
  <c r="AE63" i="29"/>
  <c r="AE48" i="29"/>
  <c r="AE42" i="29"/>
  <c r="AE62" i="29"/>
  <c r="AE46" i="29"/>
  <c r="AE15" i="29"/>
  <c r="AE12" i="29"/>
  <c r="AE60" i="29"/>
  <c r="AD188" i="23"/>
  <c r="AI188" i="23" s="1"/>
  <c r="X33" i="38"/>
  <c r="AJ41" i="42"/>
  <c r="M41" i="42"/>
  <c r="AG41" i="42" s="1"/>
  <c r="L41" i="42"/>
  <c r="AJ39" i="42"/>
  <c r="M39" i="42"/>
  <c r="AJ45" i="42"/>
  <c r="M45" i="42"/>
  <c r="AG45" i="42" s="1"/>
  <c r="L45" i="42"/>
  <c r="AJ46" i="42"/>
  <c r="M46" i="42"/>
  <c r="AG46" i="42" s="1"/>
  <c r="L46" i="42"/>
  <c r="M40" i="42"/>
  <c r="L40" i="42"/>
  <c r="AJ40" i="42"/>
  <c r="L48" i="42"/>
  <c r="M48" i="42"/>
  <c r="L47" i="42"/>
  <c r="AJ47" i="42"/>
  <c r="M47" i="42"/>
  <c r="AG47" i="42" s="1"/>
  <c r="L44" i="42"/>
  <c r="AJ44" i="42"/>
  <c r="M44" i="42"/>
  <c r="AG44" i="42" s="1"/>
  <c r="BN7" i="42"/>
  <c r="AW19" i="42"/>
  <c r="AU19" i="42" s="1"/>
  <c r="AW15" i="42"/>
  <c r="AU15" i="42" s="1"/>
  <c r="BN10" i="42"/>
  <c r="AW9" i="42"/>
  <c r="AU9" i="42" s="1"/>
  <c r="AW29" i="42"/>
  <c r="AU29" i="42" s="1"/>
  <c r="AW24" i="42"/>
  <c r="AU24" i="42" s="1"/>
  <c r="AW11" i="42"/>
  <c r="AU11" i="42" s="1"/>
  <c r="AW25" i="42"/>
  <c r="AU25" i="42" s="1"/>
  <c r="AW10" i="42"/>
  <c r="AU10" i="42" s="1"/>
  <c r="BN9" i="42"/>
  <c r="AW17" i="42"/>
  <c r="AU17" i="42" s="1"/>
  <c r="AW22" i="42"/>
  <c r="AU22" i="42" s="1"/>
  <c r="AW20" i="42"/>
  <c r="AU20" i="42" s="1"/>
  <c r="AW13" i="42"/>
  <c r="AU13" i="42" s="1"/>
  <c r="I31" i="42"/>
  <c r="E29" i="42"/>
  <c r="V33" i="38"/>
  <c r="E34" i="38"/>
  <c r="S33" i="38"/>
  <c r="T33" i="38"/>
  <c r="AB33" i="38"/>
  <c r="AA33" i="38"/>
  <c r="P73" i="38"/>
  <c r="D76" i="38" s="1"/>
  <c r="U33" i="38"/>
  <c r="R33" i="38"/>
  <c r="L35" i="38" s="1"/>
  <c r="N35" i="38" s="1"/>
  <c r="P32" i="38"/>
  <c r="D35" i="38" s="1"/>
  <c r="Z33" i="38"/>
  <c r="AI30" i="42"/>
  <c r="L30" i="42" s="1"/>
  <c r="AJ34" i="42"/>
  <c r="AG34" i="42" s="1"/>
  <c r="L34" i="42"/>
  <c r="AN13" i="36"/>
  <c r="AN14" i="36" s="1"/>
  <c r="AN16" i="36"/>
  <c r="AO16" i="36"/>
  <c r="AO13" i="36"/>
  <c r="AO14" i="36" s="1"/>
  <c r="AD14" i="36"/>
  <c r="P14" i="36"/>
  <c r="E31" i="42"/>
  <c r="T49" i="39"/>
  <c r="T45" i="39"/>
  <c r="AM16" i="36"/>
  <c r="AM13" i="36"/>
  <c r="AM14" i="36" s="1"/>
  <c r="AW8" i="42"/>
  <c r="T38" i="39"/>
  <c r="T39" i="39"/>
  <c r="AK14" i="36"/>
  <c r="AN8" i="36"/>
  <c r="AN5" i="36"/>
  <c r="AN6" i="36" s="1"/>
  <c r="AI107" i="40"/>
  <c r="AJ4" i="40"/>
  <c r="AK22" i="40" s="1"/>
  <c r="AI5" i="40"/>
  <c r="AI6" i="40"/>
  <c r="T59" i="39"/>
  <c r="T54" i="39"/>
  <c r="T41" i="39"/>
  <c r="T55" i="39"/>
  <c r="T40" i="39"/>
  <c r="W14" i="36"/>
  <c r="T47" i="39"/>
  <c r="T52" i="39"/>
  <c r="T50" i="39"/>
  <c r="T43" i="39"/>
  <c r="X35" i="42"/>
  <c r="X31" i="42"/>
  <c r="X73" i="42"/>
  <c r="G21" i="44" l="1"/>
  <c r="H21" i="44" s="1"/>
  <c r="I21" i="44" s="1"/>
  <c r="AD189" i="23"/>
  <c r="AI189" i="23" s="1"/>
  <c r="AI185" i="23" s="1"/>
  <c r="AD209" i="23" s="1"/>
  <c r="AI209" i="23" s="1"/>
  <c r="AD214" i="23" s="1"/>
  <c r="AI214" i="23" s="1"/>
  <c r="AJ33" i="23" s="1"/>
  <c r="B33" i="23" s="1"/>
  <c r="AK36" i="40"/>
  <c r="AK42" i="40"/>
  <c r="AK63" i="40"/>
  <c r="AK67" i="40"/>
  <c r="AK100" i="40"/>
  <c r="AK106" i="40"/>
  <c r="AK53" i="40"/>
  <c r="AK60" i="40"/>
  <c r="AK17" i="40"/>
  <c r="AK8" i="40"/>
  <c r="AK14" i="40"/>
  <c r="AK35" i="40"/>
  <c r="AK81" i="40"/>
  <c r="AK72" i="40"/>
  <c r="AK78" i="40"/>
  <c r="AK41" i="40"/>
  <c r="AK87" i="40"/>
  <c r="AK66" i="40"/>
  <c r="AK39" i="40"/>
  <c r="AK48" i="40"/>
  <c r="AK101" i="40"/>
  <c r="AK29" i="40"/>
  <c r="AK97" i="40"/>
  <c r="AK52" i="40"/>
  <c r="AK105" i="40"/>
  <c r="AK33" i="40"/>
  <c r="AK51" i="40"/>
  <c r="AK58" i="40"/>
  <c r="AK23" i="40"/>
  <c r="AK24" i="40"/>
  <c r="AK88" i="40"/>
  <c r="AK7" i="40"/>
  <c r="AK69" i="40"/>
  <c r="AK30" i="40"/>
  <c r="AK94" i="40"/>
  <c r="AK12" i="40"/>
  <c r="AK76" i="40"/>
  <c r="AK75" i="40"/>
  <c r="AK57" i="40"/>
  <c r="AK18" i="40"/>
  <c r="AK82" i="40"/>
  <c r="AK79" i="40"/>
  <c r="AK64" i="40"/>
  <c r="AK43" i="40"/>
  <c r="AK45" i="40"/>
  <c r="AK103" i="40"/>
  <c r="AK68" i="40"/>
  <c r="AK55" i="40"/>
  <c r="AK49" i="40"/>
  <c r="AK10" i="40"/>
  <c r="AK74" i="40"/>
  <c r="AK59" i="40"/>
  <c r="AK40" i="40"/>
  <c r="AK104" i="40"/>
  <c r="AK21" i="40"/>
  <c r="AK85" i="40"/>
  <c r="AK46" i="40"/>
  <c r="AK11" i="40"/>
  <c r="AK28" i="40"/>
  <c r="AK92" i="40"/>
  <c r="AK9" i="40"/>
  <c r="AK73" i="40"/>
  <c r="AK34" i="40"/>
  <c r="AK98" i="40"/>
  <c r="AK16" i="40"/>
  <c r="AK80" i="40"/>
  <c r="AK83" i="40"/>
  <c r="AK61" i="40"/>
  <c r="AK38" i="40"/>
  <c r="AK54" i="40"/>
  <c r="AK70" i="40"/>
  <c r="AK86" i="40"/>
  <c r="AK102" i="40"/>
  <c r="AK19" i="40"/>
  <c r="AK47" i="40"/>
  <c r="AK91" i="40"/>
  <c r="AK84" i="40"/>
  <c r="AK95" i="40"/>
  <c r="AK65" i="40"/>
  <c r="AK26" i="40"/>
  <c r="AK90" i="40"/>
  <c r="AK99" i="40"/>
  <c r="AK56" i="40"/>
  <c r="AK27" i="40"/>
  <c r="AK37" i="40"/>
  <c r="AK71" i="40"/>
  <c r="AK62" i="40"/>
  <c r="AK31" i="40"/>
  <c r="AK44" i="40"/>
  <c r="AK93" i="40"/>
  <c r="AK25" i="40"/>
  <c r="AK89" i="40"/>
  <c r="AK50" i="40"/>
  <c r="AK15" i="40"/>
  <c r="AK32" i="40"/>
  <c r="AK96" i="40"/>
  <c r="AK13" i="40"/>
  <c r="AK77" i="40"/>
  <c r="AK20" i="40"/>
  <c r="M43" i="39"/>
  <c r="C5" i="36"/>
  <c r="D5" i="36" s="1"/>
  <c r="F5" i="36" s="1"/>
  <c r="D37" i="38"/>
  <c r="S213" i="23" s="1"/>
  <c r="L102" i="42"/>
  <c r="AG40" i="42"/>
  <c r="AG39" i="42"/>
  <c r="C9" i="36"/>
  <c r="D9" i="36" s="1"/>
  <c r="F9" i="36" s="1"/>
  <c r="C8" i="36"/>
  <c r="D8" i="36" s="1"/>
  <c r="F8" i="36" s="1"/>
  <c r="C7" i="36"/>
  <c r="D7" i="36" s="1"/>
  <c r="F7" i="36" s="1"/>
  <c r="C6" i="36"/>
  <c r="D6" i="36" s="1"/>
  <c r="T77" i="38"/>
  <c r="AB77" i="38"/>
  <c r="V77" i="38"/>
  <c r="Z77" i="38"/>
  <c r="S77" i="38"/>
  <c r="Y77" i="38"/>
  <c r="R77" i="38"/>
  <c r="U77" i="38"/>
  <c r="X77" i="38"/>
  <c r="AC77" i="38"/>
  <c r="AA77" i="38"/>
  <c r="W77" i="38"/>
  <c r="T35" i="38"/>
  <c r="W35" i="38"/>
  <c r="S35" i="38"/>
  <c r="AA35" i="38"/>
  <c r="F35" i="38"/>
  <c r="R35" i="38"/>
  <c r="Z35" i="38"/>
  <c r="AC35" i="38"/>
  <c r="Y35" i="38"/>
  <c r="U35" i="38"/>
  <c r="AB35" i="38"/>
  <c r="X35" i="38"/>
  <c r="V35" i="38"/>
  <c r="C19" i="36"/>
  <c r="D19" i="36" s="1"/>
  <c r="H19" i="36" s="1"/>
  <c r="M30" i="42"/>
  <c r="BI17" i="42"/>
  <c r="AY17" i="42"/>
  <c r="BC17" i="42"/>
  <c r="BE17" i="42"/>
  <c r="BA17" i="42"/>
  <c r="BG24" i="42"/>
  <c r="AY24" i="42"/>
  <c r="BI24" i="42"/>
  <c r="BE24" i="42"/>
  <c r="BC24" i="42"/>
  <c r="BA24" i="42"/>
  <c r="BI13" i="42"/>
  <c r="BG13" i="42"/>
  <c r="AY13" i="42"/>
  <c r="BE13" i="42"/>
  <c r="BI22" i="42"/>
  <c r="AY22" i="42"/>
  <c r="BE22" i="42"/>
  <c r="BG22" i="42"/>
  <c r="AJ5" i="40"/>
  <c r="AJ6" i="40"/>
  <c r="AJ107" i="40"/>
  <c r="G56" i="39"/>
  <c r="G57" i="39"/>
  <c r="G48" i="39"/>
  <c r="G53" i="39"/>
  <c r="G58" i="39"/>
  <c r="G44" i="39"/>
  <c r="G51" i="39"/>
  <c r="G46" i="39"/>
  <c r="BI9" i="42"/>
  <c r="BC9" i="42"/>
  <c r="BG9" i="42"/>
  <c r="BK9" i="42"/>
  <c r="BA9" i="42"/>
  <c r="AY9" i="42"/>
  <c r="BE9" i="42"/>
  <c r="AY19" i="42"/>
  <c r="BC19" i="42"/>
  <c r="BA19" i="42"/>
  <c r="BE19" i="42"/>
  <c r="BG19" i="42"/>
  <c r="C16" i="36"/>
  <c r="D16" i="36" s="1"/>
  <c r="AY10" i="42"/>
  <c r="BA10" i="42"/>
  <c r="BI10" i="42"/>
  <c r="BE10" i="42"/>
  <c r="BK10" i="42"/>
  <c r="BC10" i="42"/>
  <c r="BG10" i="42"/>
  <c r="BE11" i="42"/>
  <c r="BA11" i="42"/>
  <c r="AY11" i="42"/>
  <c r="BK11" i="42"/>
  <c r="BG11" i="42"/>
  <c r="BI11" i="42"/>
  <c r="BC11" i="42"/>
  <c r="BC29" i="42"/>
  <c r="BA29" i="42"/>
  <c r="AY29" i="42"/>
  <c r="BI29" i="42"/>
  <c r="BG29" i="42"/>
  <c r="BE29" i="42"/>
  <c r="BI15" i="42"/>
  <c r="BC15" i="42"/>
  <c r="AY15" i="42"/>
  <c r="BA15" i="42"/>
  <c r="C17" i="36"/>
  <c r="D17" i="36" s="1"/>
  <c r="H215" i="23"/>
  <c r="Z33" i="23" s="1"/>
  <c r="C18" i="36"/>
  <c r="D18" i="36" s="1"/>
  <c r="BA20" i="42"/>
  <c r="BG20" i="42"/>
  <c r="AY20" i="42"/>
  <c r="BC20" i="42"/>
  <c r="BE20" i="42"/>
  <c r="BC25" i="42"/>
  <c r="BE25" i="42"/>
  <c r="BI25" i="42"/>
  <c r="BG25" i="42"/>
  <c r="AY25" i="42"/>
  <c r="BA25" i="42"/>
  <c r="BA8" i="42"/>
  <c r="BI8" i="42"/>
  <c r="BK8" i="42"/>
  <c r="AY8" i="42"/>
  <c r="BC8" i="42"/>
  <c r="AU8" i="42"/>
  <c r="BG8" i="42"/>
  <c r="BE8" i="42"/>
  <c r="C15" i="36"/>
  <c r="D15" i="36" s="1"/>
  <c r="M44" i="39" l="1"/>
  <c r="W28" i="37"/>
  <c r="W32" i="37" s="1"/>
  <c r="Z23" i="37" s="1"/>
  <c r="AC24" i="37" s="1"/>
  <c r="AC5" i="37" s="1"/>
  <c r="AA87" i="23" s="1"/>
  <c r="AI87" i="23" s="1"/>
  <c r="J79" i="23" s="1"/>
  <c r="AJ23" i="23" s="1"/>
  <c r="B23" i="23" s="1"/>
  <c r="G17" i="44" s="1"/>
  <c r="F214" i="23"/>
  <c r="G214" i="23"/>
  <c r="F6" i="36"/>
  <c r="F10" i="36" s="1"/>
  <c r="AA179" i="23" s="1"/>
  <c r="AI179" i="23" s="1"/>
  <c r="D10" i="36"/>
  <c r="F19" i="36"/>
  <c r="P34" i="38"/>
  <c r="P75" i="38"/>
  <c r="S46" i="39"/>
  <c r="P46" i="39"/>
  <c r="J46" i="39" s="1"/>
  <c r="S44" i="39"/>
  <c r="P44" i="39"/>
  <c r="J44" i="39" s="1"/>
  <c r="H17" i="36"/>
  <c r="F17" i="36"/>
  <c r="H18" i="36"/>
  <c r="F18" i="36"/>
  <c r="P51" i="39"/>
  <c r="J51" i="39" s="1"/>
  <c r="S51" i="39"/>
  <c r="S58" i="39"/>
  <c r="P58" i="39"/>
  <c r="J58" i="39" s="1"/>
  <c r="S48" i="39"/>
  <c r="P48" i="39"/>
  <c r="J48" i="39" s="1"/>
  <c r="P56" i="39"/>
  <c r="J56" i="39" s="1"/>
  <c r="S56" i="39"/>
  <c r="F15" i="36"/>
  <c r="H15" i="36"/>
  <c r="D20" i="36"/>
  <c r="F16" i="36"/>
  <c r="H16" i="36"/>
  <c r="AK107" i="40"/>
  <c r="G42" i="39"/>
  <c r="S53" i="39"/>
  <c r="P53" i="39"/>
  <c r="J53" i="39" s="1"/>
  <c r="S57" i="39"/>
  <c r="P57" i="39"/>
  <c r="J57" i="39" s="1"/>
  <c r="I2" i="30"/>
  <c r="R2" i="38"/>
  <c r="H2" i="41"/>
  <c r="L2" i="39"/>
  <c r="AC2" i="37"/>
  <c r="Q2" i="42"/>
  <c r="AM2" i="40"/>
  <c r="J2" i="36"/>
  <c r="W2" i="27"/>
  <c r="A1" i="23"/>
  <c r="X2" i="27"/>
  <c r="R2" i="27" s="1"/>
  <c r="D25" i="42"/>
  <c r="R24" i="42" s="1"/>
  <c r="H17" i="44" l="1"/>
  <c r="I17" i="44" s="1"/>
  <c r="M45" i="39"/>
  <c r="M46" i="39" s="1"/>
  <c r="C11" i="36"/>
  <c r="AA180" i="23" s="1"/>
  <c r="J176" i="23" s="1"/>
  <c r="AJ31" i="23" s="1"/>
  <c r="B31" i="23" s="1"/>
  <c r="Q3" i="42"/>
  <c r="J1" i="42" s="1"/>
  <c r="AW14" i="42"/>
  <c r="AU14" i="42" s="1"/>
  <c r="AW18" i="42"/>
  <c r="AU18" i="42" s="1"/>
  <c r="AW26" i="42"/>
  <c r="AU26" i="42" s="1"/>
  <c r="AW27" i="42"/>
  <c r="AU27" i="42" s="1"/>
  <c r="AW21" i="42"/>
  <c r="AU21" i="42" s="1"/>
  <c r="AW16" i="42"/>
  <c r="AU16" i="42" s="1"/>
  <c r="AW23" i="42"/>
  <c r="AU23" i="42" s="1"/>
  <c r="AW28" i="42"/>
  <c r="AU28" i="42" s="1"/>
  <c r="B78" i="38"/>
  <c r="B71" i="38"/>
  <c r="R26" i="42"/>
  <c r="R25" i="42"/>
  <c r="G36" i="39"/>
  <c r="P42" i="39"/>
  <c r="J42" i="39" s="1"/>
  <c r="S42" i="39"/>
  <c r="X57" i="39"/>
  <c r="X53" i="39"/>
  <c r="X48" i="39"/>
  <c r="X46" i="39"/>
  <c r="H20" i="36"/>
  <c r="F22" i="36" s="1"/>
  <c r="X56" i="39"/>
  <c r="X44" i="39"/>
  <c r="F20" i="36"/>
  <c r="C22" i="36" s="1"/>
  <c r="X58" i="39"/>
  <c r="X51" i="39"/>
  <c r="L3" i="39"/>
  <c r="H1" i="39" s="1"/>
  <c r="AC3" i="37"/>
  <c r="R1" i="37" s="1"/>
  <c r="H3" i="41"/>
  <c r="D1" i="41" s="1"/>
  <c r="I3" i="30"/>
  <c r="E1" i="30" s="1"/>
  <c r="AM3" i="40"/>
  <c r="AC1" i="40" s="1"/>
  <c r="R3" i="38"/>
  <c r="J3" i="36"/>
  <c r="F1" i="36" s="1"/>
  <c r="W3" i="27"/>
  <c r="O1" i="27" s="1"/>
  <c r="M47" i="39" l="1"/>
  <c r="M48" i="39" s="1"/>
  <c r="T42" i="39"/>
  <c r="T141" i="39" s="1"/>
  <c r="C14" i="39" s="1"/>
  <c r="Q26" i="42"/>
  <c r="W26" i="42" s="1"/>
  <c r="E26" i="42" s="1"/>
  <c r="Q25" i="42"/>
  <c r="AW12" i="42"/>
  <c r="J22" i="36"/>
  <c r="G22" i="36" s="1"/>
  <c r="F181" i="23" s="1"/>
  <c r="Z31" i="23" s="1"/>
  <c r="BE14" i="42"/>
  <c r="BG14" i="42"/>
  <c r="AY14" i="42"/>
  <c r="BI14" i="42"/>
  <c r="BE18" i="42"/>
  <c r="BI18" i="42"/>
  <c r="AY18" i="42"/>
  <c r="BC18" i="42"/>
  <c r="BA18" i="42"/>
  <c r="BC26" i="42"/>
  <c r="AY26" i="42"/>
  <c r="BI26" i="42"/>
  <c r="BE26" i="42"/>
  <c r="BG26" i="42"/>
  <c r="BA26" i="42"/>
  <c r="AY27" i="42"/>
  <c r="BK27" i="42"/>
  <c r="BE27" i="42"/>
  <c r="BG27" i="42"/>
  <c r="BA27" i="42"/>
  <c r="BI27" i="42"/>
  <c r="BC27" i="42"/>
  <c r="BA16" i="42"/>
  <c r="BC16" i="42"/>
  <c r="AY16" i="42"/>
  <c r="BG16" i="42"/>
  <c r="BI16" i="42"/>
  <c r="BE23" i="42"/>
  <c r="BC23" i="42"/>
  <c r="BI23" i="42"/>
  <c r="BA23" i="42"/>
  <c r="AY23" i="42"/>
  <c r="BK23" i="42"/>
  <c r="BG23" i="42"/>
  <c r="BG21" i="42"/>
  <c r="BC21" i="42"/>
  <c r="BA21" i="42"/>
  <c r="BE21" i="42"/>
  <c r="AY21" i="42"/>
  <c r="AY28" i="42"/>
  <c r="BG28" i="42"/>
  <c r="BI28" i="42"/>
  <c r="BE28" i="42"/>
  <c r="BK28" i="42"/>
  <c r="X42" i="39"/>
  <c r="R139" i="39"/>
  <c r="G12" i="39" s="1"/>
  <c r="S138" i="39"/>
  <c r="H11" i="39" s="1"/>
  <c r="I11" i="39" s="1"/>
  <c r="S140" i="39"/>
  <c r="H13" i="39" s="1"/>
  <c r="I13" i="39" s="1"/>
  <c r="S143" i="39"/>
  <c r="H16" i="39" s="1"/>
  <c r="I16" i="39" s="1"/>
  <c r="R143" i="39"/>
  <c r="G16" i="39" s="1"/>
  <c r="S139" i="39"/>
  <c r="H12" i="39" s="1"/>
  <c r="I12" i="39" s="1"/>
  <c r="S141" i="39"/>
  <c r="H14" i="39" s="1"/>
  <c r="I14" i="39" s="1"/>
  <c r="R141" i="39"/>
  <c r="G14" i="39" s="1"/>
  <c r="R138" i="39"/>
  <c r="G11" i="39" s="1"/>
  <c r="S142" i="39"/>
  <c r="H15" i="39" s="1"/>
  <c r="I15" i="39" s="1"/>
  <c r="R140" i="39"/>
  <c r="G13" i="39" s="1"/>
  <c r="R142" i="39"/>
  <c r="G15" i="39" s="1"/>
  <c r="L1" i="38"/>
  <c r="L43" i="38"/>
  <c r="T140" i="39" l="1"/>
  <c r="C13" i="39" s="1"/>
  <c r="M49" i="39"/>
  <c r="M50" i="39" s="1"/>
  <c r="T143" i="39"/>
  <c r="C16" i="39" s="1"/>
  <c r="T138" i="39"/>
  <c r="C11" i="39" s="1"/>
  <c r="T139" i="39"/>
  <c r="C12" i="39" s="1"/>
  <c r="T142" i="39"/>
  <c r="C15" i="39" s="1"/>
  <c r="F25" i="42"/>
  <c r="F24" i="42"/>
  <c r="D100" i="42" s="1"/>
  <c r="N26" i="42"/>
  <c r="W25" i="42"/>
  <c r="E25" i="42" s="1"/>
  <c r="N25" i="42"/>
  <c r="J13" i="39"/>
  <c r="AU12" i="42"/>
  <c r="AE31" i="42" s="1"/>
  <c r="BK107" i="42"/>
  <c r="J15" i="39"/>
  <c r="J14" i="39"/>
  <c r="J11" i="39"/>
  <c r="J16" i="39"/>
  <c r="J12" i="39"/>
  <c r="BK12" i="42"/>
  <c r="BE12" i="42"/>
  <c r="BG12" i="42"/>
  <c r="AY12" i="42"/>
  <c r="AZ8" i="42" s="1"/>
  <c r="BC12" i="42"/>
  <c r="BI12" i="42"/>
  <c r="BA12" i="42"/>
  <c r="BA13" i="42"/>
  <c r="BC13" i="42"/>
  <c r="BC22" i="42"/>
  <c r="BI19" i="42"/>
  <c r="BK15" i="42"/>
  <c r="BK24" i="42"/>
  <c r="BK13" i="42"/>
  <c r="BK22" i="42"/>
  <c r="BE15" i="42"/>
  <c r="BK25" i="42"/>
  <c r="BA22" i="42"/>
  <c r="BK19" i="42"/>
  <c r="BK29" i="42"/>
  <c r="BI20" i="42"/>
  <c r="BK20" i="42"/>
  <c r="BK17" i="42"/>
  <c r="BG17" i="42"/>
  <c r="BG15" i="42"/>
  <c r="BI21" i="42"/>
  <c r="BE16" i="42"/>
  <c r="BK26" i="42"/>
  <c r="BG18" i="42"/>
  <c r="BA14" i="42"/>
  <c r="X138" i="39"/>
  <c r="F11" i="39" s="1"/>
  <c r="X139" i="39"/>
  <c r="F12" i="39" s="1"/>
  <c r="X141" i="39"/>
  <c r="F14" i="39" s="1"/>
  <c r="X142" i="39"/>
  <c r="F15" i="39" s="1"/>
  <c r="X143" i="39"/>
  <c r="F16" i="39" s="1"/>
  <c r="X140" i="39"/>
  <c r="F13" i="39" s="1"/>
  <c r="BA28" i="42"/>
  <c r="BK21" i="42"/>
  <c r="BK14" i="42"/>
  <c r="BC28" i="42"/>
  <c r="BK16" i="42"/>
  <c r="BK18" i="42"/>
  <c r="BC14" i="42"/>
  <c r="M51" i="39" l="1"/>
  <c r="B82" i="42"/>
  <c r="B83" i="42"/>
  <c r="B81" i="42"/>
  <c r="B85" i="42"/>
  <c r="B84" i="42"/>
  <c r="B80" i="42"/>
  <c r="BB9" i="42"/>
  <c r="BB8" i="42"/>
  <c r="BB10" i="42"/>
  <c r="AE44" i="42"/>
  <c r="AC44" i="42"/>
  <c r="U22" i="42"/>
  <c r="I22" i="42" s="1"/>
  <c r="AE22" i="42"/>
  <c r="AC22" i="42"/>
  <c r="U44" i="42"/>
  <c r="I44" i="42" s="1"/>
  <c r="BD8" i="42"/>
  <c r="BD9" i="42"/>
  <c r="BD10" i="42"/>
  <c r="BL11" i="42"/>
  <c r="BL10" i="42"/>
  <c r="BL8" i="42"/>
  <c r="BL9" i="42"/>
  <c r="BB74" i="42"/>
  <c r="BB12" i="42"/>
  <c r="BB96" i="42"/>
  <c r="BB19" i="42"/>
  <c r="BB85" i="42"/>
  <c r="BB88" i="42"/>
  <c r="BB91" i="42"/>
  <c r="BB64" i="42"/>
  <c r="BB70" i="42"/>
  <c r="BB44" i="42"/>
  <c r="BB48" i="42"/>
  <c r="BB86" i="42"/>
  <c r="BB17" i="42"/>
  <c r="BB56" i="42"/>
  <c r="BB62" i="42"/>
  <c r="BB73" i="42"/>
  <c r="BB58" i="42"/>
  <c r="BB46" i="42"/>
  <c r="BB59" i="42"/>
  <c r="BB83" i="42"/>
  <c r="BB28" i="42"/>
  <c r="BB51" i="42"/>
  <c r="BB11" i="42"/>
  <c r="BB71" i="42"/>
  <c r="BB90" i="42"/>
  <c r="BB38" i="42"/>
  <c r="BB31" i="42"/>
  <c r="BB33" i="42"/>
  <c r="BB92" i="42"/>
  <c r="BB57" i="42"/>
  <c r="BB23" i="42"/>
  <c r="BB99" i="42"/>
  <c r="BB41" i="42"/>
  <c r="BB93" i="42"/>
  <c r="BB87" i="42"/>
  <c r="BB95" i="42"/>
  <c r="BB13" i="42"/>
  <c r="BB49" i="42"/>
  <c r="BB67" i="42"/>
  <c r="BB84" i="42"/>
  <c r="BB79" i="42"/>
  <c r="BB75" i="42"/>
  <c r="BB63" i="42"/>
  <c r="BB36" i="42"/>
  <c r="BB16" i="42"/>
  <c r="BB40" i="42"/>
  <c r="BB101" i="42"/>
  <c r="BB72" i="42"/>
  <c r="BB102" i="42"/>
  <c r="BB105" i="42"/>
  <c r="BB29" i="42"/>
  <c r="BB106" i="42"/>
  <c r="BB69" i="42"/>
  <c r="BB22" i="42"/>
  <c r="BB35" i="42"/>
  <c r="BB80" i="42"/>
  <c r="BB26" i="42"/>
  <c r="BB107" i="42"/>
  <c r="BB77" i="42"/>
  <c r="BB55" i="42"/>
  <c r="BB30" i="42"/>
  <c r="BB82" i="42"/>
  <c r="BB104" i="42"/>
  <c r="BB97" i="42"/>
  <c r="BB20" i="42"/>
  <c r="BB47" i="42"/>
  <c r="BB78" i="42"/>
  <c r="BB54" i="42"/>
  <c r="BB60" i="42"/>
  <c r="BB32" i="42"/>
  <c r="BB61" i="42"/>
  <c r="BB53" i="42"/>
  <c r="BB100" i="42"/>
  <c r="BB14" i="42"/>
  <c r="BB81" i="42"/>
  <c r="BB43" i="42"/>
  <c r="BB25" i="42"/>
  <c r="BB52" i="42"/>
  <c r="BB39" i="42"/>
  <c r="BB24" i="42"/>
  <c r="BB37" i="42"/>
  <c r="BB98" i="42"/>
  <c r="BB34" i="42"/>
  <c r="BB76" i="42"/>
  <c r="BB65" i="42"/>
  <c r="BB42" i="42"/>
  <c r="BB68" i="42"/>
  <c r="BB27" i="42"/>
  <c r="BB21" i="42"/>
  <c r="BB94" i="42"/>
  <c r="BB89" i="42"/>
  <c r="BB103" i="42"/>
  <c r="BB45" i="42"/>
  <c r="BB66" i="42"/>
  <c r="BB15" i="42"/>
  <c r="BB50" i="42"/>
  <c r="BB18" i="42"/>
  <c r="AZ57" i="42"/>
  <c r="AZ67" i="42"/>
  <c r="AZ74" i="42"/>
  <c r="AZ32" i="42"/>
  <c r="AZ55" i="42"/>
  <c r="AZ76" i="42"/>
  <c r="AZ38" i="42"/>
  <c r="AZ107" i="42"/>
  <c r="AZ86" i="42"/>
  <c r="AZ24" i="42"/>
  <c r="AZ90" i="42"/>
  <c r="AZ79" i="42"/>
  <c r="AZ22" i="42"/>
  <c r="AZ96" i="42"/>
  <c r="AZ34" i="42"/>
  <c r="AZ92" i="42"/>
  <c r="AZ99" i="42"/>
  <c r="AZ104" i="42"/>
  <c r="AZ42" i="42"/>
  <c r="AZ83" i="42"/>
  <c r="AZ21" i="42"/>
  <c r="AZ50" i="42"/>
  <c r="AZ68" i="42"/>
  <c r="AZ103" i="42"/>
  <c r="AZ54" i="42"/>
  <c r="AZ85" i="42"/>
  <c r="AZ28" i="42"/>
  <c r="AZ37" i="42"/>
  <c r="AZ72" i="42"/>
  <c r="AZ16" i="42"/>
  <c r="AZ65" i="42"/>
  <c r="AZ19" i="42"/>
  <c r="AZ100" i="42"/>
  <c r="AZ51" i="42"/>
  <c r="AZ106" i="42"/>
  <c r="AZ101" i="42"/>
  <c r="AZ60" i="42"/>
  <c r="AZ15" i="42"/>
  <c r="AZ56" i="42"/>
  <c r="AZ27" i="42"/>
  <c r="AZ47" i="42"/>
  <c r="AZ9" i="42"/>
  <c r="AZ94" i="42"/>
  <c r="AZ64" i="42"/>
  <c r="AZ75" i="42"/>
  <c r="AZ89" i="42"/>
  <c r="AZ17" i="42"/>
  <c r="AZ52" i="42"/>
  <c r="AZ14" i="42"/>
  <c r="AZ63" i="42"/>
  <c r="AZ49" i="42"/>
  <c r="AZ80" i="42"/>
  <c r="AZ36" i="42"/>
  <c r="AZ45" i="42"/>
  <c r="AZ70" i="42"/>
  <c r="AZ40" i="42"/>
  <c r="AZ33" i="42"/>
  <c r="AZ48" i="42"/>
  <c r="AZ18" i="42"/>
  <c r="AZ105" i="42"/>
  <c r="AZ10" i="42"/>
  <c r="AZ13" i="42"/>
  <c r="AZ11" i="42"/>
  <c r="AZ44" i="42"/>
  <c r="AZ77" i="42"/>
  <c r="AZ25" i="42"/>
  <c r="AZ98" i="42"/>
  <c r="AZ66" i="42"/>
  <c r="AZ30" i="42"/>
  <c r="AZ82" i="42"/>
  <c r="AZ93" i="42"/>
  <c r="AZ20" i="42"/>
  <c r="AZ53" i="42"/>
  <c r="AZ97" i="42"/>
  <c r="AZ62" i="42"/>
  <c r="AZ91" i="42"/>
  <c r="AZ58" i="42"/>
  <c r="AZ59" i="42"/>
  <c r="AZ39" i="42"/>
  <c r="AZ29" i="42"/>
  <c r="AZ73" i="42"/>
  <c r="AZ23" i="42"/>
  <c r="AZ78" i="42"/>
  <c r="AZ69" i="42"/>
  <c r="AZ81" i="42"/>
  <c r="AZ31" i="42"/>
  <c r="AZ102" i="42"/>
  <c r="AZ43" i="42"/>
  <c r="AZ95" i="42"/>
  <c r="AZ41" i="42"/>
  <c r="AZ71" i="42"/>
  <c r="AZ84" i="42"/>
  <c r="AZ88" i="42"/>
  <c r="AZ26" i="42"/>
  <c r="AZ87" i="42"/>
  <c r="AZ61" i="42"/>
  <c r="AZ12" i="42"/>
  <c r="AZ35" i="42"/>
  <c r="AZ46" i="42"/>
  <c r="BJ74" i="42"/>
  <c r="BJ28" i="42"/>
  <c r="BJ9" i="42"/>
  <c r="BJ75" i="42"/>
  <c r="BJ23" i="42"/>
  <c r="BJ37" i="42"/>
  <c r="BJ40" i="42"/>
  <c r="BJ12" i="42"/>
  <c r="BJ102" i="42"/>
  <c r="BJ58" i="42"/>
  <c r="BJ92" i="42"/>
  <c r="BJ47" i="42"/>
  <c r="BJ70" i="42"/>
  <c r="BJ73" i="42"/>
  <c r="BJ68" i="42"/>
  <c r="BJ52" i="42"/>
  <c r="BJ42" i="42"/>
  <c r="BJ45" i="42"/>
  <c r="BJ14" i="42"/>
  <c r="BJ53" i="42"/>
  <c r="BJ80" i="42"/>
  <c r="BJ65" i="42"/>
  <c r="BJ48" i="42"/>
  <c r="BJ22" i="42"/>
  <c r="BJ29" i="42"/>
  <c r="BJ63" i="42"/>
  <c r="BJ46" i="42"/>
  <c r="BJ99" i="42"/>
  <c r="BJ93" i="42"/>
  <c r="BJ33" i="42"/>
  <c r="BJ10" i="42"/>
  <c r="BJ95" i="42"/>
  <c r="BJ34" i="42"/>
  <c r="BJ66" i="42"/>
  <c r="BJ87" i="42"/>
  <c r="BJ104" i="42"/>
  <c r="BJ32" i="42"/>
  <c r="BJ11" i="42"/>
  <c r="BJ49" i="42"/>
  <c r="BJ78" i="42"/>
  <c r="BJ39" i="42"/>
  <c r="BJ103" i="42"/>
  <c r="BJ94" i="42"/>
  <c r="BJ91" i="42"/>
  <c r="BJ88" i="42"/>
  <c r="BJ62" i="42"/>
  <c r="BJ86" i="42"/>
  <c r="BJ67" i="42"/>
  <c r="BJ54" i="42"/>
  <c r="BJ26" i="42"/>
  <c r="BJ50" i="42"/>
  <c r="BJ16" i="42"/>
  <c r="BJ41" i="42"/>
  <c r="BJ71" i="42"/>
  <c r="BJ35" i="42"/>
  <c r="BJ21" i="42"/>
  <c r="BJ24" i="42"/>
  <c r="BJ56" i="42"/>
  <c r="BJ64" i="42"/>
  <c r="BJ105" i="42"/>
  <c r="BJ18" i="42"/>
  <c r="BJ97" i="42"/>
  <c r="BJ77" i="42"/>
  <c r="BJ31" i="42"/>
  <c r="BJ72" i="42"/>
  <c r="BJ82" i="42"/>
  <c r="BJ30" i="42"/>
  <c r="BJ17" i="42"/>
  <c r="BJ69" i="42"/>
  <c r="BJ83" i="42"/>
  <c r="BJ84" i="42"/>
  <c r="BJ76" i="42"/>
  <c r="BJ101" i="42"/>
  <c r="BJ98" i="42"/>
  <c r="BJ60" i="42"/>
  <c r="BJ38" i="42"/>
  <c r="BJ51" i="42"/>
  <c r="BJ25" i="42"/>
  <c r="BJ89" i="42"/>
  <c r="BJ79" i="42"/>
  <c r="BJ13" i="42"/>
  <c r="BJ55" i="42"/>
  <c r="BJ44" i="42"/>
  <c r="BJ96" i="42"/>
  <c r="BJ90" i="42"/>
  <c r="BJ15" i="42"/>
  <c r="BJ8" i="42"/>
  <c r="BJ19" i="42"/>
  <c r="BJ59" i="42"/>
  <c r="BJ106" i="42"/>
  <c r="BJ107" i="42"/>
  <c r="BJ27" i="42"/>
  <c r="BJ81" i="42"/>
  <c r="BJ20" i="42"/>
  <c r="BJ43" i="42"/>
  <c r="BJ57" i="42"/>
  <c r="BJ85" i="42"/>
  <c r="BJ61" i="42"/>
  <c r="BJ36" i="42"/>
  <c r="BJ100" i="42"/>
  <c r="BH9" i="42"/>
  <c r="BH99" i="42"/>
  <c r="BH68" i="42"/>
  <c r="BH10" i="42"/>
  <c r="BH103" i="42"/>
  <c r="BH41" i="42"/>
  <c r="BH21" i="42"/>
  <c r="BH95" i="42"/>
  <c r="BH47" i="42"/>
  <c r="BH42" i="42"/>
  <c r="BH35" i="42"/>
  <c r="BH58" i="42"/>
  <c r="BH54" i="42"/>
  <c r="BH70" i="42"/>
  <c r="BH25" i="42"/>
  <c r="BH57" i="42"/>
  <c r="BH44" i="42"/>
  <c r="BH65" i="42"/>
  <c r="BH84" i="42"/>
  <c r="BH106" i="42"/>
  <c r="BH52" i="42"/>
  <c r="BH23" i="42"/>
  <c r="BH49" i="42"/>
  <c r="BH38" i="42"/>
  <c r="BH45" i="42"/>
  <c r="BH66" i="42"/>
  <c r="BH76" i="42"/>
  <c r="BH61" i="42"/>
  <c r="BH104" i="42"/>
  <c r="BH56" i="42"/>
  <c r="BH60" i="42"/>
  <c r="BH15" i="42"/>
  <c r="BH13" i="42"/>
  <c r="BH26" i="42"/>
  <c r="BH62" i="42"/>
  <c r="BH82" i="42"/>
  <c r="BH78" i="42"/>
  <c r="BH102" i="42"/>
  <c r="BH32" i="42"/>
  <c r="BH105" i="42"/>
  <c r="BH79" i="42"/>
  <c r="BH77" i="42"/>
  <c r="BH72" i="42"/>
  <c r="BH16" i="42"/>
  <c r="BH67" i="42"/>
  <c r="BH51" i="42"/>
  <c r="BH11" i="42"/>
  <c r="BH17" i="42"/>
  <c r="BH33" i="42"/>
  <c r="BH71" i="42"/>
  <c r="BH12" i="42"/>
  <c r="BH80" i="42"/>
  <c r="BH73" i="42"/>
  <c r="BH31" i="42"/>
  <c r="BH27" i="42"/>
  <c r="BH107" i="42"/>
  <c r="BH36" i="42"/>
  <c r="BH37" i="42"/>
  <c r="BH86" i="42"/>
  <c r="BH46" i="42"/>
  <c r="BH53" i="42"/>
  <c r="BH63" i="42"/>
  <c r="BH97" i="42"/>
  <c r="BH18" i="42"/>
  <c r="BH96" i="42"/>
  <c r="BH19" i="42"/>
  <c r="BH34" i="42"/>
  <c r="BH88" i="42"/>
  <c r="BH74" i="42"/>
  <c r="BH100" i="42"/>
  <c r="BH22" i="42"/>
  <c r="BH89" i="42"/>
  <c r="BH28" i="42"/>
  <c r="BH59" i="42"/>
  <c r="BH87" i="42"/>
  <c r="BH91" i="42"/>
  <c r="BH92" i="42"/>
  <c r="BH50" i="42"/>
  <c r="BH55" i="42"/>
  <c r="BH85" i="42"/>
  <c r="BH24" i="42"/>
  <c r="BH75" i="42"/>
  <c r="BH93" i="42"/>
  <c r="BH64" i="42"/>
  <c r="BH83" i="42"/>
  <c r="BH81" i="42"/>
  <c r="BH40" i="42"/>
  <c r="BH39" i="42"/>
  <c r="BH43" i="42"/>
  <c r="BH30" i="42"/>
  <c r="BH69" i="42"/>
  <c r="BH101" i="42"/>
  <c r="BH8" i="42"/>
  <c r="BH48" i="42"/>
  <c r="BH94" i="42"/>
  <c r="BH29" i="42"/>
  <c r="BH20" i="42"/>
  <c r="BH90" i="42"/>
  <c r="BH14" i="42"/>
  <c r="BH98" i="42"/>
  <c r="AE48" i="42"/>
  <c r="AC38" i="42"/>
  <c r="AC58" i="42"/>
  <c r="U60" i="42"/>
  <c r="I60" i="42" s="1"/>
  <c r="AC27" i="42"/>
  <c r="AC61" i="42"/>
  <c r="AC63" i="42"/>
  <c r="AE34" i="42"/>
  <c r="U68" i="42"/>
  <c r="I68" i="42" s="1"/>
  <c r="AE65" i="42"/>
  <c r="AC60" i="42"/>
  <c r="AE38" i="42"/>
  <c r="AE42" i="42"/>
  <c r="U59" i="42"/>
  <c r="I59" i="42" s="1"/>
  <c r="U46" i="42"/>
  <c r="I46" i="42" s="1"/>
  <c r="U30" i="42"/>
  <c r="AE27" i="42"/>
  <c r="AC56" i="42"/>
  <c r="AE66" i="42"/>
  <c r="AF56" i="42"/>
  <c r="AF71" i="42"/>
  <c r="AE56" i="42"/>
  <c r="AF59" i="42"/>
  <c r="U70" i="42"/>
  <c r="I70" i="42" s="1"/>
  <c r="AF68" i="42"/>
  <c r="U65" i="42"/>
  <c r="I65" i="42" s="1"/>
  <c r="U67" i="42"/>
  <c r="I67" i="42" s="1"/>
  <c r="AE43" i="42"/>
  <c r="AE62" i="42"/>
  <c r="AC47" i="42"/>
  <c r="U42" i="42"/>
  <c r="I42" i="42" s="1"/>
  <c r="AF70" i="42"/>
  <c r="U39" i="42"/>
  <c r="I39" i="42" s="1"/>
  <c r="AC39" i="42"/>
  <c r="AC62" i="42"/>
  <c r="AF55" i="42"/>
  <c r="AC30" i="42"/>
  <c r="AC57" i="42"/>
  <c r="AF67" i="42"/>
  <c r="U62" i="42"/>
  <c r="I62" i="42" s="1"/>
  <c r="AC65" i="42"/>
  <c r="AF61" i="42"/>
  <c r="AE47" i="42"/>
  <c r="AE64" i="42"/>
  <c r="AC72" i="42"/>
  <c r="AC66" i="42"/>
  <c r="AF53" i="42"/>
  <c r="U55" i="42"/>
  <c r="I55" i="42" s="1"/>
  <c r="AF57" i="42"/>
  <c r="AC45" i="42"/>
  <c r="AE59" i="42"/>
  <c r="AC70" i="42"/>
  <c r="AC26" i="42"/>
  <c r="AE60" i="42"/>
  <c r="U64" i="42"/>
  <c r="I64" i="42" s="1"/>
  <c r="U33" i="42"/>
  <c r="I33" i="42" s="1"/>
  <c r="AE52" i="42"/>
  <c r="AF52" i="42"/>
  <c r="AE53" i="42"/>
  <c r="U40" i="42"/>
  <c r="I40" i="42" s="1"/>
  <c r="U56" i="42"/>
  <c r="I56" i="42" s="1"/>
  <c r="AC55" i="42"/>
  <c r="AF69" i="42"/>
  <c r="U57" i="42"/>
  <c r="I57" i="42" s="1"/>
  <c r="AE45" i="42"/>
  <c r="AC40" i="42"/>
  <c r="AE46" i="42"/>
  <c r="U52" i="42"/>
  <c r="I52" i="42" s="1"/>
  <c r="U45" i="42"/>
  <c r="I45" i="42" s="1"/>
  <c r="AE35" i="42"/>
  <c r="U71" i="42"/>
  <c r="I71" i="42" s="1"/>
  <c r="AE67" i="42"/>
  <c r="U27" i="42"/>
  <c r="AD27" i="42" s="1"/>
  <c r="AC41" i="42"/>
  <c r="AE70" i="42"/>
  <c r="AC33" i="42"/>
  <c r="AE26" i="42"/>
  <c r="Q27" i="42" s="1"/>
  <c r="N27" i="42" s="1"/>
  <c r="AE63" i="42"/>
  <c r="AE69" i="42"/>
  <c r="AC46" i="42"/>
  <c r="U63" i="42"/>
  <c r="I63" i="42" s="1"/>
  <c r="AE72" i="42"/>
  <c r="AC69" i="42"/>
  <c r="AC64" i="42"/>
  <c r="AE41" i="42"/>
  <c r="AE55" i="42"/>
  <c r="AE58" i="42"/>
  <c r="AE39" i="42"/>
  <c r="AC54" i="42"/>
  <c r="U43" i="42"/>
  <c r="I43" i="42" s="1"/>
  <c r="AC53" i="42"/>
  <c r="AC43" i="42"/>
  <c r="U34" i="42"/>
  <c r="I34" i="42" s="1"/>
  <c r="AF60" i="42"/>
  <c r="AE30" i="42"/>
  <c r="AC52" i="42"/>
  <c r="U54" i="42"/>
  <c r="I54" i="42" s="1"/>
  <c r="AE33" i="42"/>
  <c r="AF64" i="42"/>
  <c r="AC67" i="42"/>
  <c r="AF63" i="42"/>
  <c r="AE61" i="42"/>
  <c r="U58" i="42"/>
  <c r="I58" i="42" s="1"/>
  <c r="U53" i="42"/>
  <c r="I53" i="42" s="1"/>
  <c r="AF66" i="42"/>
  <c r="AC42" i="42"/>
  <c r="U26" i="42"/>
  <c r="I26" i="42" s="1"/>
  <c r="AE57" i="42"/>
  <c r="U48" i="42"/>
  <c r="I48" i="42" s="1"/>
  <c r="AC71" i="42"/>
  <c r="U41" i="42"/>
  <c r="I41" i="42" s="1"/>
  <c r="AF58" i="42"/>
  <c r="U66" i="42"/>
  <c r="I66" i="42" s="1"/>
  <c r="AC59" i="42"/>
  <c r="AF34" i="42"/>
  <c r="AE71" i="42"/>
  <c r="U38" i="42"/>
  <c r="I38" i="42" s="1"/>
  <c r="AC68" i="42"/>
  <c r="AC48" i="42"/>
  <c r="U47" i="42"/>
  <c r="I47" i="42" s="1"/>
  <c r="AE68" i="42"/>
  <c r="U72" i="42"/>
  <c r="I72" i="42" s="1"/>
  <c r="AE54" i="42"/>
  <c r="AF65" i="42"/>
  <c r="U69" i="42"/>
  <c r="I69" i="42" s="1"/>
  <c r="AE40" i="42"/>
  <c r="AF54" i="42"/>
  <c r="AF72" i="42"/>
  <c r="U61" i="42"/>
  <c r="I61" i="42" s="1"/>
  <c r="AF62" i="42"/>
  <c r="BF81" i="42"/>
  <c r="BF75" i="42"/>
  <c r="BF88" i="42"/>
  <c r="BF70" i="42"/>
  <c r="BF33" i="42"/>
  <c r="BF52" i="42"/>
  <c r="BF60" i="42"/>
  <c r="BF48" i="42"/>
  <c r="BF14" i="42"/>
  <c r="BF86" i="42"/>
  <c r="BF80" i="42"/>
  <c r="BF51" i="42"/>
  <c r="BF8" i="42"/>
  <c r="BF97" i="42"/>
  <c r="BF71" i="42"/>
  <c r="BF28" i="42"/>
  <c r="BF76" i="42"/>
  <c r="BF16" i="42"/>
  <c r="BF24" i="42"/>
  <c r="BF32" i="42"/>
  <c r="BF40" i="42"/>
  <c r="BF89" i="42"/>
  <c r="BF21" i="42"/>
  <c r="BF27" i="42"/>
  <c r="BF53" i="42"/>
  <c r="BF79" i="42"/>
  <c r="BF29" i="42"/>
  <c r="BF96" i="42"/>
  <c r="BF11" i="42"/>
  <c r="BF25" i="42"/>
  <c r="BF58" i="42"/>
  <c r="BF92" i="42"/>
  <c r="BF35" i="42"/>
  <c r="BF20" i="42"/>
  <c r="BF82" i="42"/>
  <c r="BF43" i="42"/>
  <c r="BF72" i="42"/>
  <c r="BF85" i="42"/>
  <c r="BF83" i="42"/>
  <c r="BF78" i="42"/>
  <c r="BF74" i="42"/>
  <c r="BF99" i="42"/>
  <c r="BF100" i="42"/>
  <c r="BF56" i="42"/>
  <c r="BF38" i="42"/>
  <c r="BF65" i="42"/>
  <c r="BF101" i="42"/>
  <c r="BF42" i="42"/>
  <c r="BF90" i="42"/>
  <c r="BF34" i="42"/>
  <c r="BF107" i="42"/>
  <c r="BF23" i="42"/>
  <c r="BF94" i="42"/>
  <c r="BF12" i="42"/>
  <c r="BF73" i="42"/>
  <c r="BF9" i="42"/>
  <c r="BF10" i="42"/>
  <c r="BF54" i="42"/>
  <c r="BF102" i="42"/>
  <c r="BF87" i="42"/>
  <c r="BF47" i="42"/>
  <c r="BF98" i="42"/>
  <c r="BF67" i="42"/>
  <c r="BF37" i="42"/>
  <c r="BF17" i="42"/>
  <c r="BF19" i="42"/>
  <c r="BF50" i="42"/>
  <c r="BF36" i="42"/>
  <c r="BF91" i="42"/>
  <c r="BF68" i="42"/>
  <c r="BF59" i="42"/>
  <c r="BF106" i="42"/>
  <c r="BF44" i="42"/>
  <c r="BF45" i="42"/>
  <c r="BF18" i="42"/>
  <c r="BF26" i="42"/>
  <c r="BF61" i="42"/>
  <c r="BF63" i="42"/>
  <c r="BF69" i="42"/>
  <c r="BF22" i="42"/>
  <c r="BF31" i="42"/>
  <c r="BF46" i="42"/>
  <c r="BF57" i="42"/>
  <c r="BF77" i="42"/>
  <c r="BF39" i="42"/>
  <c r="BF41" i="42"/>
  <c r="BF93" i="42"/>
  <c r="BF84" i="42"/>
  <c r="BF104" i="42"/>
  <c r="BF66" i="42"/>
  <c r="BF55" i="42"/>
  <c r="BF64" i="42"/>
  <c r="BF105" i="42"/>
  <c r="BF30" i="42"/>
  <c r="BF49" i="42"/>
  <c r="BF62" i="42"/>
  <c r="BF103" i="42"/>
  <c r="BF95" i="42"/>
  <c r="BF13" i="42"/>
  <c r="BF15" i="42"/>
  <c r="BD92" i="42"/>
  <c r="BD38" i="42"/>
  <c r="BD40" i="42"/>
  <c r="BD85" i="42"/>
  <c r="BD105" i="42"/>
  <c r="BD42" i="42"/>
  <c r="BD80" i="42"/>
  <c r="BD58" i="42"/>
  <c r="BD35" i="42"/>
  <c r="BD30" i="42"/>
  <c r="BD13" i="42"/>
  <c r="BD23" i="42"/>
  <c r="BD72" i="42"/>
  <c r="BD76" i="42"/>
  <c r="BD37" i="42"/>
  <c r="BD20" i="42"/>
  <c r="BD53" i="42"/>
  <c r="BD56" i="42"/>
  <c r="BD93" i="42"/>
  <c r="BD71" i="42"/>
  <c r="BD48" i="42"/>
  <c r="BD84" i="42"/>
  <c r="BD91" i="42"/>
  <c r="BD67" i="42"/>
  <c r="BD83" i="42"/>
  <c r="BD18" i="42"/>
  <c r="BD90" i="42"/>
  <c r="BD74" i="42"/>
  <c r="BD106" i="42"/>
  <c r="BD88" i="42"/>
  <c r="BD62" i="42"/>
  <c r="BD68" i="42"/>
  <c r="BD15" i="42"/>
  <c r="BD43" i="42"/>
  <c r="BD81" i="42"/>
  <c r="BD32" i="42"/>
  <c r="BD82" i="42"/>
  <c r="BD78" i="42"/>
  <c r="BD22" i="42"/>
  <c r="BD51" i="42"/>
  <c r="BD59" i="42"/>
  <c r="BD66" i="42"/>
  <c r="BD31" i="42"/>
  <c r="BD64" i="42"/>
  <c r="BD34" i="42"/>
  <c r="BD41" i="42"/>
  <c r="BD39" i="42"/>
  <c r="BD46" i="42"/>
  <c r="BD44" i="42"/>
  <c r="BD45" i="42"/>
  <c r="BD94" i="42"/>
  <c r="BD12" i="42"/>
  <c r="BD29" i="42"/>
  <c r="BD75" i="42"/>
  <c r="BD95" i="42"/>
  <c r="BD57" i="42"/>
  <c r="BD16" i="42"/>
  <c r="BD99" i="42"/>
  <c r="BD28" i="42"/>
  <c r="BD49" i="42"/>
  <c r="BD36" i="42"/>
  <c r="BD86" i="42"/>
  <c r="BD24" i="42"/>
  <c r="BD63" i="42"/>
  <c r="BD98" i="42"/>
  <c r="BD104" i="42"/>
  <c r="BD19" i="42"/>
  <c r="BD100" i="42"/>
  <c r="BD33" i="42"/>
  <c r="BD69" i="42"/>
  <c r="BD27" i="42"/>
  <c r="BD103" i="42"/>
  <c r="BD79" i="42"/>
  <c r="BD61" i="42"/>
  <c r="BD60" i="42"/>
  <c r="BD25" i="42"/>
  <c r="BD89" i="42"/>
  <c r="BD55" i="42"/>
  <c r="BD11" i="42"/>
  <c r="BD102" i="42"/>
  <c r="BD97" i="42"/>
  <c r="BD70" i="42"/>
  <c r="BD21" i="42"/>
  <c r="BD107" i="42"/>
  <c r="BD87" i="42"/>
  <c r="BD47" i="42"/>
  <c r="BD54" i="42"/>
  <c r="BD17" i="42"/>
  <c r="BD52" i="42"/>
  <c r="BD96" i="42"/>
  <c r="BD77" i="42"/>
  <c r="BD50" i="42"/>
  <c r="BD65" i="42"/>
  <c r="BD101" i="42"/>
  <c r="BD73" i="42"/>
  <c r="BD14" i="42"/>
  <c r="BD26" i="42"/>
  <c r="BL12" i="42"/>
  <c r="BL107" i="42"/>
  <c r="BL37" i="42"/>
  <c r="BL52" i="42"/>
  <c r="BL16" i="42"/>
  <c r="BL97" i="42"/>
  <c r="BL53" i="42"/>
  <c r="BL102" i="42"/>
  <c r="BL73" i="42"/>
  <c r="BL21" i="42"/>
  <c r="BL104" i="42"/>
  <c r="BL90" i="42"/>
  <c r="BL45" i="42"/>
  <c r="BL17" i="42"/>
  <c r="BL94" i="42"/>
  <c r="BL75" i="42"/>
  <c r="BL44" i="42"/>
  <c r="BL13" i="42"/>
  <c r="BL46" i="42"/>
  <c r="BL67" i="42"/>
  <c r="BL19" i="42"/>
  <c r="BL28" i="42"/>
  <c r="BL83" i="42"/>
  <c r="BL58" i="42"/>
  <c r="BL22" i="42"/>
  <c r="BL95" i="42"/>
  <c r="BL36" i="42"/>
  <c r="BL87" i="42"/>
  <c r="BL25" i="42"/>
  <c r="BL101" i="42"/>
  <c r="BL88" i="42"/>
  <c r="BL32" i="42"/>
  <c r="BL62" i="42"/>
  <c r="BL23" i="42"/>
  <c r="BL48" i="42"/>
  <c r="BL15" i="42"/>
  <c r="BL65" i="42"/>
  <c r="BL64" i="42"/>
  <c r="BL40" i="42"/>
  <c r="BL27" i="42"/>
  <c r="BL98" i="42"/>
  <c r="BL49" i="42"/>
  <c r="BL78" i="42"/>
  <c r="BL84" i="42"/>
  <c r="BL35" i="42"/>
  <c r="BL55" i="42"/>
  <c r="BL106" i="42"/>
  <c r="BL24" i="42"/>
  <c r="BL100" i="42"/>
  <c r="BL29" i="42"/>
  <c r="BL30" i="42"/>
  <c r="BL51" i="42"/>
  <c r="BL71" i="42"/>
  <c r="BL56" i="42"/>
  <c r="BL86" i="42"/>
  <c r="BL14" i="42"/>
  <c r="BL99" i="42"/>
  <c r="BL91" i="42"/>
  <c r="BL18" i="42"/>
  <c r="BL38" i="42"/>
  <c r="BL42" i="42"/>
  <c r="BL60" i="42"/>
  <c r="BL72" i="42"/>
  <c r="BL54" i="42"/>
  <c r="BL89" i="42"/>
  <c r="BL20" i="42"/>
  <c r="BL79" i="42"/>
  <c r="BL39" i="42"/>
  <c r="BL26" i="42"/>
  <c r="BL34" i="42"/>
  <c r="BL96" i="42"/>
  <c r="BL47" i="42"/>
  <c r="BL105" i="42"/>
  <c r="BL57" i="42"/>
  <c r="BL43" i="42"/>
  <c r="BL33" i="42"/>
  <c r="BL66" i="42"/>
  <c r="BL61" i="42"/>
  <c r="BL93" i="42"/>
  <c r="BL70" i="42"/>
  <c r="BL76" i="42"/>
  <c r="BL63" i="42"/>
  <c r="BL77" i="42"/>
  <c r="BL50" i="42"/>
  <c r="BL92" i="42"/>
  <c r="BL68" i="42"/>
  <c r="BL74" i="42"/>
  <c r="BL103" i="42"/>
  <c r="BL59" i="42"/>
  <c r="BL31" i="42"/>
  <c r="BL82" i="42"/>
  <c r="BL85" i="42"/>
  <c r="BL69" i="42"/>
  <c r="BL41" i="42"/>
  <c r="BL81" i="42"/>
  <c r="BL80" i="42"/>
  <c r="X52" i="42"/>
  <c r="X43" i="42"/>
  <c r="X46" i="42"/>
  <c r="X41" i="42"/>
  <c r="X27" i="42"/>
  <c r="X47" i="42"/>
  <c r="X69" i="42"/>
  <c r="X70" i="42"/>
  <c r="X66" i="42"/>
  <c r="X30" i="42"/>
  <c r="X38" i="42"/>
  <c r="X42" i="42"/>
  <c r="X62" i="42"/>
  <c r="X54" i="42"/>
  <c r="X72" i="42"/>
  <c r="X67" i="42"/>
  <c r="X33" i="42"/>
  <c r="X53" i="42"/>
  <c r="X61" i="42"/>
  <c r="X55" i="42"/>
  <c r="X68" i="42"/>
  <c r="X45" i="42"/>
  <c r="X58" i="42"/>
  <c r="X60" i="42"/>
  <c r="X34" i="42"/>
  <c r="X59" i="42"/>
  <c r="X56" i="42"/>
  <c r="X39" i="42"/>
  <c r="X57" i="42"/>
  <c r="X64" i="42"/>
  <c r="X44" i="42"/>
  <c r="X71" i="42"/>
  <c r="X63" i="42"/>
  <c r="X40" i="42"/>
  <c r="X65" i="42"/>
  <c r="X22" i="42"/>
  <c r="X48" i="42"/>
  <c r="X26" i="42"/>
  <c r="M52" i="39" l="1"/>
  <c r="H80" i="42"/>
  <c r="N90" i="42" s="1"/>
  <c r="O90" i="42" s="1"/>
  <c r="Y48" i="42"/>
  <c r="R27" i="42"/>
  <c r="W27" i="42" s="1"/>
  <c r="Y53" i="42"/>
  <c r="Y69" i="42"/>
  <c r="Y62" i="42"/>
  <c r="Y60" i="42"/>
  <c r="Y63" i="42"/>
  <c r="Y58" i="42"/>
  <c r="Y59" i="42"/>
  <c r="Y71" i="42"/>
  <c r="Y41" i="42"/>
  <c r="Y45" i="42"/>
  <c r="Y39" i="42"/>
  <c r="Y47" i="42"/>
  <c r="Y56" i="42"/>
  <c r="Y61" i="42"/>
  <c r="Y38" i="42"/>
  <c r="Y42" i="42"/>
  <c r="Y40" i="42"/>
  <c r="Y57" i="42"/>
  <c r="Y54" i="42"/>
  <c r="Y26" i="42"/>
  <c r="Y72" i="42"/>
  <c r="Y65" i="42"/>
  <c r="Y30" i="42"/>
  <c r="Y27" i="42"/>
  <c r="Y44" i="42"/>
  <c r="Y68" i="42"/>
  <c r="Y55" i="42"/>
  <c r="Y66" i="42"/>
  <c r="Y67" i="42"/>
  <c r="Y52" i="42"/>
  <c r="Y43" i="42"/>
  <c r="Y64" i="42"/>
  <c r="Y46" i="42"/>
  <c r="Y33" i="42"/>
  <c r="Y70" i="42"/>
  <c r="Y22" i="42"/>
  <c r="Y31" i="42"/>
  <c r="J31" i="42" s="1"/>
  <c r="Y34" i="42"/>
  <c r="Y35" i="42"/>
  <c r="J35" i="42" s="1"/>
  <c r="Y73" i="42"/>
  <c r="I30" i="42"/>
  <c r="AJ30" i="42"/>
  <c r="AD22" i="42"/>
  <c r="AD44" i="42"/>
  <c r="AD47" i="42"/>
  <c r="AD53" i="42"/>
  <c r="J33" i="42"/>
  <c r="AD52" i="42"/>
  <c r="AD57" i="42"/>
  <c r="AD40" i="42"/>
  <c r="AD33" i="42"/>
  <c r="AD55" i="42"/>
  <c r="AD62" i="42"/>
  <c r="AD70" i="42"/>
  <c r="AD30" i="42"/>
  <c r="AD60" i="42"/>
  <c r="C85" i="42"/>
  <c r="C82" i="42"/>
  <c r="C84" i="42"/>
  <c r="C83" i="42"/>
  <c r="C81" i="42"/>
  <c r="AD41" i="42"/>
  <c r="AD26" i="42"/>
  <c r="AD58" i="42"/>
  <c r="AD71" i="42"/>
  <c r="AD64" i="42"/>
  <c r="AD42" i="42"/>
  <c r="AD67" i="42"/>
  <c r="AD46" i="42"/>
  <c r="D85" i="42"/>
  <c r="D83" i="42"/>
  <c r="D82" i="42"/>
  <c r="D84" i="42"/>
  <c r="AD65" i="42"/>
  <c r="AD59" i="42"/>
  <c r="AD72" i="42"/>
  <c r="AD43" i="42"/>
  <c r="AD61" i="42"/>
  <c r="AD69" i="42"/>
  <c r="AD38" i="42"/>
  <c r="AD66" i="42"/>
  <c r="AD48" i="42"/>
  <c r="AJ48" i="42"/>
  <c r="AD54" i="42"/>
  <c r="AD34" i="42"/>
  <c r="AD63" i="42"/>
  <c r="AD45" i="42"/>
  <c r="AD56" i="42"/>
  <c r="J22" i="42"/>
  <c r="AI22" i="42" s="1"/>
  <c r="J73" i="42"/>
  <c r="AD39" i="42"/>
  <c r="AD68" i="42"/>
  <c r="J27" i="42"/>
  <c r="M53" i="39" l="1"/>
  <c r="M54" i="39" s="1"/>
  <c r="H83" i="42"/>
  <c r="H84" i="42"/>
  <c r="H82" i="42"/>
  <c r="H85" i="42"/>
  <c r="N106" i="42" s="1"/>
  <c r="O106" i="42" s="1"/>
  <c r="J26" i="42"/>
  <c r="I27" i="42"/>
  <c r="D27" i="42"/>
  <c r="AI35" i="42"/>
  <c r="AJ35" i="42" s="1"/>
  <c r="AI31" i="42"/>
  <c r="AJ31" i="42" s="1"/>
  <c r="AI73" i="42"/>
  <c r="M73" i="42" s="1"/>
  <c r="M22" i="42"/>
  <c r="AI27" i="42"/>
  <c r="M27" i="42" s="1"/>
  <c r="L101" i="42" s="1"/>
  <c r="AI33" i="42"/>
  <c r="M33" i="42" s="1"/>
  <c r="M55" i="39" l="1"/>
  <c r="M56" i="39" s="1"/>
  <c r="M57" i="39" s="1"/>
  <c r="M58" i="39" s="1"/>
  <c r="M59" i="39" s="1"/>
  <c r="M60" i="39" s="1"/>
  <c r="M61" i="39" s="1"/>
  <c r="M62" i="39" s="1"/>
  <c r="M63" i="39" s="1"/>
  <c r="M64" i="39" s="1"/>
  <c r="M65" i="39" s="1"/>
  <c r="M66" i="39" s="1"/>
  <c r="M67" i="39" s="1"/>
  <c r="M68" i="39" s="1"/>
  <c r="M69" i="39" s="1"/>
  <c r="M70" i="39" s="1"/>
  <c r="M71" i="39" s="1"/>
  <c r="M72" i="39" s="1"/>
  <c r="M73" i="39" s="1"/>
  <c r="M74" i="39" s="1"/>
  <c r="M75" i="39" s="1"/>
  <c r="M76" i="39" s="1"/>
  <c r="M77" i="39" s="1"/>
  <c r="M78" i="39" s="1"/>
  <c r="M79" i="39" s="1"/>
  <c r="M80" i="39" s="1"/>
  <c r="M81" i="39" s="1"/>
  <c r="M82" i="39" s="1"/>
  <c r="M83" i="39" s="1"/>
  <c r="M84" i="39" s="1"/>
  <c r="M85" i="39" s="1"/>
  <c r="M86" i="39" s="1"/>
  <c r="M87" i="39" s="1"/>
  <c r="M88" i="39" s="1"/>
  <c r="M89" i="39" s="1"/>
  <c r="M90" i="39" s="1"/>
  <c r="M91" i="39" s="1"/>
  <c r="M92" i="39" s="1"/>
  <c r="M93" i="39" s="1"/>
  <c r="M94" i="39" s="1"/>
  <c r="M95" i="39" s="1"/>
  <c r="M96" i="39" s="1"/>
  <c r="M97" i="39" s="1"/>
  <c r="M98" i="39" s="1"/>
  <c r="M99" i="39" s="1"/>
  <c r="M100" i="39" s="1"/>
  <c r="M101" i="39" s="1"/>
  <c r="M102" i="39" s="1"/>
  <c r="M103" i="39" s="1"/>
  <c r="M104" i="39" s="1"/>
  <c r="M105" i="39" s="1"/>
  <c r="M106" i="39" s="1"/>
  <c r="M107" i="39" s="1"/>
  <c r="M108" i="39" s="1"/>
  <c r="M109" i="39" s="1"/>
  <c r="M110" i="39" s="1"/>
  <c r="M111" i="39" s="1"/>
  <c r="M112" i="39" s="1"/>
  <c r="M113" i="39" s="1"/>
  <c r="M114" i="39" s="1"/>
  <c r="M115" i="39" s="1"/>
  <c r="M116" i="39" s="1"/>
  <c r="M117" i="39" s="1"/>
  <c r="M118" i="39" s="1"/>
  <c r="M119" i="39" s="1"/>
  <c r="M120" i="39" s="1"/>
  <c r="M121" i="39" s="1"/>
  <c r="M122" i="39" s="1"/>
  <c r="M123" i="39" s="1"/>
  <c r="M124" i="39" s="1"/>
  <c r="M125" i="39" s="1"/>
  <c r="M126" i="39" s="1"/>
  <c r="M127" i="39" s="1"/>
  <c r="M128" i="39" s="1"/>
  <c r="M129" i="39" s="1"/>
  <c r="M130" i="39" s="1"/>
  <c r="M131" i="39" s="1"/>
  <c r="M132" i="39" s="1"/>
  <c r="M133" i="39" s="1"/>
  <c r="M134" i="39" s="1"/>
  <c r="M135" i="39" s="1"/>
  <c r="M136" i="39" s="1"/>
  <c r="M137" i="39" s="1"/>
  <c r="AI26" i="42"/>
  <c r="AJ26" i="42" s="1"/>
  <c r="M26" i="42" s="1"/>
  <c r="L100" i="42" s="1"/>
  <c r="M92" i="42" s="1"/>
  <c r="N103" i="42"/>
  <c r="O103" i="42" s="1"/>
  <c r="AJ73" i="42"/>
  <c r="L73" i="42"/>
  <c r="AJ27" i="42"/>
  <c r="L27" i="42"/>
  <c r="N73" i="42"/>
  <c r="AG73" i="42"/>
  <c r="D81" i="42" s="1"/>
  <c r="L33" i="42"/>
  <c r="AJ33" i="42"/>
  <c r="L22" i="42"/>
  <c r="AJ22" i="42"/>
  <c r="L26" i="42" l="1"/>
  <c r="H81" i="42"/>
  <c r="N92" i="42" s="1"/>
  <c r="O92" i="42" s="1"/>
  <c r="S37" i="42" s="1"/>
  <c r="S31" i="42"/>
  <c r="S28" i="42" s="1"/>
  <c r="S48" i="42"/>
  <c r="S29" i="42"/>
  <c r="S30" i="42"/>
  <c r="S22" i="42"/>
  <c r="O22" i="42" s="1"/>
  <c r="AA162" i="23" l="1"/>
  <c r="AI162" i="23" s="1"/>
  <c r="J146" i="23" s="1"/>
  <c r="AJ30" i="23" s="1"/>
  <c r="B30" i="23" s="1"/>
  <c r="G20" i="44" s="1"/>
  <c r="H20" i="44" s="1"/>
  <c r="I20" i="44" s="1"/>
  <c r="S38" i="42"/>
  <c r="O38" i="42" s="1"/>
  <c r="S25" i="42"/>
  <c r="S26" i="42"/>
  <c r="S24" i="42" s="1"/>
  <c r="O24" i="42" s="1"/>
  <c r="S27" i="42"/>
  <c r="O27" i="42" s="1"/>
  <c r="O35" i="42"/>
  <c r="S23" i="42"/>
  <c r="O23" i="42" s="1"/>
  <c r="O28" i="42"/>
  <c r="O33" i="42"/>
  <c r="AE55" i="23" l="1"/>
  <c r="AJ55" i="23" s="1"/>
  <c r="O37" i="42"/>
  <c r="AA69" i="23" l="1"/>
  <c r="AI69" i="23" s="1"/>
  <c r="J66" i="23" s="1"/>
  <c r="AJ22" i="23" s="1"/>
  <c r="B22" i="23" l="1"/>
  <c r="G16" i="44" s="1"/>
  <c r="H16" i="44" s="1"/>
  <c r="AL37" i="23"/>
  <c r="N105" i="42"/>
  <c r="O105" i="42" s="1"/>
  <c r="I16" i="44" l="1"/>
  <c r="S34" i="42"/>
  <c r="S33" i="42"/>
  <c r="S35" i="42"/>
  <c r="S32" i="42"/>
  <c r="O32" i="42" s="1"/>
  <c r="B36" i="44" a="1"/>
  <c r="B24" i="44" a="1"/>
  <c r="B30" i="44" a="1"/>
  <c r="B15" i="44" a="1"/>
  <c r="B39" i="44" a="1"/>
  <c r="B33" i="44" a="1"/>
  <c r="B21" i="44" a="1"/>
  <c r="B27" i="44" a="1"/>
  <c r="B18" i="44" a="1"/>
  <c r="B27" i="44" l="1"/>
  <c r="D28" i="44" s="1"/>
  <c r="D30" i="44" s="1"/>
  <c r="B24" i="44"/>
  <c r="D25" i="44" s="1"/>
  <c r="D27" i="44" s="1"/>
  <c r="B18" i="44"/>
  <c r="D19" i="44" s="1"/>
  <c r="D21" i="44" s="1"/>
  <c r="B15" i="44"/>
  <c r="B21" i="44"/>
  <c r="D22" i="44" s="1"/>
  <c r="D24" i="44" s="1"/>
  <c r="B36" i="44"/>
  <c r="D37" i="44" s="1"/>
  <c r="D39" i="44" s="1"/>
  <c r="B33" i="44"/>
  <c r="D34" i="44" s="1"/>
  <c r="D36" i="44" s="1"/>
  <c r="B30" i="44"/>
  <c r="D31" i="44" s="1"/>
  <c r="D33" i="44" s="1"/>
  <c r="B39" i="44"/>
  <c r="D40" i="44" s="1"/>
  <c r="D42" i="44" s="1"/>
  <c r="AE51" i="23"/>
  <c r="AJ51" i="23" s="1"/>
  <c r="J49" i="23" s="1"/>
  <c r="AI18" i="23" s="1"/>
  <c r="B18" i="23" s="1"/>
  <c r="C18" i="44" l="1"/>
  <c r="C24" i="44"/>
  <c r="D20" i="44"/>
  <c r="C26" i="44"/>
  <c r="C21" i="44"/>
  <c r="C23" i="44"/>
  <c r="C35" i="44"/>
  <c r="C34" i="44"/>
  <c r="C31" i="44"/>
  <c r="C39" i="44"/>
  <c r="C27" i="44"/>
  <c r="C16" i="44"/>
  <c r="C37" i="44"/>
  <c r="C36" i="44"/>
  <c r="D38" i="44"/>
  <c r="C17" i="44"/>
  <c r="C32" i="44"/>
  <c r="D16" i="44"/>
  <c r="D18" i="44" s="1"/>
  <c r="C19" i="44"/>
  <c r="C30" i="44"/>
  <c r="C29" i="44"/>
  <c r="C28" i="44"/>
  <c r="C40" i="44"/>
  <c r="C15" i="44"/>
  <c r="D29" i="44"/>
  <c r="C38" i="44"/>
  <c r="C20" i="44"/>
  <c r="C41" i="44"/>
  <c r="C33" i="44"/>
  <c r="C22" i="44"/>
  <c r="C25" i="44"/>
  <c r="D23" i="44"/>
  <c r="D35" i="44"/>
  <c r="D26" i="44"/>
  <c r="D41" i="44"/>
  <c r="D32" i="44"/>
  <c r="D17" i="4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<sst xmlns="http://schemas.openxmlformats.org/spreadsheetml/2006/main" count="2486" uniqueCount="1075">
  <si>
    <t>利用定員</t>
    <rPh sb="0" eb="2">
      <t>リヨウ</t>
    </rPh>
    <rPh sb="2" eb="4">
      <t>テイイン</t>
    </rPh>
    <phoneticPr fontId="1"/>
  </si>
  <si>
    <t>合計</t>
    <rPh sb="0" eb="2">
      <t>ゴウケイ</t>
    </rPh>
    <phoneticPr fontId="1"/>
  </si>
  <si>
    <t>施設名</t>
    <rPh sb="0" eb="2">
      <t>シセツ</t>
    </rPh>
    <rPh sb="2" eb="3">
      <t>メイ</t>
    </rPh>
    <phoneticPr fontId="1"/>
  </si>
  <si>
    <t>施設名</t>
    <rPh sb="0" eb="2">
      <t>シセツ</t>
    </rPh>
    <rPh sb="2" eb="3">
      <t>メイ</t>
    </rPh>
    <phoneticPr fontId="3"/>
  </si>
  <si>
    <t>2号</t>
    <rPh sb="1" eb="2">
      <t>ゴウ</t>
    </rPh>
    <phoneticPr fontId="1"/>
  </si>
  <si>
    <t>3号</t>
    <rPh sb="1" eb="2">
      <t>ゴウ</t>
    </rPh>
    <phoneticPr fontId="1"/>
  </si>
  <si>
    <t>その他</t>
    <rPh sb="2" eb="3">
      <t>タ</t>
    </rPh>
    <phoneticPr fontId="1"/>
  </si>
  <si>
    <t>常勤</t>
    <rPh sb="0" eb="2">
      <t>ジョウキン</t>
    </rPh>
    <phoneticPr fontId="1"/>
  </si>
  <si>
    <t>非常勤</t>
    <rPh sb="0" eb="3">
      <t>ヒジョウキン</t>
    </rPh>
    <phoneticPr fontId="1"/>
  </si>
  <si>
    <t>職員名簿</t>
  </si>
  <si>
    <t>年</t>
    <rPh sb="0" eb="1">
      <t>ネン</t>
    </rPh>
    <phoneticPr fontId="1"/>
  </si>
  <si>
    <t>施設・事業所名</t>
    <rPh sb="0" eb="2">
      <t>シセツ</t>
    </rPh>
    <rPh sb="3" eb="6">
      <t>ジギョウショ</t>
    </rPh>
    <rPh sb="6" eb="7">
      <t>メイ</t>
    </rPh>
    <phoneticPr fontId="1"/>
  </si>
  <si>
    <t>法人名</t>
    <rPh sb="0" eb="2">
      <t>ホウジン</t>
    </rPh>
    <rPh sb="2" eb="3">
      <t>メイ</t>
    </rPh>
    <phoneticPr fontId="1"/>
  </si>
  <si>
    <t>代表者名</t>
    <rPh sb="0" eb="3">
      <t>ダイヒョウシャ</t>
    </rPh>
    <rPh sb="3" eb="4">
      <t>メイ</t>
    </rPh>
    <phoneticPr fontId="1"/>
  </si>
  <si>
    <t>計</t>
    <rPh sb="0" eb="1">
      <t>ケイ</t>
    </rPh>
    <phoneticPr fontId="1"/>
  </si>
  <si>
    <t>合計</t>
    <rPh sb="0" eb="2">
      <t>ゴウケイ</t>
    </rPh>
    <phoneticPr fontId="3"/>
  </si>
  <si>
    <t>Ⅰ　総括表</t>
    <rPh sb="2" eb="5">
      <t>ソウカツヒョウ</t>
    </rPh>
    <phoneticPr fontId="1"/>
  </si>
  <si>
    <t>所在地</t>
    <rPh sb="0" eb="3">
      <t>ショザイチ</t>
    </rPh>
    <phoneticPr fontId="1"/>
  </si>
  <si>
    <t>名</t>
    <rPh sb="0" eb="1">
      <t>メイ</t>
    </rPh>
    <phoneticPr fontId="1"/>
  </si>
  <si>
    <t>加算・調整項目</t>
    <rPh sb="0" eb="2">
      <t>カサン</t>
    </rPh>
    <rPh sb="3" eb="5">
      <t>チョウセイ</t>
    </rPh>
    <rPh sb="5" eb="7">
      <t>コウモク</t>
    </rPh>
    <phoneticPr fontId="1"/>
  </si>
  <si>
    <t>備考</t>
    <rPh sb="0" eb="2">
      <t>ビコウ</t>
    </rPh>
    <phoneticPr fontId="1"/>
  </si>
  <si>
    <t>基本加算部分</t>
    <rPh sb="0" eb="2">
      <t>キホン</t>
    </rPh>
    <rPh sb="2" eb="4">
      <t>カサン</t>
    </rPh>
    <rPh sb="4" eb="6">
      <t>ブブン</t>
    </rPh>
    <phoneticPr fontId="1"/>
  </si>
  <si>
    <t>処遇改善等加算Ⅰ</t>
    <rPh sb="0" eb="2">
      <t>ショグウ</t>
    </rPh>
    <rPh sb="2" eb="4">
      <t>カイゼン</t>
    </rPh>
    <rPh sb="4" eb="5">
      <t>トウ</t>
    </rPh>
    <rPh sb="5" eb="7">
      <t>カサン</t>
    </rPh>
    <phoneticPr fontId="1"/>
  </si>
  <si>
    <t>加減調整部分</t>
    <rPh sb="0" eb="2">
      <t>カゲン</t>
    </rPh>
    <rPh sb="2" eb="4">
      <t>チョウセイ</t>
    </rPh>
    <rPh sb="4" eb="6">
      <t>ブブン</t>
    </rPh>
    <phoneticPr fontId="1"/>
  </si>
  <si>
    <t>乗除調整部分</t>
    <rPh sb="0" eb="2">
      <t>ジョウジョ</t>
    </rPh>
    <rPh sb="2" eb="4">
      <t>チョウセイ</t>
    </rPh>
    <rPh sb="4" eb="6">
      <t>ブブン</t>
    </rPh>
    <phoneticPr fontId="1"/>
  </si>
  <si>
    <t>特定加算部分</t>
    <rPh sb="0" eb="2">
      <t>トクテイ</t>
    </rPh>
    <rPh sb="2" eb="4">
      <t>カサン</t>
    </rPh>
    <rPh sb="4" eb="6">
      <t>ブブン</t>
    </rPh>
    <phoneticPr fontId="1"/>
  </si>
  <si>
    <t>処遇改善等加算Ⅱ</t>
    <rPh sb="0" eb="2">
      <t>ショグウ</t>
    </rPh>
    <rPh sb="2" eb="4">
      <t>カイゼン</t>
    </rPh>
    <rPh sb="4" eb="5">
      <t>トウ</t>
    </rPh>
    <rPh sb="5" eb="7">
      <t>カサン</t>
    </rPh>
    <phoneticPr fontId="1"/>
  </si>
  <si>
    <t>冷暖房費加算</t>
    <rPh sb="0" eb="3">
      <t>レイダンボウ</t>
    </rPh>
    <rPh sb="3" eb="4">
      <t>ヒ</t>
    </rPh>
    <rPh sb="4" eb="6">
      <t>カサン</t>
    </rPh>
    <phoneticPr fontId="1"/>
  </si>
  <si>
    <t>除雪費加算</t>
    <rPh sb="0" eb="2">
      <t>ジョセツ</t>
    </rPh>
    <rPh sb="2" eb="3">
      <t>ヒ</t>
    </rPh>
    <rPh sb="3" eb="5">
      <t>カサン</t>
    </rPh>
    <phoneticPr fontId="1"/>
  </si>
  <si>
    <t>降灰除去費加算</t>
    <rPh sb="0" eb="2">
      <t>コウハイ</t>
    </rPh>
    <rPh sb="2" eb="4">
      <t>ジョキョ</t>
    </rPh>
    <rPh sb="4" eb="5">
      <t>ヒ</t>
    </rPh>
    <rPh sb="5" eb="7">
      <t>カサン</t>
    </rPh>
    <phoneticPr fontId="1"/>
  </si>
  <si>
    <t>施設機能強化推進費加算</t>
    <rPh sb="0" eb="2">
      <t>シセツ</t>
    </rPh>
    <rPh sb="2" eb="4">
      <t>キノウ</t>
    </rPh>
    <rPh sb="4" eb="6">
      <t>キョウカ</t>
    </rPh>
    <rPh sb="6" eb="8">
      <t>スイシン</t>
    </rPh>
    <rPh sb="8" eb="9">
      <t>ヒ</t>
    </rPh>
    <rPh sb="9" eb="11">
      <t>カサン</t>
    </rPh>
    <phoneticPr fontId="1"/>
  </si>
  <si>
    <t>栄養管理加算</t>
    <rPh sb="0" eb="2">
      <t>エイヨウ</t>
    </rPh>
    <rPh sb="2" eb="4">
      <t>カンリ</t>
    </rPh>
    <rPh sb="4" eb="6">
      <t>カサン</t>
    </rPh>
    <phoneticPr fontId="1"/>
  </si>
  <si>
    <t>第三者評価受審加算</t>
    <rPh sb="0" eb="3">
      <t>ダイサンシャ</t>
    </rPh>
    <rPh sb="3" eb="5">
      <t>ヒョウカ</t>
    </rPh>
    <rPh sb="5" eb="7">
      <t>ジュシン</t>
    </rPh>
    <rPh sb="7" eb="9">
      <t>カサン</t>
    </rPh>
    <phoneticPr fontId="1"/>
  </si>
  <si>
    <t>Ⅱ　個票</t>
    <rPh sb="2" eb="4">
      <t>コヒョウ</t>
    </rPh>
    <phoneticPr fontId="1"/>
  </si>
  <si>
    <t>1　処遇改善等加算Ⅰ</t>
    <rPh sb="2" eb="4">
      <t>ショグウ</t>
    </rPh>
    <rPh sb="4" eb="6">
      <t>カイゼン</t>
    </rPh>
    <rPh sb="6" eb="7">
      <t>トウ</t>
    </rPh>
    <rPh sb="7" eb="9">
      <t>カサン</t>
    </rPh>
    <phoneticPr fontId="1"/>
  </si>
  <si>
    <t>添付書類</t>
    <rPh sb="0" eb="2">
      <t>テンプ</t>
    </rPh>
    <rPh sb="2" eb="4">
      <t>ショルイ</t>
    </rPh>
    <phoneticPr fontId="1"/>
  </si>
  <si>
    <t>4月</t>
    <rPh sb="1" eb="2">
      <t>ガツ</t>
    </rPh>
    <phoneticPr fontId="1"/>
  </si>
  <si>
    <t>5月</t>
  </si>
  <si>
    <t>6月</t>
  </si>
  <si>
    <t>7月</t>
  </si>
  <si>
    <t>8月</t>
  </si>
  <si>
    <t>9月</t>
  </si>
  <si>
    <t>10月</t>
  </si>
  <si>
    <t>11月</t>
  </si>
  <si>
    <t>12月</t>
  </si>
  <si>
    <t>1月</t>
  </si>
  <si>
    <t>2月</t>
  </si>
  <si>
    <t>3月</t>
  </si>
  <si>
    <t>年平均在所率</t>
    <rPh sb="0" eb="3">
      <t>ネンヘイキン</t>
    </rPh>
    <rPh sb="3" eb="5">
      <t>ザイショ</t>
    </rPh>
    <rPh sb="5" eb="6">
      <t>リツ</t>
    </rPh>
    <phoneticPr fontId="1"/>
  </si>
  <si>
    <t>月初日在籍子ども数</t>
    <rPh sb="0" eb="1">
      <t>ツキ</t>
    </rPh>
    <rPh sb="1" eb="3">
      <t>ショニチ</t>
    </rPh>
    <rPh sb="3" eb="5">
      <t>ザイセキ</t>
    </rPh>
    <rPh sb="5" eb="6">
      <t>コ</t>
    </rPh>
    <rPh sb="8" eb="9">
      <t>スウ</t>
    </rPh>
    <phoneticPr fontId="1"/>
  </si>
  <si>
    <t>月初日利用定員</t>
    <rPh sb="0" eb="1">
      <t>ツキ</t>
    </rPh>
    <rPh sb="1" eb="3">
      <t>ショニチ</t>
    </rPh>
    <rPh sb="3" eb="5">
      <t>リヨウ</t>
    </rPh>
    <rPh sb="5" eb="7">
      <t>テイイン</t>
    </rPh>
    <phoneticPr fontId="1"/>
  </si>
  <si>
    <t>○</t>
    <phoneticPr fontId="1"/>
  </si>
  <si>
    <t>（あて先）札幌市長</t>
    <rPh sb="3" eb="4">
      <t>サキ</t>
    </rPh>
    <rPh sb="5" eb="9">
      <t>サッポロシチョウ</t>
    </rPh>
    <phoneticPr fontId="1"/>
  </si>
  <si>
    <t>月現在</t>
    <rPh sb="0" eb="1">
      <t>ガツ</t>
    </rPh>
    <rPh sb="1" eb="3">
      <t>ゲンザイ</t>
    </rPh>
    <phoneticPr fontId="1"/>
  </si>
  <si>
    <t>○</t>
  </si>
  <si>
    <t>別途、所定の様式により申請する。</t>
    <rPh sb="0" eb="2">
      <t>ベット</t>
    </rPh>
    <rPh sb="3" eb="5">
      <t>ショテイ</t>
    </rPh>
    <rPh sb="6" eb="8">
      <t>ヨウシキ</t>
    </rPh>
    <rPh sb="11" eb="13">
      <t>シンセイ</t>
    </rPh>
    <phoneticPr fontId="1"/>
  </si>
  <si>
    <t>減算要件</t>
    <rPh sb="0" eb="2">
      <t>ゲンサン</t>
    </rPh>
    <rPh sb="2" eb="4">
      <t>ヨウケン</t>
    </rPh>
    <phoneticPr fontId="1"/>
  </si>
  <si>
    <t>施設長名</t>
    <rPh sb="0" eb="3">
      <t>シセツチョウ</t>
    </rPh>
    <rPh sb="3" eb="4">
      <t>メイ</t>
    </rPh>
    <phoneticPr fontId="1"/>
  </si>
  <si>
    <t>3月加算</t>
    <rPh sb="1" eb="2">
      <t>ガツ</t>
    </rPh>
    <rPh sb="2" eb="4">
      <t>カサン</t>
    </rPh>
    <phoneticPr fontId="1"/>
  </si>
  <si>
    <t>2級地</t>
    <rPh sb="1" eb="2">
      <t>キュウ</t>
    </rPh>
    <rPh sb="2" eb="3">
      <t>チ</t>
    </rPh>
    <phoneticPr fontId="1"/>
  </si>
  <si>
    <t>西暦</t>
    <rPh sb="0" eb="2">
      <t>セイレキ</t>
    </rPh>
    <phoneticPr fontId="1"/>
  </si>
  <si>
    <t>札幌市は対象外です。</t>
    <rPh sb="0" eb="3">
      <t>サッポロシ</t>
    </rPh>
    <rPh sb="4" eb="7">
      <t>タイショウガイ</t>
    </rPh>
    <phoneticPr fontId="1"/>
  </si>
  <si>
    <t>特児</t>
    <rPh sb="0" eb="2">
      <t>トクジ</t>
    </rPh>
    <phoneticPr fontId="1"/>
  </si>
  <si>
    <t>適否</t>
    <rPh sb="0" eb="2">
      <t>テキヒ</t>
    </rPh>
    <phoneticPr fontId="1"/>
  </si>
  <si>
    <t>療育</t>
    <rPh sb="0" eb="2">
      <t>リョウイク</t>
    </rPh>
    <phoneticPr fontId="1"/>
  </si>
  <si>
    <t>選択</t>
    <rPh sb="0" eb="2">
      <t>センタク</t>
    </rPh>
    <phoneticPr fontId="1"/>
  </si>
  <si>
    <t>月</t>
    <rPh sb="0" eb="1">
      <t>ツキ</t>
    </rPh>
    <phoneticPr fontId="1"/>
  </si>
  <si>
    <t>チーム</t>
    <phoneticPr fontId="1"/>
  </si>
  <si>
    <t>給食</t>
    <rPh sb="0" eb="2">
      <t>キュウショク</t>
    </rPh>
    <phoneticPr fontId="1"/>
  </si>
  <si>
    <t>②</t>
    <phoneticPr fontId="1"/>
  </si>
  <si>
    <t>③</t>
    <phoneticPr fontId="1"/>
  </si>
  <si>
    <t>基準日</t>
    <rPh sb="0" eb="3">
      <t>キジュンビ</t>
    </rPh>
    <phoneticPr fontId="1"/>
  </si>
  <si>
    <t>②職員状況</t>
    <rPh sb="1" eb="3">
      <t>ショクイン</t>
    </rPh>
    <rPh sb="3" eb="5">
      <t>ジョウキョウ</t>
    </rPh>
    <phoneticPr fontId="1"/>
  </si>
  <si>
    <t>判定</t>
    <rPh sb="0" eb="2">
      <t>ハンテイ</t>
    </rPh>
    <phoneticPr fontId="1"/>
  </si>
  <si>
    <t>有給</t>
    <rPh sb="0" eb="2">
      <t>ユウキュウ</t>
    </rPh>
    <phoneticPr fontId="1"/>
  </si>
  <si>
    <t>無給</t>
    <rPh sb="0" eb="2">
      <t>ムキュウ</t>
    </rPh>
    <phoneticPr fontId="1"/>
  </si>
  <si>
    <t>&lt;常勤換算&gt;</t>
    <rPh sb="1" eb="3">
      <t>ジョウキン</t>
    </rPh>
    <rPh sb="3" eb="5">
      <t>カンサン</t>
    </rPh>
    <phoneticPr fontId="1"/>
  </si>
  <si>
    <t>初日時点の給与状況</t>
    <rPh sb="0" eb="2">
      <t>ショニチ</t>
    </rPh>
    <rPh sb="2" eb="4">
      <t>ジテン</t>
    </rPh>
    <rPh sb="5" eb="7">
      <t>キュウヨ</t>
    </rPh>
    <rPh sb="7" eb="9">
      <t>ジョウキョウ</t>
    </rPh>
    <phoneticPr fontId="1"/>
  </si>
  <si>
    <t>年齢別配置基準</t>
    <rPh sb="0" eb="2">
      <t>ネンレイ</t>
    </rPh>
    <rPh sb="2" eb="3">
      <t>ベツ</t>
    </rPh>
    <rPh sb="3" eb="5">
      <t>ハイチ</t>
    </rPh>
    <rPh sb="5" eb="7">
      <t>キジュン</t>
    </rPh>
    <phoneticPr fontId="1"/>
  </si>
  <si>
    <t>項目</t>
    <rPh sb="0" eb="2">
      <t>コウモク</t>
    </rPh>
    <phoneticPr fontId="1"/>
  </si>
  <si>
    <t>チーム保育加配加算</t>
    <rPh sb="3" eb="9">
      <t>ホイクカハイカサン</t>
    </rPh>
    <phoneticPr fontId="1"/>
  </si>
  <si>
    <t>５月</t>
    <rPh sb="1" eb="2">
      <t>ガツ</t>
    </rPh>
    <phoneticPr fontId="1"/>
  </si>
  <si>
    <t>６月</t>
    <rPh sb="1" eb="2">
      <t>ガツ</t>
    </rPh>
    <phoneticPr fontId="1"/>
  </si>
  <si>
    <t>７月</t>
  </si>
  <si>
    <t>８月</t>
  </si>
  <si>
    <t>９月</t>
  </si>
  <si>
    <t>１０月</t>
  </si>
  <si>
    <t>１１月</t>
  </si>
  <si>
    <t>１２月</t>
  </si>
  <si>
    <t>１月</t>
  </si>
  <si>
    <t>２月</t>
  </si>
  <si>
    <t>３月</t>
    <phoneticPr fontId="1"/>
  </si>
  <si>
    <t>月時点</t>
    <rPh sb="0" eb="1">
      <t>ガツ</t>
    </rPh>
    <rPh sb="1" eb="3">
      <t>ジテン</t>
    </rPh>
    <phoneticPr fontId="1"/>
  </si>
  <si>
    <t>申請届出状況</t>
    <rPh sb="0" eb="2">
      <t>シンセイ</t>
    </rPh>
    <rPh sb="2" eb="4">
      <t>トドケデ</t>
    </rPh>
    <rPh sb="4" eb="6">
      <t>ジョウキョウ</t>
    </rPh>
    <phoneticPr fontId="1"/>
  </si>
  <si>
    <t>≪作成にあたって≫</t>
    <rPh sb="1" eb="3">
      <t>サクセイ</t>
    </rPh>
    <phoneticPr fontId="1"/>
  </si>
  <si>
    <t>≪施設状況の記載≫</t>
    <rPh sb="1" eb="3">
      <t>シセツ</t>
    </rPh>
    <rPh sb="3" eb="5">
      <t>ジョウキョウ</t>
    </rPh>
    <rPh sb="6" eb="8">
      <t>キサイ</t>
    </rPh>
    <phoneticPr fontId="1"/>
  </si>
  <si>
    <t>申請の有無</t>
    <rPh sb="0" eb="2">
      <t>シンセイ</t>
    </rPh>
    <rPh sb="3" eb="5">
      <t>ウム</t>
    </rPh>
    <phoneticPr fontId="1"/>
  </si>
  <si>
    <t>①　各月毎に上から順に埋めてください。最終的に、3月時点で4～3月の全加算状況が埋まるようにご作成ください。例）12月時点→4～12月加算情報</t>
    <rPh sb="2" eb="4">
      <t>カクツキ</t>
    </rPh>
    <rPh sb="4" eb="5">
      <t>ゴト</t>
    </rPh>
    <rPh sb="6" eb="7">
      <t>ウエ</t>
    </rPh>
    <rPh sb="9" eb="10">
      <t>ジュン</t>
    </rPh>
    <rPh sb="11" eb="12">
      <t>ウ</t>
    </rPh>
    <rPh sb="19" eb="22">
      <t>サイシュウテキ</t>
    </rPh>
    <rPh sb="25" eb="26">
      <t>ガツ</t>
    </rPh>
    <rPh sb="26" eb="28">
      <t>ジテン</t>
    </rPh>
    <rPh sb="32" eb="33">
      <t>ガツ</t>
    </rPh>
    <rPh sb="34" eb="37">
      <t>ゼンカサン</t>
    </rPh>
    <rPh sb="37" eb="39">
      <t>ジョウキョウ</t>
    </rPh>
    <rPh sb="40" eb="41">
      <t>ウ</t>
    </rPh>
    <rPh sb="47" eb="49">
      <t>サクセイ</t>
    </rPh>
    <rPh sb="54" eb="55">
      <t>レイ</t>
    </rPh>
    <rPh sb="58" eb="59">
      <t>ガツ</t>
    </rPh>
    <rPh sb="59" eb="61">
      <t>ジテン</t>
    </rPh>
    <rPh sb="66" eb="67">
      <t>ガツ</t>
    </rPh>
    <rPh sb="67" eb="69">
      <t>カサン</t>
    </rPh>
    <rPh sb="69" eb="71">
      <t>ジョウホウ</t>
    </rPh>
    <phoneticPr fontId="1"/>
  </si>
  <si>
    <t>A</t>
    <phoneticPr fontId="1"/>
  </si>
  <si>
    <t>B</t>
    <phoneticPr fontId="1"/>
  </si>
  <si>
    <t>基礎</t>
    <rPh sb="0" eb="2">
      <t>キソ</t>
    </rPh>
    <phoneticPr fontId="1"/>
  </si>
  <si>
    <t>賃金改善</t>
    <rPh sb="0" eb="2">
      <t>チンギン</t>
    </rPh>
    <rPh sb="2" eb="4">
      <t>カイゼン</t>
    </rPh>
    <phoneticPr fontId="1"/>
  </si>
  <si>
    <t>４月</t>
    <rPh sb="1" eb="2">
      <t>ガツ</t>
    </rPh>
    <phoneticPr fontId="1"/>
  </si>
  <si>
    <t>処遇基礎</t>
    <rPh sb="0" eb="2">
      <t>ショグウ</t>
    </rPh>
    <rPh sb="2" eb="4">
      <t>キソ</t>
    </rPh>
    <phoneticPr fontId="1"/>
  </si>
  <si>
    <t>年齢別・処遇Ⅱ</t>
    <rPh sb="0" eb="2">
      <t>ネンレイ</t>
    </rPh>
    <rPh sb="2" eb="3">
      <t>ベツ</t>
    </rPh>
    <rPh sb="4" eb="6">
      <t>ショグウ</t>
    </rPh>
    <phoneticPr fontId="1"/>
  </si>
  <si>
    <t>本園</t>
    <rPh sb="0" eb="1">
      <t>ホン</t>
    </rPh>
    <rPh sb="1" eb="2">
      <t>エン</t>
    </rPh>
    <phoneticPr fontId="1"/>
  </si>
  <si>
    <t>休日保育加算</t>
    <rPh sb="0" eb="2">
      <t>キュウジツ</t>
    </rPh>
    <rPh sb="2" eb="4">
      <t>ホイク</t>
    </rPh>
    <rPh sb="4" eb="6">
      <t>カサン</t>
    </rPh>
    <phoneticPr fontId="1"/>
  </si>
  <si>
    <t>夜間保育加算</t>
    <rPh sb="0" eb="2">
      <t>ヤカン</t>
    </rPh>
    <rPh sb="2" eb="4">
      <t>ホイク</t>
    </rPh>
    <rPh sb="4" eb="6">
      <t>カサン</t>
    </rPh>
    <phoneticPr fontId="1"/>
  </si>
  <si>
    <t>減価償却費加算</t>
    <rPh sb="0" eb="2">
      <t>ゲンカ</t>
    </rPh>
    <rPh sb="2" eb="4">
      <t>ショウキャク</t>
    </rPh>
    <rPh sb="4" eb="5">
      <t>ヒ</t>
    </rPh>
    <rPh sb="5" eb="7">
      <t>カサン</t>
    </rPh>
    <phoneticPr fontId="1"/>
  </si>
  <si>
    <t>賃借料加算</t>
    <rPh sb="0" eb="3">
      <t>チンシャクリョウ</t>
    </rPh>
    <rPh sb="3" eb="5">
      <t>カサン</t>
    </rPh>
    <phoneticPr fontId="1"/>
  </si>
  <si>
    <t>乳児</t>
    <rPh sb="0" eb="2">
      <t>ニュウジ</t>
    </rPh>
    <phoneticPr fontId="1"/>
  </si>
  <si>
    <t>名</t>
    <rPh sb="0" eb="1">
      <t>ナ</t>
    </rPh>
    <phoneticPr fontId="1"/>
  </si>
  <si>
    <t>1.2歳児</t>
    <rPh sb="3" eb="5">
      <t>サイジ</t>
    </rPh>
    <phoneticPr fontId="1"/>
  </si>
  <si>
    <t>３歳児</t>
    <rPh sb="1" eb="3">
      <t>サイジ</t>
    </rPh>
    <phoneticPr fontId="1"/>
  </si>
  <si>
    <t>４歳以上児</t>
    <rPh sb="1" eb="2">
      <t>サイ</t>
    </rPh>
    <rPh sb="2" eb="4">
      <t>イジョウ</t>
    </rPh>
    <rPh sb="4" eb="5">
      <t>ジ</t>
    </rPh>
    <phoneticPr fontId="1"/>
  </si>
  <si>
    <t>　　計</t>
    <rPh sb="2" eb="3">
      <t>ケイ</t>
    </rPh>
    <phoneticPr fontId="1"/>
  </si>
  <si>
    <t>上記「3」に該当しなくても、右欄の要件全てに該当する改修等を行った場合は「3」に該当する。</t>
    <rPh sb="0" eb="2">
      <t>ジョウキ</t>
    </rPh>
    <rPh sb="6" eb="8">
      <t>ガイトウ</t>
    </rPh>
    <rPh sb="14" eb="15">
      <t>ミギ</t>
    </rPh>
    <rPh sb="15" eb="16">
      <t>ラン</t>
    </rPh>
    <rPh sb="17" eb="19">
      <t>ヨウケン</t>
    </rPh>
    <rPh sb="19" eb="20">
      <t>スベ</t>
    </rPh>
    <rPh sb="22" eb="24">
      <t>ガイトウ</t>
    </rPh>
    <rPh sb="26" eb="28">
      <t>カイシュウ</t>
    </rPh>
    <rPh sb="28" eb="29">
      <t>トウ</t>
    </rPh>
    <rPh sb="30" eb="31">
      <t>オコナ</t>
    </rPh>
    <rPh sb="33" eb="35">
      <t>バアイ</t>
    </rPh>
    <rPh sb="40" eb="42">
      <t>ガイトウ</t>
    </rPh>
    <phoneticPr fontId="1"/>
  </si>
  <si>
    <t>①</t>
    <phoneticPr fontId="1"/>
  </si>
  <si>
    <t>　当該改修等に当たって、国庫補助の交付を受けていない</t>
    <phoneticPr fontId="1"/>
  </si>
  <si>
    <t>入所</t>
    <rPh sb="0" eb="2">
      <t>ニュウショ</t>
    </rPh>
    <phoneticPr fontId="1"/>
  </si>
  <si>
    <t>400-800</t>
    <phoneticPr fontId="1"/>
  </si>
  <si>
    <t>800-1200</t>
    <phoneticPr fontId="1"/>
  </si>
  <si>
    <t>1200-</t>
    <phoneticPr fontId="1"/>
  </si>
  <si>
    <t>調理員</t>
    <rPh sb="0" eb="3">
      <t>チョウリイン</t>
    </rPh>
    <phoneticPr fontId="1"/>
  </si>
  <si>
    <t>正職</t>
    <rPh sb="0" eb="2">
      <t>セイショク</t>
    </rPh>
    <phoneticPr fontId="1"/>
  </si>
  <si>
    <t>臨職</t>
    <rPh sb="0" eb="2">
      <t>リンショク</t>
    </rPh>
    <phoneticPr fontId="1"/>
  </si>
  <si>
    <t>栄養士</t>
    <rPh sb="0" eb="3">
      <t>エイヨウシ</t>
    </rPh>
    <phoneticPr fontId="1"/>
  </si>
  <si>
    <t>区分</t>
    <rPh sb="0" eb="2">
      <t>クブン</t>
    </rPh>
    <phoneticPr fontId="1"/>
  </si>
  <si>
    <t>※1　児童福祉事業等に従事した者の例示</t>
    <rPh sb="3" eb="5">
      <t>ジドウ</t>
    </rPh>
    <rPh sb="5" eb="7">
      <t>フクシ</t>
    </rPh>
    <rPh sb="7" eb="9">
      <t>ジギョウ</t>
    </rPh>
    <rPh sb="9" eb="10">
      <t>トウ</t>
    </rPh>
    <rPh sb="11" eb="13">
      <t>ジュウジ</t>
    </rPh>
    <rPh sb="15" eb="16">
      <t>モノ</t>
    </rPh>
    <rPh sb="17" eb="19">
      <t>レイジ</t>
    </rPh>
    <phoneticPr fontId="1"/>
  </si>
  <si>
    <t>　児童福祉施設、幼稚園・小学校等における教諭、市町村長等の公的機関において児童福祉
に関する事務を取り扱う部局、民生委員・児童委員の他、教育・保育施設又は地域型保育事
業に移行した施設・事業所における移行前の認可外保育施設等。</t>
    <rPh sb="1" eb="3">
      <t>ジドウ</t>
    </rPh>
    <rPh sb="3" eb="5">
      <t>フクシ</t>
    </rPh>
    <rPh sb="5" eb="7">
      <t>シセツ</t>
    </rPh>
    <rPh sb="8" eb="11">
      <t>ヨウチエン</t>
    </rPh>
    <rPh sb="12" eb="15">
      <t>ショウガッコウ</t>
    </rPh>
    <rPh sb="15" eb="16">
      <t>トウ</t>
    </rPh>
    <rPh sb="20" eb="22">
      <t>キョウユ</t>
    </rPh>
    <rPh sb="23" eb="25">
      <t>シチョウ</t>
    </rPh>
    <rPh sb="25" eb="27">
      <t>ソンチョウ</t>
    </rPh>
    <rPh sb="27" eb="28">
      <t>トウ</t>
    </rPh>
    <rPh sb="29" eb="31">
      <t>コウテキ</t>
    </rPh>
    <rPh sb="31" eb="33">
      <t>キカン</t>
    </rPh>
    <rPh sb="37" eb="39">
      <t>ジドウ</t>
    </rPh>
    <rPh sb="39" eb="40">
      <t>フク</t>
    </rPh>
    <rPh sb="61" eb="63">
      <t>ジドウ</t>
    </rPh>
    <rPh sb="63" eb="65">
      <t>イイン</t>
    </rPh>
    <phoneticPr fontId="1"/>
  </si>
  <si>
    <t>②　所長研修を受講している場合は研修修了証</t>
    <rPh sb="2" eb="4">
      <t>ショチョウ</t>
    </rPh>
    <rPh sb="4" eb="6">
      <t>ケンシュウ</t>
    </rPh>
    <rPh sb="7" eb="9">
      <t>ジュコウ</t>
    </rPh>
    <rPh sb="13" eb="15">
      <t>バアイ</t>
    </rPh>
    <rPh sb="16" eb="18">
      <t>ケンシュウ</t>
    </rPh>
    <rPh sb="18" eb="20">
      <t>シュウリョウ</t>
    </rPh>
    <rPh sb="20" eb="21">
      <t>ショウ</t>
    </rPh>
    <phoneticPr fontId="1"/>
  </si>
  <si>
    <t>受講予定研修名</t>
    <rPh sb="0" eb="2">
      <t>ジュコウ</t>
    </rPh>
    <rPh sb="2" eb="4">
      <t>ヨテイ</t>
    </rPh>
    <rPh sb="4" eb="6">
      <t>ケンシュウ</t>
    </rPh>
    <rPh sb="6" eb="7">
      <t>メイ</t>
    </rPh>
    <phoneticPr fontId="1"/>
  </si>
  <si>
    <t>月</t>
    <rPh sb="0" eb="1">
      <t>ガツ</t>
    </rPh>
    <phoneticPr fontId="1"/>
  </si>
  <si>
    <t>障害児保育加算</t>
    <rPh sb="0" eb="2">
      <t>ショウガイ</t>
    </rPh>
    <rPh sb="2" eb="3">
      <t>ジ</t>
    </rPh>
    <rPh sb="3" eb="5">
      <t>ホイク</t>
    </rPh>
    <rPh sb="5" eb="7">
      <t>カサン</t>
    </rPh>
    <phoneticPr fontId="1"/>
  </si>
  <si>
    <t>3月加算については、11月頃（締切は12月末）に3月加算用申請書を依頼いたします。</t>
    <phoneticPr fontId="1"/>
  </si>
  <si>
    <t>障がい児氏名</t>
    <rPh sb="0" eb="1">
      <t>ショウ</t>
    </rPh>
    <rPh sb="3" eb="4">
      <t>ジ</t>
    </rPh>
    <rPh sb="4" eb="6">
      <t>シメイ</t>
    </rPh>
    <phoneticPr fontId="1"/>
  </si>
  <si>
    <t>生年月日</t>
    <rPh sb="0" eb="2">
      <t>セイネン</t>
    </rPh>
    <rPh sb="2" eb="4">
      <t>ガッピ</t>
    </rPh>
    <phoneticPr fontId="1"/>
  </si>
  <si>
    <t>障がい認定日</t>
    <rPh sb="0" eb="1">
      <t>ショウ</t>
    </rPh>
    <rPh sb="3" eb="5">
      <t>ニンテイ</t>
    </rPh>
    <rPh sb="5" eb="6">
      <t>ビ</t>
    </rPh>
    <phoneticPr fontId="1"/>
  </si>
  <si>
    <t>入所日</t>
    <rPh sb="0" eb="2">
      <t>ニュウショ</t>
    </rPh>
    <rPh sb="2" eb="3">
      <t>ビ</t>
    </rPh>
    <phoneticPr fontId="1"/>
  </si>
  <si>
    <t>加算認定月</t>
    <rPh sb="0" eb="2">
      <t>カサン</t>
    </rPh>
    <rPh sb="2" eb="4">
      <t>ニンテイ</t>
    </rPh>
    <rPh sb="4" eb="5">
      <t>ツキ</t>
    </rPh>
    <phoneticPr fontId="1"/>
  </si>
  <si>
    <t>12　定員を恒常的に超過する場合</t>
    <rPh sb="3" eb="5">
      <t>テイイン</t>
    </rPh>
    <rPh sb="6" eb="9">
      <t>コウジョウテキ</t>
    </rPh>
    <rPh sb="10" eb="12">
      <t>チョウカ</t>
    </rPh>
    <rPh sb="14" eb="16">
      <t>バアイ</t>
    </rPh>
    <phoneticPr fontId="1"/>
  </si>
  <si>
    <t>調理員</t>
    <phoneticPr fontId="1"/>
  </si>
  <si>
    <t>通常</t>
    <rPh sb="0" eb="2">
      <t>ツウジョウ</t>
    </rPh>
    <phoneticPr fontId="1"/>
  </si>
  <si>
    <t>dー都市部</t>
    <rPh sb="2" eb="5">
      <t>トシブ</t>
    </rPh>
    <phoneticPr fontId="1"/>
  </si>
  <si>
    <t>氏名</t>
    <rPh sb="0" eb="2">
      <t>シメイ</t>
    </rPh>
    <phoneticPr fontId="1"/>
  </si>
  <si>
    <t>標準時間</t>
    <rPh sb="0" eb="2">
      <t>ヒョウジュン</t>
    </rPh>
    <rPh sb="2" eb="4">
      <t>ジカン</t>
    </rPh>
    <phoneticPr fontId="1"/>
  </si>
  <si>
    <t>障がい児</t>
    <rPh sb="0" eb="1">
      <t>ショウ</t>
    </rPh>
    <rPh sb="3" eb="4">
      <t>ジ</t>
    </rPh>
    <phoneticPr fontId="1"/>
  </si>
  <si>
    <t>就業規則に定める時間</t>
    <rPh sb="0" eb="2">
      <t>シュウギョウ</t>
    </rPh>
    <rPh sb="2" eb="4">
      <t>キソク</t>
    </rPh>
    <rPh sb="5" eb="6">
      <t>サダ</t>
    </rPh>
    <rPh sb="8" eb="10">
      <t>ジカン</t>
    </rPh>
    <phoneticPr fontId="1"/>
  </si>
  <si>
    <t>常勤・非常勤</t>
    <rPh sb="0" eb="2">
      <t>ジョウキン</t>
    </rPh>
    <rPh sb="3" eb="6">
      <t>ヒジョウキン</t>
    </rPh>
    <phoneticPr fontId="1"/>
  </si>
  <si>
    <t>減算</t>
    <rPh sb="0" eb="2">
      <t>ゲンサン</t>
    </rPh>
    <phoneticPr fontId="1"/>
  </si>
  <si>
    <t>２級地</t>
    <rPh sb="1" eb="2">
      <t>キュウ</t>
    </rPh>
    <rPh sb="2" eb="3">
      <t>チ</t>
    </rPh>
    <phoneticPr fontId="1"/>
  </si>
  <si>
    <t>※2　社会福祉法人又は学校法人以外の場合は保育士資格が必要</t>
    <rPh sb="21" eb="24">
      <t>ホイクシ</t>
    </rPh>
    <rPh sb="24" eb="26">
      <t>シカク</t>
    </rPh>
    <rPh sb="27" eb="29">
      <t>ヒツヨウ</t>
    </rPh>
    <phoneticPr fontId="1"/>
  </si>
  <si>
    <t>（札幌市私立地域型保育事業運営要綱第15条第1項の規定による）。</t>
    <rPh sb="21" eb="22">
      <t>ダイ</t>
    </rPh>
    <rPh sb="23" eb="24">
      <t>コウ</t>
    </rPh>
    <rPh sb="25" eb="27">
      <t>キテイ</t>
    </rPh>
    <phoneticPr fontId="1"/>
  </si>
  <si>
    <t>施設C</t>
    <rPh sb="0" eb="2">
      <t>シセツ</t>
    </rPh>
    <phoneticPr fontId="3"/>
  </si>
  <si>
    <t>公私</t>
    <rPh sb="0" eb="2">
      <t>コウシ</t>
    </rPh>
    <phoneticPr fontId="3"/>
  </si>
  <si>
    <t>種別</t>
    <rPh sb="0" eb="1">
      <t>シュ</t>
    </rPh>
    <rPh sb="1" eb="2">
      <t>ベツ</t>
    </rPh>
    <phoneticPr fontId="3"/>
  </si>
  <si>
    <t>区</t>
    <rPh sb="0" eb="1">
      <t>ク</t>
    </rPh>
    <phoneticPr fontId="3"/>
  </si>
  <si>
    <t>施設・事業所名</t>
    <rPh sb="0" eb="2">
      <t>シセツ</t>
    </rPh>
    <rPh sb="3" eb="5">
      <t>ジギョウ</t>
    </rPh>
    <rPh sb="5" eb="6">
      <t>ショ</t>
    </rPh>
    <rPh sb="6" eb="7">
      <t>メイ</t>
    </rPh>
    <phoneticPr fontId="3"/>
  </si>
  <si>
    <t>認定こども園認可定員内訳</t>
    <rPh sb="0" eb="2">
      <t>ニンテイ</t>
    </rPh>
    <rPh sb="5" eb="6">
      <t>エン</t>
    </rPh>
    <rPh sb="6" eb="8">
      <t>ニンカ</t>
    </rPh>
    <rPh sb="8" eb="10">
      <t>テイイン</t>
    </rPh>
    <rPh sb="10" eb="12">
      <t>ウチワケ</t>
    </rPh>
    <phoneticPr fontId="3"/>
  </si>
  <si>
    <t>認可定員</t>
    <phoneticPr fontId="3"/>
  </si>
  <si>
    <t>利用定員</t>
    <rPh sb="0" eb="2">
      <t>リヨウ</t>
    </rPh>
    <rPh sb="2" eb="4">
      <t>テイイン</t>
    </rPh>
    <phoneticPr fontId="3"/>
  </si>
  <si>
    <t>1号</t>
    <rPh sb="1" eb="2">
      <t>ゴウ</t>
    </rPh>
    <phoneticPr fontId="3"/>
  </si>
  <si>
    <t>2号</t>
    <rPh sb="1" eb="2">
      <t>ゴウ</t>
    </rPh>
    <phoneticPr fontId="3"/>
  </si>
  <si>
    <t>3号</t>
    <rPh sb="1" eb="2">
      <t>ゴウ</t>
    </rPh>
    <phoneticPr fontId="3"/>
  </si>
  <si>
    <t>3号（0歳）</t>
    <rPh sb="1" eb="2">
      <t>ゴウ</t>
    </rPh>
    <rPh sb="4" eb="5">
      <t>サイ</t>
    </rPh>
    <phoneticPr fontId="3"/>
  </si>
  <si>
    <t>3号（1･2歳）</t>
    <rPh sb="1" eb="2">
      <t>ゴウ</t>
    </rPh>
    <rPh sb="6" eb="7">
      <t>サイ</t>
    </rPh>
    <phoneticPr fontId="3"/>
  </si>
  <si>
    <t>3号合計</t>
    <rPh sb="1" eb="2">
      <t>ゴウ</t>
    </rPh>
    <rPh sb="2" eb="4">
      <t>ゴウケイ</t>
    </rPh>
    <phoneticPr fontId="3"/>
  </si>
  <si>
    <t>列2</t>
  </si>
  <si>
    <t>列3</t>
  </si>
  <si>
    <t>列4</t>
  </si>
  <si>
    <t>列5</t>
  </si>
  <si>
    <t>列6</t>
  </si>
  <si>
    <t>列7</t>
  </si>
  <si>
    <t>列8</t>
  </si>
  <si>
    <t>列9</t>
  </si>
  <si>
    <t>列10</t>
  </si>
  <si>
    <t>列11</t>
  </si>
  <si>
    <t>列12</t>
  </si>
  <si>
    <t>列13</t>
  </si>
  <si>
    <t>列132</t>
  </si>
  <si>
    <t>列14</t>
  </si>
  <si>
    <t>中央区</t>
  </si>
  <si>
    <t>01私立</t>
  </si>
  <si>
    <t>北区</t>
  </si>
  <si>
    <t>東区</t>
  </si>
  <si>
    <t>白石区</t>
  </si>
  <si>
    <t>豊平区</t>
  </si>
  <si>
    <t>清田区</t>
  </si>
  <si>
    <t>南区</t>
  </si>
  <si>
    <t>西区</t>
  </si>
  <si>
    <t>手稲区</t>
  </si>
  <si>
    <t>集計</t>
  </si>
  <si>
    <t>12</t>
  </si>
  <si>
    <t>04小規模A・B・C</t>
    <rPh sb="2" eb="5">
      <t>ショウキボ</t>
    </rPh>
    <phoneticPr fontId="3"/>
  </si>
  <si>
    <t>Ａ</t>
  </si>
  <si>
    <t>たからの杜円山保育園</t>
  </si>
  <si>
    <t>さら～れ保育園</t>
  </si>
  <si>
    <t>保育室ぱすてる</t>
  </si>
  <si>
    <t>こどもプラザ青い鳥円山園</t>
  </si>
  <si>
    <t>ぴっころきっず円山公園</t>
  </si>
  <si>
    <t>ぴっころきっず円山裏参道</t>
  </si>
  <si>
    <t>おーるまいてぃ円山保育室</t>
  </si>
  <si>
    <t>伏見すみれ保育園</t>
  </si>
  <si>
    <t>もりのなかま保育園札幌山鼻園</t>
  </si>
  <si>
    <t>山鼻にじのいろ保育園</t>
  </si>
  <si>
    <t>ぴっころきっず中島公園</t>
  </si>
  <si>
    <t>札幌モンテッソーリこどもの家</t>
  </si>
  <si>
    <t>スクルドエンジェル保育園北円山園</t>
  </si>
  <si>
    <t>プチトマト保育室</t>
  </si>
  <si>
    <t>アンジェロ保育園</t>
  </si>
  <si>
    <t>バンビ保育園</t>
  </si>
  <si>
    <t>おーるまいてぃ屯田保育室</t>
  </si>
  <si>
    <t>美友希保育園</t>
  </si>
  <si>
    <t>太平桜の花保育園</t>
  </si>
  <si>
    <t>北２４条はぐはぐ乳児保育園</t>
  </si>
  <si>
    <t>オリオン</t>
  </si>
  <si>
    <t>あいあい保育園</t>
  </si>
  <si>
    <t>ぴっころきっず元町</t>
  </si>
  <si>
    <t>カシオペア</t>
  </si>
  <si>
    <t>ぴっころきっず白石駅前</t>
  </si>
  <si>
    <t>保育室すまいる</t>
  </si>
  <si>
    <t>ぴっころきっず東札幌</t>
  </si>
  <si>
    <t>保育ママだんだん</t>
  </si>
  <si>
    <t>ちびっこ保育るーむ札幌ドーム前園</t>
  </si>
  <si>
    <t>ちびっこ保育ルーム平岸ひまわり園</t>
  </si>
  <si>
    <t>太陽こころナーサリー平岸</t>
  </si>
  <si>
    <t>あんあん保育園平岸ルーム</t>
  </si>
  <si>
    <t>ナーサリーゆめの木</t>
  </si>
  <si>
    <t>美晴の家保育園</t>
  </si>
  <si>
    <t>ペガサス</t>
  </si>
  <si>
    <t>とよひらる～む</t>
  </si>
  <si>
    <t>さくら乳児保育園</t>
  </si>
  <si>
    <t>いちご乳児保育園</t>
  </si>
  <si>
    <t>ころころ保育園</t>
  </si>
  <si>
    <t>森のタータン保育園コピス</t>
  </si>
  <si>
    <t>はぐはぐ乳児保育園</t>
  </si>
  <si>
    <t>こどもプラザ青い鳥宮の沢園</t>
  </si>
  <si>
    <t>西野にじのいろ保育園</t>
  </si>
  <si>
    <t>八軒あじさい保育園</t>
  </si>
  <si>
    <t>発寒みらいのたね</t>
  </si>
  <si>
    <t>森のタータン保育園マール</t>
  </si>
  <si>
    <t>こぐまハウス</t>
  </si>
  <si>
    <t>山の手ちびっこ保育園</t>
  </si>
  <si>
    <t>ぴっころきっず手稲駅前</t>
  </si>
  <si>
    <t>第２手稲あじさい保育園</t>
  </si>
  <si>
    <t>手稲あじさい保育園</t>
  </si>
  <si>
    <t>たからの杜星置保育園</t>
  </si>
  <si>
    <t>さら～れ保育園富丘園</t>
  </si>
  <si>
    <t>富丘ニンニン保育園</t>
  </si>
  <si>
    <t>06事業所内</t>
    <rPh sb="2" eb="5">
      <t>ジギョウショ</t>
    </rPh>
    <rPh sb="5" eb="6">
      <t>ナイ</t>
    </rPh>
    <phoneticPr fontId="2"/>
  </si>
  <si>
    <t>コープさっぽろ保育園ａｕｒｉｎｋｏ</t>
  </si>
  <si>
    <t>じゅんのめ保育園</t>
  </si>
  <si>
    <t>こどもクラブしらかば</t>
  </si>
  <si>
    <t>さくらんぼ保育園</t>
  </si>
  <si>
    <t>基本配置職員</t>
    <rPh sb="0" eb="2">
      <t>キホン</t>
    </rPh>
    <rPh sb="2" eb="4">
      <t>ハイチ</t>
    </rPh>
    <rPh sb="4" eb="6">
      <t>ショクイン</t>
    </rPh>
    <phoneticPr fontId="1"/>
  </si>
  <si>
    <t>○</t>
    <phoneticPr fontId="1"/>
  </si>
  <si>
    <t>申請月</t>
    <rPh sb="0" eb="2">
      <t>シンセイ</t>
    </rPh>
    <rPh sb="2" eb="3">
      <t>ツキ</t>
    </rPh>
    <phoneticPr fontId="1"/>
  </si>
  <si>
    <t>所在区</t>
    <rPh sb="0" eb="2">
      <t>ショザイ</t>
    </rPh>
    <rPh sb="2" eb="3">
      <t>ク</t>
    </rPh>
    <phoneticPr fontId="1"/>
  </si>
  <si>
    <t>清田区</t>
    <rPh sb="0" eb="3">
      <t>キヨタク</t>
    </rPh>
    <phoneticPr fontId="1"/>
  </si>
  <si>
    <t>○</t>
    <phoneticPr fontId="1"/>
  </si>
  <si>
    <t>申請する</t>
    <rPh sb="0" eb="2">
      <t>シンセイ</t>
    </rPh>
    <phoneticPr fontId="1"/>
  </si>
  <si>
    <t>×</t>
    <phoneticPr fontId="1"/>
  </si>
  <si>
    <t>申請しない</t>
    <rPh sb="0" eb="2">
      <t>シンセイ</t>
    </rPh>
    <phoneticPr fontId="1"/>
  </si>
  <si>
    <t>施設種別</t>
    <rPh sb="0" eb="2">
      <t>シセツ</t>
    </rPh>
    <rPh sb="2" eb="4">
      <t>シュベツ</t>
    </rPh>
    <phoneticPr fontId="1"/>
  </si>
  <si>
    <t>中央区</t>
    <rPh sb="0" eb="3">
      <t>チュウオウク</t>
    </rPh>
    <phoneticPr fontId="1"/>
  </si>
  <si>
    <t>北区</t>
    <rPh sb="0" eb="2">
      <t>キタク</t>
    </rPh>
    <phoneticPr fontId="1"/>
  </si>
  <si>
    <t>東区</t>
    <rPh sb="0" eb="2">
      <t>ヒガシク</t>
    </rPh>
    <phoneticPr fontId="1"/>
  </si>
  <si>
    <t>白石区</t>
    <rPh sb="0" eb="3">
      <t>シロイシク</t>
    </rPh>
    <phoneticPr fontId="1"/>
  </si>
  <si>
    <t>厚別区</t>
    <rPh sb="0" eb="3">
      <t>アツベツク</t>
    </rPh>
    <phoneticPr fontId="1"/>
  </si>
  <si>
    <t>豊平区</t>
    <rPh sb="0" eb="3">
      <t>トヨヒラク</t>
    </rPh>
    <phoneticPr fontId="1"/>
  </si>
  <si>
    <t>南区</t>
    <rPh sb="0" eb="2">
      <t>ミナミク</t>
    </rPh>
    <phoneticPr fontId="1"/>
  </si>
  <si>
    <t>西区</t>
    <rPh sb="0" eb="2">
      <t>ニシク</t>
    </rPh>
    <phoneticPr fontId="1"/>
  </si>
  <si>
    <t>手稲区</t>
    <rPh sb="0" eb="3">
      <t>テイネク</t>
    </rPh>
    <phoneticPr fontId="1"/>
  </si>
  <si>
    <t>適否判定</t>
    <rPh sb="0" eb="2">
      <t>テキヒ</t>
    </rPh>
    <rPh sb="2" eb="4">
      <t>ハンテイ</t>
    </rPh>
    <phoneticPr fontId="1"/>
  </si>
  <si>
    <t>No.</t>
    <phoneticPr fontId="1"/>
  </si>
  <si>
    <t>加算適用開始(変更)月</t>
    <rPh sb="0" eb="2">
      <t>カサン</t>
    </rPh>
    <rPh sb="2" eb="4">
      <t>テキヨウ</t>
    </rPh>
    <rPh sb="4" eb="6">
      <t>カイシ</t>
    </rPh>
    <rPh sb="7" eb="9">
      <t>ヘンコウ</t>
    </rPh>
    <rPh sb="10" eb="11">
      <t>ツキ</t>
    </rPh>
    <phoneticPr fontId="1"/>
  </si>
  <si>
    <t>・「該当の有無」について、該当する場合は「○」を選択すること。</t>
    <rPh sb="2" eb="4">
      <t>ガイトウ</t>
    </rPh>
    <rPh sb="5" eb="7">
      <t>ウム</t>
    </rPh>
    <phoneticPr fontId="1"/>
  </si>
  <si>
    <t>・「申請の有無」で申請するを選択し、加算要件等を全て満たしたうえで、添付書類を漏れなく添付した場合にのみ加算する。</t>
    <rPh sb="2" eb="4">
      <t>シンセイ</t>
    </rPh>
    <rPh sb="5" eb="7">
      <t>ウム</t>
    </rPh>
    <rPh sb="9" eb="11">
      <t>シンセイ</t>
    </rPh>
    <rPh sb="14" eb="16">
      <t>センタク</t>
    </rPh>
    <rPh sb="18" eb="20">
      <t>カサン</t>
    </rPh>
    <rPh sb="20" eb="22">
      <t>ヨウケン</t>
    </rPh>
    <rPh sb="22" eb="23">
      <t>トウ</t>
    </rPh>
    <rPh sb="24" eb="25">
      <t>スベ</t>
    </rPh>
    <rPh sb="34" eb="36">
      <t>テンプ</t>
    </rPh>
    <rPh sb="36" eb="38">
      <t>ショルイ</t>
    </rPh>
    <rPh sb="39" eb="40">
      <t>モ</t>
    </rPh>
    <rPh sb="43" eb="45">
      <t>テンプ</t>
    </rPh>
    <rPh sb="47" eb="49">
      <t>バアイ</t>
    </rPh>
    <rPh sb="52" eb="54">
      <t>カサン</t>
    </rPh>
    <phoneticPr fontId="1"/>
  </si>
  <si>
    <t>0　基本配置職員</t>
    <rPh sb="2" eb="4">
      <t>キホン</t>
    </rPh>
    <rPh sb="4" eb="6">
      <t>ハイチ</t>
    </rPh>
    <rPh sb="6" eb="8">
      <t>ショクイン</t>
    </rPh>
    <phoneticPr fontId="1"/>
  </si>
  <si>
    <t>（判定）</t>
    <rPh sb="1" eb="3">
      <t>ハンテイ</t>
    </rPh>
    <phoneticPr fontId="1"/>
  </si>
  <si>
    <t>配置要件
（１～３の全てを配置すること）</t>
    <rPh sb="0" eb="2">
      <t>ハイチ</t>
    </rPh>
    <rPh sb="2" eb="4">
      <t>ヨウケン</t>
    </rPh>
    <rPh sb="10" eb="11">
      <t>スベ</t>
    </rPh>
    <rPh sb="13" eb="15">
      <t>ハイチ</t>
    </rPh>
    <phoneticPr fontId="1"/>
  </si>
  <si>
    <t>該当の有無</t>
    <rPh sb="0" eb="2">
      <t>ガイトウ</t>
    </rPh>
    <rPh sb="3" eb="5">
      <t>ウム</t>
    </rPh>
    <phoneticPr fontId="1"/>
  </si>
  <si>
    <t>非常勤事務</t>
    <rPh sb="0" eb="3">
      <t>ヒジョウキン</t>
    </rPh>
    <rPh sb="3" eb="5">
      <t>ジム</t>
    </rPh>
    <phoneticPr fontId="1"/>
  </si>
  <si>
    <t>業務委託している</t>
    <rPh sb="0" eb="2">
      <t>ギョウム</t>
    </rPh>
    <rPh sb="2" eb="4">
      <t>イタク</t>
    </rPh>
    <phoneticPr fontId="1"/>
  </si>
  <si>
    <t>直接雇用による配置</t>
    <rPh sb="0" eb="2">
      <t>チョクセツ</t>
    </rPh>
    <rPh sb="2" eb="4">
      <t>コヨウ</t>
    </rPh>
    <rPh sb="7" eb="9">
      <t>ハイチ</t>
    </rPh>
    <phoneticPr fontId="1"/>
  </si>
  <si>
    <t>全部を業務委託又は搬入施設からの食事の搬入をしている
※　一部を委託している場合は不可</t>
    <rPh sb="0" eb="2">
      <t>ゼンブ</t>
    </rPh>
    <rPh sb="3" eb="5">
      <t>ギョウム</t>
    </rPh>
    <rPh sb="5" eb="7">
      <t>イタク</t>
    </rPh>
    <rPh sb="7" eb="8">
      <t>マタ</t>
    </rPh>
    <rPh sb="9" eb="11">
      <t>ハンニュウ</t>
    </rPh>
    <rPh sb="11" eb="13">
      <t>シセツ</t>
    </rPh>
    <rPh sb="16" eb="18">
      <t>ショクジ</t>
    </rPh>
    <rPh sb="19" eb="21">
      <t>ハンニュウ</t>
    </rPh>
    <phoneticPr fontId="1"/>
  </si>
  <si>
    <t>嘱託医、嘱託歯科医</t>
    <rPh sb="0" eb="2">
      <t>ショクタク</t>
    </rPh>
    <rPh sb="2" eb="3">
      <t>イ</t>
    </rPh>
    <rPh sb="4" eb="6">
      <t>ショクタク</t>
    </rPh>
    <rPh sb="6" eb="8">
      <t>シカ</t>
    </rPh>
    <rPh sb="8" eb="9">
      <t>イ</t>
    </rPh>
    <phoneticPr fontId="1"/>
  </si>
  <si>
    <t>配置している</t>
    <rPh sb="0" eb="2">
      <t>ハイチ</t>
    </rPh>
    <phoneticPr fontId="1"/>
  </si>
  <si>
    <t>①　</t>
    <phoneticPr fontId="1"/>
  </si>
  <si>
    <t>受講予定年月</t>
    <rPh sb="0" eb="2">
      <t>ジュコウ</t>
    </rPh>
    <rPh sb="2" eb="4">
      <t>ヨテイ</t>
    </rPh>
    <rPh sb="4" eb="6">
      <t>ネンゲツ</t>
    </rPh>
    <phoneticPr fontId="1"/>
  </si>
  <si>
    <t>②</t>
    <phoneticPr fontId="1"/>
  </si>
  <si>
    <t>社会福祉法人又は学校法人である</t>
    <phoneticPr fontId="1"/>
  </si>
  <si>
    <t>①で【×】を選択した場合＞＞
管理者は保育士の資格を取得している</t>
    <rPh sb="15" eb="18">
      <t>カンリシャ</t>
    </rPh>
    <rPh sb="19" eb="21">
      <t>ホイク</t>
    </rPh>
    <rPh sb="21" eb="22">
      <t>シ</t>
    </rPh>
    <rPh sb="23" eb="25">
      <t>シカク</t>
    </rPh>
    <rPh sb="26" eb="28">
      <t>シュトク</t>
    </rPh>
    <phoneticPr fontId="1"/>
  </si>
  <si>
    <t>④　4‐②で「○」と回答した場合は保育士資格証の写し</t>
    <rPh sb="10" eb="12">
      <t>カイトウ</t>
    </rPh>
    <rPh sb="14" eb="16">
      <t>バアイ</t>
    </rPh>
    <rPh sb="17" eb="20">
      <t>ホイクシ</t>
    </rPh>
    <rPh sb="20" eb="22">
      <t>シカク</t>
    </rPh>
    <rPh sb="22" eb="23">
      <t>ショウ</t>
    </rPh>
    <rPh sb="24" eb="25">
      <t>ウツ</t>
    </rPh>
    <phoneticPr fontId="1"/>
  </si>
  <si>
    <t>保育士比率向上加算</t>
    <phoneticPr fontId="1"/>
  </si>
  <si>
    <t>札幌市に適用施設はありません。</t>
    <rPh sb="0" eb="3">
      <t>サッポロシ</t>
    </rPh>
    <rPh sb="4" eb="6">
      <t>テキヨウ</t>
    </rPh>
    <rPh sb="6" eb="8">
      <t>シセツ</t>
    </rPh>
    <phoneticPr fontId="1"/>
  </si>
  <si>
    <t>B型のみ</t>
    <rPh sb="1" eb="2">
      <t>ガタ</t>
    </rPh>
    <phoneticPr fontId="1"/>
  </si>
  <si>
    <t>基本情報</t>
    <rPh sb="0" eb="2">
      <t>キホン</t>
    </rPh>
    <rPh sb="2" eb="4">
      <t>ジョウホウ</t>
    </rPh>
    <phoneticPr fontId="1"/>
  </si>
  <si>
    <t>入力欄</t>
    <rPh sb="0" eb="2">
      <t>ニュウリョク</t>
    </rPh>
    <rPh sb="2" eb="3">
      <t>ラン</t>
    </rPh>
    <phoneticPr fontId="1"/>
  </si>
  <si>
    <t>年齢</t>
    <rPh sb="0" eb="2">
      <t>ネンレイ</t>
    </rPh>
    <phoneticPr fontId="1"/>
  </si>
  <si>
    <t>住所</t>
    <rPh sb="0" eb="2">
      <t>ジュウショ</t>
    </rPh>
    <phoneticPr fontId="1"/>
  </si>
  <si>
    <t>学歴</t>
    <rPh sb="0" eb="2">
      <t>ガクレキ</t>
    </rPh>
    <phoneticPr fontId="1"/>
  </si>
  <si>
    <t>学校名と入学・中退・卒業等を記載</t>
    <rPh sb="0" eb="2">
      <t>ガッコウ</t>
    </rPh>
    <rPh sb="2" eb="3">
      <t>メイ</t>
    </rPh>
    <rPh sb="4" eb="5">
      <t>ニュウ</t>
    </rPh>
    <rPh sb="5" eb="6">
      <t>ガク</t>
    </rPh>
    <rPh sb="7" eb="9">
      <t>チュウタイ</t>
    </rPh>
    <rPh sb="10" eb="11">
      <t>ソツ</t>
    </rPh>
    <rPh sb="11" eb="12">
      <t>ギョウ</t>
    </rPh>
    <rPh sb="12" eb="13">
      <t>トウ</t>
    </rPh>
    <rPh sb="14" eb="16">
      <t>キサイ</t>
    </rPh>
    <phoneticPr fontId="1"/>
  </si>
  <si>
    <t>職歴</t>
    <rPh sb="0" eb="2">
      <t>ショクレキ</t>
    </rPh>
    <phoneticPr fontId="1"/>
  </si>
  <si>
    <t>会社名と経歴等を記載</t>
    <rPh sb="0" eb="3">
      <t>カイシャメイ</t>
    </rPh>
    <rPh sb="3" eb="4">
      <t>ガクメイ</t>
    </rPh>
    <rPh sb="4" eb="6">
      <t>ケイレキ</t>
    </rPh>
    <rPh sb="6" eb="7">
      <t>トウ</t>
    </rPh>
    <rPh sb="8" eb="10">
      <t>キサイ</t>
    </rPh>
    <phoneticPr fontId="1"/>
  </si>
  <si>
    <t>資格</t>
    <rPh sb="0" eb="2">
      <t>シカク</t>
    </rPh>
    <phoneticPr fontId="1"/>
  </si>
  <si>
    <t>資格名等を記載</t>
    <rPh sb="0" eb="2">
      <t>シカク</t>
    </rPh>
    <rPh sb="2" eb="3">
      <t>メイ</t>
    </rPh>
    <rPh sb="3" eb="4">
      <t>トウ</t>
    </rPh>
    <rPh sb="5" eb="7">
      <t>キサイ</t>
    </rPh>
    <phoneticPr fontId="1"/>
  </si>
  <si>
    <t>２　同一又は系列園での施設長の重複確認</t>
    <rPh sb="2" eb="4">
      <t>ドウイツ</t>
    </rPh>
    <rPh sb="4" eb="5">
      <t>マタ</t>
    </rPh>
    <rPh sb="6" eb="8">
      <t>ケイレツ</t>
    </rPh>
    <rPh sb="8" eb="9">
      <t>エン</t>
    </rPh>
    <rPh sb="11" eb="14">
      <t>シセツチョウ</t>
    </rPh>
    <rPh sb="15" eb="17">
      <t>チョウフク</t>
    </rPh>
    <rPh sb="17" eb="19">
      <t>カクニン</t>
    </rPh>
    <phoneticPr fontId="1"/>
  </si>
  <si>
    <t>No.</t>
    <phoneticPr fontId="1"/>
  </si>
  <si>
    <t>事務員</t>
    <rPh sb="0" eb="2">
      <t>ジム</t>
    </rPh>
    <rPh sb="2" eb="3">
      <t>イン</t>
    </rPh>
    <phoneticPr fontId="1"/>
  </si>
  <si>
    <t>事務</t>
    <rPh sb="0" eb="2">
      <t>ジム</t>
    </rPh>
    <phoneticPr fontId="1"/>
  </si>
  <si>
    <t>栄養</t>
    <rPh sb="0" eb="2">
      <t>エイヨウ</t>
    </rPh>
    <phoneticPr fontId="1"/>
  </si>
  <si>
    <t>職種区分</t>
    <rPh sb="0" eb="2">
      <t>ショクシュ</t>
    </rPh>
    <rPh sb="2" eb="4">
      <t>クブン</t>
    </rPh>
    <phoneticPr fontId="1"/>
  </si>
  <si>
    <t>人数</t>
    <rPh sb="0" eb="2">
      <t>ニンズウ</t>
    </rPh>
    <phoneticPr fontId="1"/>
  </si>
  <si>
    <t>時間</t>
    <rPh sb="0" eb="2">
      <t>ジカン</t>
    </rPh>
    <phoneticPr fontId="1"/>
  </si>
  <si>
    <t>利用児童表</t>
    <rPh sb="0" eb="2">
      <t>リヨウ</t>
    </rPh>
    <rPh sb="2" eb="4">
      <t>ジドウ</t>
    </rPh>
    <rPh sb="4" eb="5">
      <t>ヒョウ</t>
    </rPh>
    <phoneticPr fontId="1"/>
  </si>
  <si>
    <t>配置状況</t>
    <rPh sb="0" eb="2">
      <t>ハイチ</t>
    </rPh>
    <rPh sb="2" eb="4">
      <t>ジョウキョウ</t>
    </rPh>
    <phoneticPr fontId="1"/>
  </si>
  <si>
    <t>休日等を含めて年間を通じて開所している</t>
    <rPh sb="0" eb="2">
      <t>キュウジツ</t>
    </rPh>
    <rPh sb="2" eb="3">
      <t>トウ</t>
    </rPh>
    <rPh sb="4" eb="5">
      <t>フク</t>
    </rPh>
    <rPh sb="7" eb="9">
      <t>ネンカン</t>
    </rPh>
    <rPh sb="10" eb="11">
      <t>ツウ</t>
    </rPh>
    <rPh sb="13" eb="15">
      <t>カイショ</t>
    </rPh>
    <phoneticPr fontId="1"/>
  </si>
  <si>
    <t>利用児童数表</t>
    <rPh sb="0" eb="2">
      <t>リヨウ</t>
    </rPh>
    <rPh sb="2" eb="4">
      <t>ジドウ</t>
    </rPh>
    <rPh sb="4" eb="5">
      <t>スウ</t>
    </rPh>
    <rPh sb="5" eb="6">
      <t>ヒョウ</t>
    </rPh>
    <phoneticPr fontId="1"/>
  </si>
  <si>
    <t>↓加算適用を開始(変更)した月を入力してください。</t>
    <rPh sb="1" eb="3">
      <t>カサン</t>
    </rPh>
    <rPh sb="3" eb="5">
      <t>テキヨウ</t>
    </rPh>
    <rPh sb="6" eb="8">
      <t>カイシ</t>
    </rPh>
    <rPh sb="9" eb="11">
      <t>ヘンコウ</t>
    </rPh>
    <rPh sb="14" eb="15">
      <t>ツキ</t>
    </rPh>
    <rPh sb="16" eb="18">
      <t>ニュウリョク</t>
    </rPh>
    <phoneticPr fontId="1"/>
  </si>
  <si>
    <t>加算要件
(１～４の要件全てに該当する場合に加算)</t>
    <rPh sb="0" eb="2">
      <t>カサン</t>
    </rPh>
    <rPh sb="2" eb="4">
      <t>ヨウケン</t>
    </rPh>
    <rPh sb="11" eb="13">
      <t>ヨウケン</t>
    </rPh>
    <rPh sb="13" eb="14">
      <t>スベ</t>
    </rPh>
    <rPh sb="16" eb="18">
      <t>ガイトウ</t>
    </rPh>
    <rPh sb="20" eb="22">
      <t>バアイ</t>
    </rPh>
    <rPh sb="23" eb="25">
      <t>カサン</t>
    </rPh>
    <phoneticPr fontId="1"/>
  </si>
  <si>
    <t>【×】を選択した場合＞＞
施設整備費等の国庫補助の交付を受けて建設した建物について、整備後一定年数が経過したものであり、</t>
    <phoneticPr fontId="1"/>
  </si>
  <si>
    <t>　老朽化等を理由として改修等が必要であったと市町村が認めている</t>
    <phoneticPr fontId="1"/>
  </si>
  <si>
    <t>賃借料加算の対象となっていない
(減価償却費加算と賃借料加算は同時に受けられません)</t>
    <rPh sb="0" eb="3">
      <t>チンシャクリョウ</t>
    </rPh>
    <rPh sb="3" eb="5">
      <t>カサン</t>
    </rPh>
    <rPh sb="6" eb="8">
      <t>タイショウ</t>
    </rPh>
    <rPh sb="17" eb="19">
      <t>ゲンカ</t>
    </rPh>
    <rPh sb="19" eb="21">
      <t>ショウキャク</t>
    </rPh>
    <rPh sb="21" eb="22">
      <t>ヒ</t>
    </rPh>
    <rPh sb="22" eb="24">
      <t>カサン</t>
    </rPh>
    <rPh sb="25" eb="28">
      <t>チンシャクリョウ</t>
    </rPh>
    <rPh sb="28" eb="30">
      <t>カサン</t>
    </rPh>
    <rPh sb="31" eb="33">
      <t>ドウジ</t>
    </rPh>
    <rPh sb="34" eb="35">
      <t>ウ</t>
    </rPh>
    <phoneticPr fontId="1"/>
  </si>
  <si>
    <t>連携施設を設定している(連携施設名を下記に記載すること）</t>
    <rPh sb="0" eb="2">
      <t>レンケイ</t>
    </rPh>
    <rPh sb="2" eb="4">
      <t>シセツ</t>
    </rPh>
    <rPh sb="5" eb="7">
      <t>セッテイ</t>
    </rPh>
    <rPh sb="12" eb="14">
      <t>レンケイ</t>
    </rPh>
    <rPh sb="14" eb="16">
      <t>シセツ</t>
    </rPh>
    <rPh sb="16" eb="17">
      <t>メイ</t>
    </rPh>
    <rPh sb="18" eb="20">
      <t>カキ</t>
    </rPh>
    <rPh sb="21" eb="23">
      <t>キサイ</t>
    </rPh>
    <phoneticPr fontId="1"/>
  </si>
  <si>
    <t>※　減算適用の有無にかかわらず下記を記載すること(記載がない場合は減算「適」の判定が表示されます。)</t>
    <phoneticPr fontId="1"/>
  </si>
  <si>
    <t>※　減算適用の有無にかかわらず下記を記載すること(記載がない場合は減算「適」の判定が表示されます。)</t>
    <phoneticPr fontId="1"/>
  </si>
  <si>
    <t>食事について自園で調理している</t>
    <rPh sb="0" eb="2">
      <t>ショクジ</t>
    </rPh>
    <rPh sb="6" eb="7">
      <t>ジ</t>
    </rPh>
    <rPh sb="7" eb="8">
      <t>エン</t>
    </rPh>
    <rPh sb="9" eb="11">
      <t>チョウリ</t>
    </rPh>
    <phoneticPr fontId="1"/>
  </si>
  <si>
    <t>食事について連携施設等から搬入している(搬入元施設名を下記に記載すること）</t>
    <rPh sb="0" eb="2">
      <t>ショクジ</t>
    </rPh>
    <rPh sb="6" eb="8">
      <t>レンケイ</t>
    </rPh>
    <rPh sb="8" eb="10">
      <t>シセツ</t>
    </rPh>
    <rPh sb="10" eb="11">
      <t>トウ</t>
    </rPh>
    <rPh sb="13" eb="15">
      <t>ハンニュウ</t>
    </rPh>
    <rPh sb="20" eb="22">
      <t>ハンニュウ</t>
    </rPh>
    <rPh sb="22" eb="23">
      <t>モト</t>
    </rPh>
    <phoneticPr fontId="1"/>
  </si>
  <si>
    <t>施設型給付認定開始年月</t>
    <rPh sb="0" eb="3">
      <t>シセツガタ</t>
    </rPh>
    <rPh sb="3" eb="5">
      <t>キュウフ</t>
    </rPh>
    <rPh sb="5" eb="7">
      <t>ニンテイ</t>
    </rPh>
    <rPh sb="7" eb="9">
      <t>カイシ</t>
    </rPh>
    <rPh sb="9" eb="11">
      <t>ネンゲツ</t>
    </rPh>
    <phoneticPr fontId="1"/>
  </si>
  <si>
    <t>※　西暦で入力すること</t>
    <rPh sb="2" eb="4">
      <t>セイレキ</t>
    </rPh>
    <rPh sb="5" eb="7">
      <t>ニュウリョク</t>
    </rPh>
    <phoneticPr fontId="1"/>
  </si>
  <si>
    <t>↓判定が○となった場合のみ</t>
    <rPh sb="1" eb="3">
      <t>ハンテイ</t>
    </rPh>
    <rPh sb="9" eb="11">
      <t>バアイ</t>
    </rPh>
    <phoneticPr fontId="1"/>
  </si>
  <si>
    <t>減算解除要件</t>
    <rPh sb="0" eb="2">
      <t>ゲンサン</t>
    </rPh>
    <rPh sb="2" eb="4">
      <t>カイジョ</t>
    </rPh>
    <rPh sb="4" eb="6">
      <t>ヨウケン</t>
    </rPh>
    <phoneticPr fontId="1"/>
  </si>
  <si>
    <t>13　処遇改善等加算Ⅱ</t>
    <phoneticPr fontId="1"/>
  </si>
  <si>
    <t>札幌市確認</t>
    <rPh sb="0" eb="3">
      <t>サッポロシ</t>
    </rPh>
    <rPh sb="3" eb="5">
      <t>カクニン</t>
    </rPh>
    <phoneticPr fontId="1"/>
  </si>
  <si>
    <t>施設種別</t>
    <rPh sb="0" eb="2">
      <t>シセツ</t>
    </rPh>
    <rPh sb="2" eb="4">
      <t>シュベツ</t>
    </rPh>
    <phoneticPr fontId="1"/>
  </si>
  <si>
    <t>列133</t>
  </si>
  <si>
    <t>分園(内数)/従業員枠（外数）</t>
    <rPh sb="0" eb="2">
      <t>ブンエン</t>
    </rPh>
    <rPh sb="3" eb="5">
      <t>ウチスウ</t>
    </rPh>
    <rPh sb="7" eb="10">
      <t>ジュウギョウイン</t>
    </rPh>
    <rPh sb="10" eb="11">
      <t>ワク</t>
    </rPh>
    <rPh sb="12" eb="13">
      <t>ソト</t>
    </rPh>
    <rPh sb="13" eb="14">
      <t>スウ</t>
    </rPh>
    <phoneticPr fontId="3"/>
  </si>
  <si>
    <t>（うち２号）</t>
    <rPh sb="4" eb="5">
      <t>ゴウ</t>
    </rPh>
    <phoneticPr fontId="3"/>
  </si>
  <si>
    <t>３月のみ加算</t>
    <rPh sb="1" eb="2">
      <t>ガツ</t>
    </rPh>
    <rPh sb="4" eb="6">
      <t>カサン</t>
    </rPh>
    <phoneticPr fontId="1"/>
  </si>
  <si>
    <t>※　減算適用の有無にかかわらず下記を記載すること</t>
    <phoneticPr fontId="1"/>
  </si>
  <si>
    <t>d地域-都市部</t>
    <rPh sb="1" eb="3">
      <t>チイキ</t>
    </rPh>
    <rPh sb="4" eb="7">
      <t>トシブ</t>
    </rPh>
    <phoneticPr fontId="1"/>
  </si>
  <si>
    <t>減算要件
（1～2の要件を全て満たす場合減算）</t>
    <rPh sb="0" eb="2">
      <t>ゲンサン</t>
    </rPh>
    <rPh sb="2" eb="4">
      <t>ヨウケン</t>
    </rPh>
    <rPh sb="10" eb="12">
      <t>ヨウケン</t>
    </rPh>
    <rPh sb="13" eb="14">
      <t>スベ</t>
    </rPh>
    <rPh sb="15" eb="16">
      <t>ミ</t>
    </rPh>
    <rPh sb="18" eb="20">
      <t>バアイ</t>
    </rPh>
    <rPh sb="20" eb="22">
      <t>ゲンサン</t>
    </rPh>
    <phoneticPr fontId="1"/>
  </si>
  <si>
    <t>１　当該月の利用見込み</t>
    <rPh sb="2" eb="4">
      <t>トウガイ</t>
    </rPh>
    <rPh sb="4" eb="5">
      <t>ヅキ</t>
    </rPh>
    <rPh sb="6" eb="8">
      <t>リヨウ</t>
    </rPh>
    <rPh sb="8" eb="10">
      <t>ミコ</t>
    </rPh>
    <phoneticPr fontId="1"/>
  </si>
  <si>
    <t>土曜日</t>
    <rPh sb="0" eb="3">
      <t>ドヨウビ</t>
    </rPh>
    <phoneticPr fontId="1"/>
  </si>
  <si>
    <t>日にち</t>
    <rPh sb="0" eb="1">
      <t>ヒ</t>
    </rPh>
    <phoneticPr fontId="1"/>
  </si>
  <si>
    <t>平日/祝日</t>
    <rPh sb="0" eb="2">
      <t>ヘイジツ</t>
    </rPh>
    <rPh sb="3" eb="5">
      <t>シュクジツ</t>
    </rPh>
    <phoneticPr fontId="1"/>
  </si>
  <si>
    <t>利用児童数（見込）</t>
    <rPh sb="0" eb="2">
      <t>リヨウ</t>
    </rPh>
    <rPh sb="2" eb="4">
      <t>ジドウ</t>
    </rPh>
    <rPh sb="4" eb="5">
      <t>スウ</t>
    </rPh>
    <rPh sb="6" eb="8">
      <t>ミコミ</t>
    </rPh>
    <phoneticPr fontId="1"/>
  </si>
  <si>
    <t>土曜日</t>
    <rPh sb="0" eb="2">
      <t>ドヨウ</t>
    </rPh>
    <rPh sb="2" eb="3">
      <t>ビ</t>
    </rPh>
    <phoneticPr fontId="1"/>
  </si>
  <si>
    <t>土曜順</t>
    <rPh sb="0" eb="2">
      <t>ドヨウ</t>
    </rPh>
    <rPh sb="2" eb="3">
      <t>ジュン</t>
    </rPh>
    <phoneticPr fontId="1"/>
  </si>
  <si>
    <t>祝・休日</t>
    <rPh sb="0" eb="1">
      <t>シュク</t>
    </rPh>
    <rPh sb="2" eb="4">
      <t>キュウジツ</t>
    </rPh>
    <phoneticPr fontId="1"/>
  </si>
  <si>
    <t>減算区分：</t>
    <rPh sb="0" eb="2">
      <t>ゲンサン</t>
    </rPh>
    <rPh sb="2" eb="4">
      <t>クブン</t>
    </rPh>
    <phoneticPr fontId="1"/>
  </si>
  <si>
    <t>2　前月の利用実績</t>
    <rPh sb="2" eb="4">
      <t>ゼンゲツ</t>
    </rPh>
    <rPh sb="5" eb="7">
      <t>リヨウ</t>
    </rPh>
    <rPh sb="7" eb="9">
      <t>ジッセキ</t>
    </rPh>
    <phoneticPr fontId="1"/>
  </si>
  <si>
    <t>減算(見込)</t>
    <rPh sb="0" eb="2">
      <t>ゲンサン</t>
    </rPh>
    <rPh sb="3" eb="5">
      <t>ミコミ</t>
    </rPh>
    <phoneticPr fontId="1"/>
  </si>
  <si>
    <t>利用児童数（実績）</t>
    <rPh sb="0" eb="2">
      <t>リヨウ</t>
    </rPh>
    <rPh sb="2" eb="4">
      <t>ジドウ</t>
    </rPh>
    <rPh sb="4" eb="5">
      <t>スウ</t>
    </rPh>
    <rPh sb="6" eb="8">
      <t>ジッセキ</t>
    </rPh>
    <phoneticPr fontId="1"/>
  </si>
  <si>
    <t>減算区分(見込)：</t>
    <rPh sb="0" eb="2">
      <t>ゲンサン</t>
    </rPh>
    <rPh sb="2" eb="4">
      <t>クブン</t>
    </rPh>
    <rPh sb="5" eb="7">
      <t>ミコミ</t>
    </rPh>
    <phoneticPr fontId="1"/>
  </si>
  <si>
    <t>減算区分(実績)：</t>
    <rPh sb="0" eb="2">
      <t>ゲンサン</t>
    </rPh>
    <rPh sb="2" eb="4">
      <t>クブン</t>
    </rPh>
    <rPh sb="5" eb="7">
      <t>ジッセキ</t>
    </rPh>
    <phoneticPr fontId="1"/>
  </si>
  <si>
    <t>年</t>
    <rPh sb="0" eb="1">
      <t>ネン</t>
    </rPh>
    <phoneticPr fontId="3"/>
  </si>
  <si>
    <t>月</t>
    <rPh sb="0" eb="1">
      <t>ガツ</t>
    </rPh>
    <phoneticPr fontId="3"/>
  </si>
  <si>
    <t>非常勤職員勤務シフト表</t>
    <rPh sb="0" eb="3">
      <t>ヒジョウキン</t>
    </rPh>
    <rPh sb="3" eb="5">
      <t>ショクイン</t>
    </rPh>
    <rPh sb="5" eb="7">
      <t>キンム</t>
    </rPh>
    <rPh sb="10" eb="11">
      <t>ヒョウ</t>
    </rPh>
    <phoneticPr fontId="3"/>
  </si>
  <si>
    <t>値</t>
    <rPh sb="0" eb="1">
      <t>アタイ</t>
    </rPh>
    <phoneticPr fontId="3"/>
  </si>
  <si>
    <t>時</t>
    <rPh sb="0" eb="1">
      <t>トキ</t>
    </rPh>
    <phoneticPr fontId="3"/>
  </si>
  <si>
    <t>時間</t>
    <rPh sb="0" eb="2">
      <t>ジカン</t>
    </rPh>
    <phoneticPr fontId="3"/>
  </si>
  <si>
    <t>月</t>
    <rPh sb="0" eb="1">
      <t>ツキ</t>
    </rPh>
    <phoneticPr fontId="3"/>
  </si>
  <si>
    <t>曜日</t>
    <rPh sb="0" eb="2">
      <t>ヨウビ</t>
    </rPh>
    <phoneticPr fontId="3"/>
  </si>
  <si>
    <t>（日）</t>
    <rPh sb="1" eb="2">
      <t>ニチ</t>
    </rPh>
    <phoneticPr fontId="3"/>
  </si>
  <si>
    <t>（月）</t>
    <rPh sb="1" eb="2">
      <t>ゲツ</t>
    </rPh>
    <phoneticPr fontId="3"/>
  </si>
  <si>
    <t>（火）</t>
    <rPh sb="1" eb="2">
      <t>ヒ</t>
    </rPh>
    <phoneticPr fontId="3"/>
  </si>
  <si>
    <t>（水）</t>
    <rPh sb="1" eb="2">
      <t>スイ</t>
    </rPh>
    <phoneticPr fontId="3"/>
  </si>
  <si>
    <t>（木）</t>
    <rPh sb="1" eb="2">
      <t>キ</t>
    </rPh>
    <phoneticPr fontId="3"/>
  </si>
  <si>
    <t>（金）</t>
    <rPh sb="1" eb="2">
      <t>キン</t>
    </rPh>
    <phoneticPr fontId="3"/>
  </si>
  <si>
    <t>（土）</t>
    <rPh sb="1" eb="2">
      <t>ド</t>
    </rPh>
    <phoneticPr fontId="3"/>
  </si>
  <si>
    <t>分</t>
    <rPh sb="0" eb="1">
      <t>フン</t>
    </rPh>
    <phoneticPr fontId="3"/>
  </si>
  <si>
    <t>氏名</t>
    <rPh sb="0" eb="2">
      <t>シメイ</t>
    </rPh>
    <phoneticPr fontId="3"/>
  </si>
  <si>
    <t>日にち</t>
    <rPh sb="0" eb="1">
      <t>ニチ</t>
    </rPh>
    <phoneticPr fontId="3"/>
  </si>
  <si>
    <t>曜日</t>
    <rPh sb="0" eb="1">
      <t>ヨウビ</t>
    </rPh>
    <rPh sb="1" eb="2">
      <t>ビ</t>
    </rPh>
    <phoneticPr fontId="3"/>
  </si>
  <si>
    <t>時間数</t>
    <rPh sb="0" eb="3">
      <t>ジカンスウ</t>
    </rPh>
    <phoneticPr fontId="3"/>
  </si>
  <si>
    <t>【祝日情報】</t>
    <rPh sb="1" eb="3">
      <t>シュクジツ</t>
    </rPh>
    <rPh sb="3" eb="5">
      <t>ジョウホウ</t>
    </rPh>
    <phoneticPr fontId="3"/>
  </si>
  <si>
    <r>
      <t>当該シートに祝日を入力すると、利用状況表で対応する日が「</t>
    </r>
    <r>
      <rPr>
        <sz val="12"/>
        <color rgb="FFFF0000"/>
        <rFont val="ＭＳ Ｐゴシック"/>
        <family val="3"/>
        <charset val="128"/>
      </rPr>
      <t>赤表示</t>
    </r>
    <r>
      <rPr>
        <sz val="12"/>
        <rFont val="ＭＳ Ｐゴシック"/>
        <family val="3"/>
        <charset val="128"/>
      </rPr>
      <t>」になります。</t>
    </r>
    <rPh sb="0" eb="2">
      <t>トウガイ</t>
    </rPh>
    <rPh sb="6" eb="8">
      <t>シュクジツ</t>
    </rPh>
    <rPh sb="9" eb="11">
      <t>ニュウリョク</t>
    </rPh>
    <rPh sb="15" eb="17">
      <t>リヨウ</t>
    </rPh>
    <rPh sb="17" eb="19">
      <t>ジョウキョウ</t>
    </rPh>
    <rPh sb="19" eb="20">
      <t>ヒョウ</t>
    </rPh>
    <rPh sb="21" eb="23">
      <t>タイオウ</t>
    </rPh>
    <rPh sb="25" eb="26">
      <t>ヒ</t>
    </rPh>
    <rPh sb="28" eb="29">
      <t>アカ</t>
    </rPh>
    <rPh sb="29" eb="31">
      <t>ヒョウジ</t>
    </rPh>
    <phoneticPr fontId="3"/>
  </si>
  <si>
    <t>日付</t>
    <rPh sb="0" eb="2">
      <t>ヒヅケ</t>
    </rPh>
    <phoneticPr fontId="3"/>
  </si>
  <si>
    <t>祝日名</t>
    <rPh sb="0" eb="2">
      <t>シュクジツ</t>
    </rPh>
    <rPh sb="2" eb="3">
      <t>メイ</t>
    </rPh>
    <phoneticPr fontId="3"/>
  </si>
  <si>
    <t>元日</t>
  </si>
  <si>
    <t>成人の日</t>
  </si>
  <si>
    <t>建国記念の日</t>
  </si>
  <si>
    <t>春分の日</t>
  </si>
  <si>
    <t>天皇誕生日</t>
  </si>
  <si>
    <t>昭和の日</t>
  </si>
  <si>
    <t>憲法記念日</t>
  </si>
  <si>
    <t>みどりの日</t>
  </si>
  <si>
    <t>こどもの日</t>
  </si>
  <si>
    <t>海の日</t>
  </si>
  <si>
    <t>山の日</t>
  </si>
  <si>
    <t>敬老の日</t>
  </si>
  <si>
    <t>スポーツの日</t>
  </si>
  <si>
    <t>秋分の日</t>
  </si>
  <si>
    <t>文化の日</t>
  </si>
  <si>
    <t>勤労感謝の日</t>
  </si>
  <si>
    <t>日付</t>
    <rPh sb="0" eb="2">
      <t>ヒヅケ</t>
    </rPh>
    <phoneticPr fontId="1"/>
  </si>
  <si>
    <t>Ver.</t>
    <phoneticPr fontId="1"/>
  </si>
  <si>
    <t>変更項目</t>
    <rPh sb="0" eb="2">
      <t>ヘンコウ</t>
    </rPh>
    <rPh sb="2" eb="4">
      <t>コウモク</t>
    </rPh>
    <phoneticPr fontId="1"/>
  </si>
  <si>
    <t>初期</t>
    <rPh sb="0" eb="2">
      <t>ショキ</t>
    </rPh>
    <phoneticPr fontId="1"/>
  </si>
  <si>
    <t>市内</t>
    <rPh sb="0" eb="2">
      <t>シナイ</t>
    </rPh>
    <phoneticPr fontId="1"/>
  </si>
  <si>
    <t>市内/外</t>
    <rPh sb="0" eb="2">
      <t>シナイ</t>
    </rPh>
    <rPh sb="3" eb="4">
      <t>ガイ</t>
    </rPh>
    <phoneticPr fontId="1"/>
  </si>
  <si>
    <t>市外</t>
    <rPh sb="0" eb="2">
      <t>シガイ</t>
    </rPh>
    <phoneticPr fontId="1"/>
  </si>
  <si>
    <t>各月初日における利用児童数(市外児童含む)</t>
    <rPh sb="0" eb="1">
      <t>カク</t>
    </rPh>
    <rPh sb="1" eb="2">
      <t>ツキ</t>
    </rPh>
    <rPh sb="2" eb="4">
      <t>ショニチ</t>
    </rPh>
    <rPh sb="8" eb="10">
      <t>リヨウ</t>
    </rPh>
    <rPh sb="10" eb="12">
      <t>ジドウ</t>
    </rPh>
    <rPh sb="12" eb="13">
      <t>スウ</t>
    </rPh>
    <rPh sb="14" eb="16">
      <t>シガイ</t>
    </rPh>
    <rPh sb="16" eb="18">
      <t>ジドウ</t>
    </rPh>
    <rPh sb="18" eb="19">
      <t>フク</t>
    </rPh>
    <phoneticPr fontId="1"/>
  </si>
  <si>
    <t>（総計）</t>
    <rPh sb="1" eb="2">
      <t>ソウ</t>
    </rPh>
    <rPh sb="2" eb="3">
      <t>ケイ</t>
    </rPh>
    <phoneticPr fontId="1"/>
  </si>
  <si>
    <t>総計</t>
    <rPh sb="0" eb="2">
      <t>ソウケイ</t>
    </rPh>
    <phoneticPr fontId="1"/>
  </si>
  <si>
    <t>↓【判定】…個票を入力することで、申請の有無に「〇」又は該当する区分が表示されます。</t>
    <rPh sb="2" eb="4">
      <t>ハンテイ</t>
    </rPh>
    <rPh sb="6" eb="8">
      <t>コヒョウ</t>
    </rPh>
    <rPh sb="9" eb="11">
      <t>ニュウリョク</t>
    </rPh>
    <rPh sb="17" eb="19">
      <t>シンセイ</t>
    </rPh>
    <rPh sb="20" eb="22">
      <t>ウム</t>
    </rPh>
    <rPh sb="26" eb="27">
      <t>マタ</t>
    </rPh>
    <rPh sb="28" eb="30">
      <t>ガイトウ</t>
    </rPh>
    <rPh sb="32" eb="34">
      <t>クブン</t>
    </rPh>
    <rPh sb="35" eb="37">
      <t>ヒョウジ</t>
    </rPh>
    <phoneticPr fontId="1"/>
  </si>
  <si>
    <t>都市部</t>
    <rPh sb="0" eb="3">
      <t>トシブ</t>
    </rPh>
    <phoneticPr fontId="1"/>
  </si>
  <si>
    <t>土曜閉所</t>
    <rPh sb="0" eb="2">
      <t>ドヨウ</t>
    </rPh>
    <rPh sb="2" eb="4">
      <t>ヘイショ</t>
    </rPh>
    <phoneticPr fontId="1"/>
  </si>
  <si>
    <t>3　障害児保育加算</t>
    <rPh sb="2" eb="4">
      <t>ショウガイ</t>
    </rPh>
    <rPh sb="4" eb="5">
      <t>ジ</t>
    </rPh>
    <rPh sb="5" eb="7">
      <t>ホイク</t>
    </rPh>
    <phoneticPr fontId="1"/>
  </si>
  <si>
    <t>対象の有無</t>
    <rPh sb="0" eb="2">
      <t>タイショウ</t>
    </rPh>
    <rPh sb="3" eb="5">
      <t>ウム</t>
    </rPh>
    <phoneticPr fontId="1"/>
  </si>
  <si>
    <t>障がい</t>
    <rPh sb="0" eb="1">
      <t>ショウ</t>
    </rPh>
    <phoneticPr fontId="1"/>
  </si>
  <si>
    <t>入所</t>
    <rPh sb="0" eb="2">
      <t>ニュウショ</t>
    </rPh>
    <phoneticPr fontId="1"/>
  </si>
  <si>
    <t>認定</t>
    <rPh sb="0" eb="2">
      <t>ニンテイ</t>
    </rPh>
    <phoneticPr fontId="1"/>
  </si>
  <si>
    <t>生年月日</t>
    <rPh sb="0" eb="2">
      <t>セイネン</t>
    </rPh>
    <rPh sb="2" eb="4">
      <t>ガッピ</t>
    </rPh>
    <phoneticPr fontId="1"/>
  </si>
  <si>
    <t>4　休日保育加算</t>
    <rPh sb="2" eb="4">
      <t>キュウジツ</t>
    </rPh>
    <rPh sb="4" eb="6">
      <t>ホイク</t>
    </rPh>
    <rPh sb="6" eb="8">
      <t>カサン</t>
    </rPh>
    <phoneticPr fontId="1"/>
  </si>
  <si>
    <t>6　減価償却費加算</t>
    <rPh sb="2" eb="4">
      <t>ゲンカ</t>
    </rPh>
    <rPh sb="4" eb="6">
      <t>ショウキャク</t>
    </rPh>
    <rPh sb="6" eb="7">
      <t>ヒ</t>
    </rPh>
    <rPh sb="7" eb="9">
      <t>カサン</t>
    </rPh>
    <phoneticPr fontId="1"/>
  </si>
  <si>
    <t>7　賃借料加算</t>
    <rPh sb="2" eb="5">
      <t>チンシャクリョウ</t>
    </rPh>
    <rPh sb="5" eb="7">
      <t>カサン</t>
    </rPh>
    <phoneticPr fontId="1"/>
  </si>
  <si>
    <t>8　連携施設を設定しない場合</t>
    <rPh sb="2" eb="4">
      <t>レンケイ</t>
    </rPh>
    <rPh sb="4" eb="6">
      <t>シセツ</t>
    </rPh>
    <rPh sb="7" eb="9">
      <t>セッテイ</t>
    </rPh>
    <rPh sb="12" eb="14">
      <t>バアイ</t>
    </rPh>
    <phoneticPr fontId="1"/>
  </si>
  <si>
    <t>9　食事の提供について自園調理又は連携施設等からの搬入以外の方法による場合</t>
    <phoneticPr fontId="1"/>
  </si>
  <si>
    <t>10　管理者を配置しない場合</t>
    <rPh sb="3" eb="6">
      <t>カンリシャ</t>
    </rPh>
    <rPh sb="7" eb="9">
      <t>ハイチ</t>
    </rPh>
    <rPh sb="12" eb="14">
      <t>バアイ</t>
    </rPh>
    <phoneticPr fontId="1"/>
  </si>
  <si>
    <t>※3　２以上の施設若しくは他の事業と兼務し、管理者として職務を行っていない者は欠員とみなし当該減算を適用する。　　　　　　　　　　　　　　　　　　　　　　　　　　　　　　　　　　　　　　　　　　　　　　　　　　　　　　　　　　　　　　　　　　　　　　　　　　　　　　　　　　　　　　　　　　　　　　　　　　　　　　</t>
    <rPh sb="4" eb="6">
      <t>イジョウ</t>
    </rPh>
    <rPh sb="7" eb="9">
      <t>シセツ</t>
    </rPh>
    <rPh sb="9" eb="10">
      <t>モ</t>
    </rPh>
    <rPh sb="13" eb="14">
      <t>タ</t>
    </rPh>
    <rPh sb="15" eb="17">
      <t>ジギョウ</t>
    </rPh>
    <rPh sb="18" eb="20">
      <t>ケンム</t>
    </rPh>
    <rPh sb="22" eb="25">
      <t>カンリシャ</t>
    </rPh>
    <rPh sb="28" eb="30">
      <t>ショクム</t>
    </rPh>
    <rPh sb="31" eb="32">
      <t>オコナ</t>
    </rPh>
    <rPh sb="37" eb="38">
      <t>モノ</t>
    </rPh>
    <rPh sb="39" eb="41">
      <t>ケツイン</t>
    </rPh>
    <phoneticPr fontId="1"/>
  </si>
  <si>
    <t>③　同一法人内で複数施設又は事業を運営している場合は、別紙１－２を作成すること。なお、別紙も可能。</t>
    <rPh sb="2" eb="4">
      <t>ドウイツ</t>
    </rPh>
    <rPh sb="4" eb="6">
      <t>ホウジン</t>
    </rPh>
    <rPh sb="6" eb="7">
      <t>ナイ</t>
    </rPh>
    <rPh sb="8" eb="10">
      <t>フクスウ</t>
    </rPh>
    <rPh sb="10" eb="12">
      <t>シセツ</t>
    </rPh>
    <rPh sb="12" eb="13">
      <t>マタ</t>
    </rPh>
    <rPh sb="14" eb="16">
      <t>ジギョウ</t>
    </rPh>
    <rPh sb="17" eb="19">
      <t>ウンエイ</t>
    </rPh>
    <rPh sb="23" eb="25">
      <t>バアイ</t>
    </rPh>
    <rPh sb="27" eb="29">
      <t>ベッシ</t>
    </rPh>
    <rPh sb="33" eb="35">
      <t>サクセイ</t>
    </rPh>
    <rPh sb="43" eb="45">
      <t>ベッシ</t>
    </rPh>
    <rPh sb="46" eb="48">
      <t>カノウ</t>
    </rPh>
    <phoneticPr fontId="1"/>
  </si>
  <si>
    <t>閉所している日数</t>
    <rPh sb="0" eb="2">
      <t>ヘイショ</t>
    </rPh>
    <rPh sb="6" eb="8">
      <t>ニッスウ</t>
    </rPh>
    <phoneticPr fontId="1"/>
  </si>
  <si>
    <t>※　土曜日（国民の祝日及び休日を除く）に係る保育の利用希望が無いなどの理由により土曜日に閉所する日がある月に適用されます。また、開所していても利用児童が無く保育の提供をしていない場合には閉所しているものとして扱います。なお、共同保育により利用希望者の保育を確保した場合は、閉所日数に含めません。</t>
    <phoneticPr fontId="1"/>
  </si>
  <si>
    <t>栄養士を配置している(以下の①又は②を記入すること)※</t>
    <rPh sb="0" eb="3">
      <t>エイヨウシ</t>
    </rPh>
    <rPh sb="4" eb="6">
      <t>ハイチ</t>
    </rPh>
    <rPh sb="11" eb="13">
      <t>イカ</t>
    </rPh>
    <rPh sb="15" eb="16">
      <t>マタ</t>
    </rPh>
    <rPh sb="19" eb="21">
      <t>キニュウ</t>
    </rPh>
    <phoneticPr fontId="1"/>
  </si>
  <si>
    <t>【参考】基本配置の調理員の配置状況</t>
    <rPh sb="1" eb="3">
      <t>サンコウ</t>
    </rPh>
    <rPh sb="4" eb="6">
      <t>キホン</t>
    </rPh>
    <rPh sb="6" eb="8">
      <t>ハイチ</t>
    </rPh>
    <rPh sb="9" eb="12">
      <t>チョウリイン</t>
    </rPh>
    <rPh sb="13" eb="15">
      <t>ハイチ</t>
    </rPh>
    <rPh sb="15" eb="17">
      <t>ジョウキョウ</t>
    </rPh>
    <phoneticPr fontId="1"/>
  </si>
  <si>
    <t>直接雇用以外(嘱託等)</t>
    <rPh sb="0" eb="2">
      <t>チョクセツ</t>
    </rPh>
    <rPh sb="2" eb="4">
      <t>コヨウ</t>
    </rPh>
    <rPh sb="4" eb="6">
      <t>イガイ</t>
    </rPh>
    <rPh sb="7" eb="9">
      <t>ショクタク</t>
    </rPh>
    <rPh sb="9" eb="10">
      <t>トウ</t>
    </rPh>
    <phoneticPr fontId="1"/>
  </si>
  <si>
    <t>②　栄養士の資格証の写し</t>
    <rPh sb="2" eb="5">
      <t>エイヨウシ</t>
    </rPh>
    <rPh sb="6" eb="8">
      <t>シカク</t>
    </rPh>
    <rPh sb="8" eb="9">
      <t>ショウ</t>
    </rPh>
    <rPh sb="10" eb="11">
      <t>ウツ</t>
    </rPh>
    <phoneticPr fontId="1"/>
  </si>
  <si>
    <t>土曜日に閉所している日がある</t>
    <rPh sb="0" eb="2">
      <t>ドヨウ</t>
    </rPh>
    <rPh sb="2" eb="3">
      <t>ビ</t>
    </rPh>
    <rPh sb="4" eb="6">
      <t>ヘイショ</t>
    </rPh>
    <rPh sb="10" eb="11">
      <t>ヒ</t>
    </rPh>
    <phoneticPr fontId="1"/>
  </si>
  <si>
    <t>②　当該様式は、本市～施設間で加算認定の齟齬を確認するための様式です。当該様式を申請書に代えて使用することはできませんのでご注意ください。</t>
    <phoneticPr fontId="1"/>
  </si>
  <si>
    <t>毎月分提出する必要があります。</t>
    <rPh sb="0" eb="2">
      <t>マイツキ</t>
    </rPh>
    <rPh sb="2" eb="3">
      <t>ブン</t>
    </rPh>
    <rPh sb="3" eb="5">
      <t>テイシュツ</t>
    </rPh>
    <rPh sb="7" eb="9">
      <t>ヒツヨウ</t>
    </rPh>
    <phoneticPr fontId="1"/>
  </si>
  <si>
    <t>【様式2】</t>
    <rPh sb="1" eb="3">
      <t>ヨウシキ</t>
    </rPh>
    <phoneticPr fontId="1"/>
  </si>
  <si>
    <t>【様式3】</t>
    <rPh sb="1" eb="3">
      <t>ヨウシキ</t>
    </rPh>
    <phoneticPr fontId="1"/>
  </si>
  <si>
    <t>【様式6】</t>
    <rPh sb="1" eb="3">
      <t>ヨウシキ</t>
    </rPh>
    <phoneticPr fontId="1"/>
  </si>
  <si>
    <t>①　別紙1-1（現在までの経歴・職務をまとめた経歴書）</t>
    <rPh sb="2" eb="4">
      <t>ベッシ</t>
    </rPh>
    <rPh sb="8" eb="10">
      <t>ゲンザイ</t>
    </rPh>
    <rPh sb="13" eb="15">
      <t>ケイレキ</t>
    </rPh>
    <rPh sb="16" eb="18">
      <t>ショクム</t>
    </rPh>
    <rPh sb="23" eb="26">
      <t>ケイレキショ</t>
    </rPh>
    <phoneticPr fontId="1"/>
  </si>
  <si>
    <t>⑤　様式2</t>
    <rPh sb="2" eb="4">
      <t>ヨウシキ</t>
    </rPh>
    <phoneticPr fontId="1"/>
  </si>
  <si>
    <t>①　様式2/様式5</t>
    <rPh sb="2" eb="4">
      <t>ヨウシキ</t>
    </rPh>
    <rPh sb="6" eb="8">
      <t>ヨウシキ</t>
    </rPh>
    <phoneticPr fontId="1"/>
  </si>
  <si>
    <t>職員配置を充足している（様式5）</t>
    <rPh sb="12" eb="14">
      <t>ヨウシキ</t>
    </rPh>
    <phoneticPr fontId="1"/>
  </si>
  <si>
    <t>②　様式5</t>
    <rPh sb="2" eb="4">
      <t>ヨウシキ</t>
    </rPh>
    <phoneticPr fontId="1"/>
  </si>
  <si>
    <t>　 加算要件
(１～３の要件全てに該当する場合に加算)</t>
    <rPh sb="2" eb="4">
      <t>カサン</t>
    </rPh>
    <rPh sb="4" eb="6">
      <t>ヨウケン</t>
    </rPh>
    <rPh sb="13" eb="15">
      <t>ヨウケン</t>
    </rPh>
    <rPh sb="15" eb="16">
      <t>スベ</t>
    </rPh>
    <rPh sb="18" eb="20">
      <t>ガイトウ</t>
    </rPh>
    <rPh sb="22" eb="24">
      <t>バアイ</t>
    </rPh>
    <rPh sb="25" eb="27">
      <t>カサン</t>
    </rPh>
    <phoneticPr fontId="1"/>
  </si>
  <si>
    <r>
      <t>非常勤事務職員（①～③のうち</t>
    </r>
    <r>
      <rPr>
        <sz val="10"/>
        <color rgb="FFFF0000"/>
        <rFont val="ＭＳ 明朝"/>
        <family val="1"/>
        <charset val="128"/>
      </rPr>
      <t>一つを選択※1</t>
    </r>
    <r>
      <rPr>
        <sz val="10"/>
        <rFont val="ＭＳ 明朝"/>
        <family val="1"/>
        <charset val="128"/>
      </rPr>
      <t>）</t>
    </r>
    <rPh sb="0" eb="3">
      <t>ヒジョウキン</t>
    </rPh>
    <rPh sb="3" eb="5">
      <t>ジム</t>
    </rPh>
    <rPh sb="5" eb="7">
      <t>ショクイン</t>
    </rPh>
    <rPh sb="14" eb="15">
      <t>ヒト</t>
    </rPh>
    <rPh sb="17" eb="19">
      <t>センタク</t>
    </rPh>
    <phoneticPr fontId="1"/>
  </si>
  <si>
    <r>
      <t>児童福祉事業等の従事経験2年以上</t>
    </r>
    <r>
      <rPr>
        <vertAlign val="superscript"/>
        <sz val="10"/>
        <rFont val="ＭＳ 明朝"/>
        <family val="1"/>
        <charset val="128"/>
      </rPr>
      <t>※1</t>
    </r>
    <rPh sb="0" eb="2">
      <t>ジドウ</t>
    </rPh>
    <rPh sb="2" eb="4">
      <t>フクシ</t>
    </rPh>
    <rPh sb="4" eb="6">
      <t>ジギョウ</t>
    </rPh>
    <rPh sb="6" eb="7">
      <t>トウ</t>
    </rPh>
    <rPh sb="8" eb="10">
      <t>ジュウジ</t>
    </rPh>
    <rPh sb="10" eb="12">
      <t>ケイケン</t>
    </rPh>
    <rPh sb="13" eb="14">
      <t>ネン</t>
    </rPh>
    <rPh sb="14" eb="16">
      <t>イジョウ</t>
    </rPh>
    <phoneticPr fontId="1"/>
  </si>
  <si>
    <t>区分</t>
    <rPh sb="0" eb="2">
      <t>クブン</t>
    </rPh>
    <phoneticPr fontId="1"/>
  </si>
  <si>
    <t>①</t>
    <phoneticPr fontId="1"/>
  </si>
  <si>
    <t>②</t>
    <phoneticPr fontId="1"/>
  </si>
  <si>
    <t>共同保育施設名：</t>
    <rPh sb="0" eb="2">
      <t>キョウドウ</t>
    </rPh>
    <rPh sb="2" eb="4">
      <t>ホイク</t>
    </rPh>
    <rPh sb="4" eb="6">
      <t>シセツ</t>
    </rPh>
    <rPh sb="6" eb="7">
      <t>メイ</t>
    </rPh>
    <phoneticPr fontId="1"/>
  </si>
  <si>
    <t>休日等を含めて年間を通じて受け入れ態勢を確保している(①又は②のどちらかを満たすこと）</t>
    <rPh sb="0" eb="2">
      <t>キュウジツ</t>
    </rPh>
    <rPh sb="2" eb="3">
      <t>トウ</t>
    </rPh>
    <rPh sb="4" eb="5">
      <t>フク</t>
    </rPh>
    <rPh sb="7" eb="9">
      <t>ネンカン</t>
    </rPh>
    <rPh sb="10" eb="11">
      <t>ツウ</t>
    </rPh>
    <rPh sb="13" eb="14">
      <t>ウ</t>
    </rPh>
    <rPh sb="15" eb="16">
      <t>イ</t>
    </rPh>
    <rPh sb="17" eb="19">
      <t>タイセイ</t>
    </rPh>
    <rPh sb="20" eb="22">
      <t>カクホ</t>
    </rPh>
    <rPh sb="28" eb="29">
      <t>マタ</t>
    </rPh>
    <rPh sb="37" eb="38">
      <t>ミ</t>
    </rPh>
    <phoneticPr fontId="1"/>
  </si>
  <si>
    <t>※　下記「Ⅱ　個票」については、『当該年度に始めて申請するとき』または『変更があるとき』のみ該当の加算分を作成をしてください（それ以外の場合は作成不要）。</t>
    <rPh sb="2" eb="4">
      <t>カキ</t>
    </rPh>
    <rPh sb="22" eb="23">
      <t>ハジ</t>
    </rPh>
    <phoneticPr fontId="1"/>
  </si>
  <si>
    <t>　１施設当たりの改修等に要した費用を2,000で除して得た値が、建物全体の延面積に２を乗じて得た値を上回る場合で、かつ、改修等に要した費用が1,000万円以上</t>
    <phoneticPr fontId="1"/>
  </si>
  <si>
    <t>04小規模A・B・C</t>
  </si>
  <si>
    <t>厚別区</t>
  </si>
  <si>
    <t>06事業所内</t>
  </si>
  <si>
    <t>事小</t>
  </si>
  <si>
    <t>事保</t>
  </si>
  <si>
    <t>①　職員氏名</t>
    <rPh sb="2" eb="4">
      <t>ショクイン</t>
    </rPh>
    <rPh sb="4" eb="6">
      <t>シメイ</t>
    </rPh>
    <phoneticPr fontId="3"/>
  </si>
  <si>
    <t>加算要件
(要件に該当かつ下記の利用児童表を記載した場合に加算)</t>
    <phoneticPr fontId="1"/>
  </si>
  <si>
    <t>　建物の設備に当たって、施設整備費又は改修費等の国庫補助金の交付を受けていない</t>
    <rPh sb="1" eb="3">
      <t>タテモノ</t>
    </rPh>
    <rPh sb="4" eb="6">
      <t>セツビ</t>
    </rPh>
    <rPh sb="7" eb="8">
      <t>ア</t>
    </rPh>
    <rPh sb="12" eb="14">
      <t>シセツ</t>
    </rPh>
    <rPh sb="14" eb="17">
      <t>セイビヒ</t>
    </rPh>
    <rPh sb="17" eb="18">
      <t>マタ</t>
    </rPh>
    <rPh sb="19" eb="21">
      <t>カイシュウ</t>
    </rPh>
    <rPh sb="21" eb="22">
      <t>ヒ</t>
    </rPh>
    <rPh sb="22" eb="23">
      <t>トウ</t>
    </rPh>
    <rPh sb="24" eb="26">
      <t>コッコ</t>
    </rPh>
    <rPh sb="26" eb="29">
      <t>ホジョキン</t>
    </rPh>
    <rPh sb="30" eb="32">
      <t>コウフ</t>
    </rPh>
    <rPh sb="33" eb="34">
      <t>ウ</t>
    </rPh>
    <phoneticPr fontId="1"/>
  </si>
  <si>
    <t>　建物を整備・改修又は取得する際に、建設資金又は購入資金が発生している</t>
    <rPh sb="7" eb="9">
      <t>カイシュウ</t>
    </rPh>
    <phoneticPr fontId="1"/>
  </si>
  <si>
    <t>　地域型保育事業所の用に供する建物に対する賃借料が発生している</t>
    <rPh sb="1" eb="4">
      <t>チイキガタ</t>
    </rPh>
    <rPh sb="4" eb="6">
      <t>ホイク</t>
    </rPh>
    <rPh sb="6" eb="9">
      <t>ジギョウショ</t>
    </rPh>
    <rPh sb="18" eb="19">
      <t>タイ</t>
    </rPh>
    <rPh sb="21" eb="24">
      <t>チンシャクリョウ</t>
    </rPh>
    <rPh sb="25" eb="27">
      <t>ハッセイ</t>
    </rPh>
    <phoneticPr fontId="1"/>
  </si>
  <si>
    <t>　賃借料の国庫補助を受けた施設については、当該補助に係る残額が生じていない</t>
    <rPh sb="1" eb="4">
      <t>チンシャクリョウ</t>
    </rPh>
    <phoneticPr fontId="1"/>
  </si>
  <si>
    <r>
      <t>　連携施設について、卒園児童分の受け入れ枠(引き続き教育又は保育の提供を受け入れ）を整えている</t>
    </r>
    <r>
      <rPr>
        <b/>
        <sz val="10"/>
        <color rgb="FFFF0000"/>
        <rFont val="ＭＳ 明朝"/>
        <family val="1"/>
        <charset val="128"/>
      </rPr>
      <t>（２歳児の定員分の確保が必要）</t>
    </r>
    <rPh sb="1" eb="3">
      <t>レンケイ</t>
    </rPh>
    <rPh sb="3" eb="5">
      <t>シセツ</t>
    </rPh>
    <rPh sb="10" eb="13">
      <t>ソツエンジ</t>
    </rPh>
    <rPh sb="13" eb="14">
      <t>ワラベ</t>
    </rPh>
    <rPh sb="14" eb="15">
      <t>ブン</t>
    </rPh>
    <rPh sb="16" eb="17">
      <t>ウ</t>
    </rPh>
    <rPh sb="18" eb="19">
      <t>イ</t>
    </rPh>
    <rPh sb="20" eb="21">
      <t>ワク</t>
    </rPh>
    <rPh sb="22" eb="23">
      <t>ヒ</t>
    </rPh>
    <rPh sb="24" eb="25">
      <t>ツヅ</t>
    </rPh>
    <rPh sb="26" eb="28">
      <t>キョウイク</t>
    </rPh>
    <rPh sb="28" eb="29">
      <t>マタ</t>
    </rPh>
    <rPh sb="30" eb="32">
      <t>ホイク</t>
    </rPh>
    <rPh sb="33" eb="35">
      <t>テイキョウ</t>
    </rPh>
    <rPh sb="36" eb="37">
      <t>ウ</t>
    </rPh>
    <rPh sb="38" eb="39">
      <t>イ</t>
    </rPh>
    <rPh sb="42" eb="43">
      <t>トトノ</t>
    </rPh>
    <rPh sb="49" eb="50">
      <t>サイ</t>
    </rPh>
    <rPh sb="50" eb="51">
      <t>ジ</t>
    </rPh>
    <rPh sb="52" eb="54">
      <t>テイイン</t>
    </rPh>
    <rPh sb="54" eb="55">
      <t>ブン</t>
    </rPh>
    <rPh sb="56" eb="58">
      <t>カクホ</t>
    </rPh>
    <rPh sb="59" eb="61">
      <t>ヒツヨウ</t>
    </rPh>
    <phoneticPr fontId="1"/>
  </si>
  <si>
    <t>　連携施設から、代替保育（事業所の職員の病気、休暇等により保育を提供することができない場合に、当該事業所に代わって提供する保育をいう。）の提供を受けている</t>
    <rPh sb="1" eb="3">
      <t>レンケイ</t>
    </rPh>
    <rPh sb="3" eb="5">
      <t>シセツ</t>
    </rPh>
    <rPh sb="8" eb="10">
      <t>ダイタイ</t>
    </rPh>
    <rPh sb="10" eb="12">
      <t>ホイク</t>
    </rPh>
    <rPh sb="13" eb="15">
      <t>ジギョウ</t>
    </rPh>
    <rPh sb="15" eb="16">
      <t>ショ</t>
    </rPh>
    <rPh sb="17" eb="19">
      <t>ショクイン</t>
    </rPh>
    <rPh sb="20" eb="22">
      <t>ビョウキ</t>
    </rPh>
    <rPh sb="23" eb="25">
      <t>キュウカ</t>
    </rPh>
    <rPh sb="25" eb="26">
      <t>トウ</t>
    </rPh>
    <rPh sb="29" eb="31">
      <t>ホイク</t>
    </rPh>
    <rPh sb="32" eb="34">
      <t>テイキョウ</t>
    </rPh>
    <rPh sb="43" eb="45">
      <t>バアイ</t>
    </rPh>
    <rPh sb="47" eb="49">
      <t>トウガイ</t>
    </rPh>
    <rPh sb="49" eb="52">
      <t>ジギョウショ</t>
    </rPh>
    <rPh sb="53" eb="54">
      <t>カ</t>
    </rPh>
    <rPh sb="57" eb="59">
      <t>テイキョウ</t>
    </rPh>
    <rPh sb="61" eb="63">
      <t>ホイク</t>
    </rPh>
    <rPh sb="69" eb="71">
      <t>テイキョウ</t>
    </rPh>
    <rPh sb="72" eb="73">
      <t>ウ</t>
    </rPh>
    <phoneticPr fontId="1"/>
  </si>
  <si>
    <t>　連携施設から、利用児童に集団保育を体験させるための機会の設定、保育の適切な提供に必要な事業所に対する相談、助言その他の保育の内容に関する支援を受けている</t>
    <rPh sb="1" eb="3">
      <t>レンケイ</t>
    </rPh>
    <rPh sb="3" eb="5">
      <t>シセツ</t>
    </rPh>
    <rPh sb="8" eb="10">
      <t>リヨウ</t>
    </rPh>
    <rPh sb="10" eb="12">
      <t>ジドウ</t>
    </rPh>
    <rPh sb="13" eb="15">
      <t>シュウダン</t>
    </rPh>
    <rPh sb="15" eb="17">
      <t>ホイク</t>
    </rPh>
    <rPh sb="18" eb="20">
      <t>タイケン</t>
    </rPh>
    <rPh sb="26" eb="28">
      <t>キカイ</t>
    </rPh>
    <rPh sb="29" eb="31">
      <t>セッテイ</t>
    </rPh>
    <rPh sb="32" eb="34">
      <t>ホイク</t>
    </rPh>
    <rPh sb="35" eb="37">
      <t>テキセツ</t>
    </rPh>
    <rPh sb="38" eb="40">
      <t>テイキョウ</t>
    </rPh>
    <rPh sb="41" eb="43">
      <t>ヒツヨウ</t>
    </rPh>
    <rPh sb="44" eb="46">
      <t>ジギョウ</t>
    </rPh>
    <rPh sb="46" eb="47">
      <t>ショ</t>
    </rPh>
    <rPh sb="48" eb="49">
      <t>タイ</t>
    </rPh>
    <rPh sb="51" eb="53">
      <t>ソウダン</t>
    </rPh>
    <rPh sb="54" eb="56">
      <t>ジョゲン</t>
    </rPh>
    <rPh sb="58" eb="59">
      <t>タ</t>
    </rPh>
    <rPh sb="60" eb="62">
      <t>ホイク</t>
    </rPh>
    <rPh sb="63" eb="65">
      <t>ナイヨウ</t>
    </rPh>
    <rPh sb="66" eb="67">
      <t>カン</t>
    </rPh>
    <rPh sb="69" eb="71">
      <t>シエン</t>
    </rPh>
    <rPh sb="72" eb="73">
      <t>ウ</t>
    </rPh>
    <phoneticPr fontId="1"/>
  </si>
  <si>
    <t>①で【×】を選択した場合＞＞
　公的機関等の実施する所長研修(厚労省等から受託を受けた研修に限る。)を受講した者である</t>
    <rPh sb="6" eb="8">
      <t>センタク</t>
    </rPh>
    <rPh sb="10" eb="12">
      <t>バアイ</t>
    </rPh>
    <rPh sb="16" eb="18">
      <t>コウテキ</t>
    </rPh>
    <rPh sb="18" eb="20">
      <t>キカン</t>
    </rPh>
    <rPh sb="20" eb="21">
      <t>トウ</t>
    </rPh>
    <rPh sb="22" eb="24">
      <t>ジッシ</t>
    </rPh>
    <rPh sb="26" eb="28">
      <t>ショチョウ</t>
    </rPh>
    <rPh sb="28" eb="30">
      <t>ケンシュウ</t>
    </rPh>
    <rPh sb="51" eb="53">
      <t>ジュコウ</t>
    </rPh>
    <rPh sb="55" eb="56">
      <t>モノ</t>
    </rPh>
    <phoneticPr fontId="1"/>
  </si>
  <si>
    <t>②で【×】を選択した場合＞＞
　年度内に公定期間等の実施する所長研修(厚労省等から受託を受けた研修に限る。）を受講する予定である。
※　特例措置(年に数回しか研修が無いため)
　下記に受講研修・予定年月を記載すること。また、研修修了後速やかに報告・修了書の提出を行うこと。</t>
    <rPh sb="6" eb="8">
      <t>センタク</t>
    </rPh>
    <rPh sb="10" eb="12">
      <t>バアイ</t>
    </rPh>
    <rPh sb="16" eb="19">
      <t>ネンドナイ</t>
    </rPh>
    <rPh sb="20" eb="22">
      <t>コウテイ</t>
    </rPh>
    <rPh sb="22" eb="24">
      <t>キカン</t>
    </rPh>
    <rPh sb="24" eb="25">
      <t>トウ</t>
    </rPh>
    <rPh sb="26" eb="28">
      <t>ジッシ</t>
    </rPh>
    <rPh sb="30" eb="32">
      <t>ショチョウ</t>
    </rPh>
    <rPh sb="32" eb="34">
      <t>ケンシュウ</t>
    </rPh>
    <rPh sb="35" eb="38">
      <t>コウロウショウ</t>
    </rPh>
    <rPh sb="38" eb="39">
      <t>トウ</t>
    </rPh>
    <rPh sb="41" eb="43">
      <t>ジュタク</t>
    </rPh>
    <rPh sb="44" eb="45">
      <t>ウ</t>
    </rPh>
    <rPh sb="47" eb="49">
      <t>ケンシュウ</t>
    </rPh>
    <rPh sb="50" eb="51">
      <t>カギ</t>
    </rPh>
    <rPh sb="55" eb="57">
      <t>ジュコウ</t>
    </rPh>
    <rPh sb="59" eb="61">
      <t>ヨテイ</t>
    </rPh>
    <rPh sb="68" eb="70">
      <t>トクレイ</t>
    </rPh>
    <rPh sb="70" eb="72">
      <t>ソチ</t>
    </rPh>
    <rPh sb="73" eb="74">
      <t>ネン</t>
    </rPh>
    <rPh sb="75" eb="77">
      <t>スウカイ</t>
    </rPh>
    <rPh sb="79" eb="81">
      <t>ケンシュウ</t>
    </rPh>
    <rPh sb="82" eb="83">
      <t>ナ</t>
    </rPh>
    <rPh sb="89" eb="91">
      <t>カキ</t>
    </rPh>
    <rPh sb="92" eb="94">
      <t>ジュコウ</t>
    </rPh>
    <rPh sb="94" eb="96">
      <t>ケンシュウ</t>
    </rPh>
    <rPh sb="97" eb="99">
      <t>ヨテイ</t>
    </rPh>
    <rPh sb="99" eb="101">
      <t>ネンゲツ</t>
    </rPh>
    <rPh sb="102" eb="104">
      <t>キサイ</t>
    </rPh>
    <rPh sb="112" eb="114">
      <t>ケンシュウ</t>
    </rPh>
    <rPh sb="114" eb="116">
      <t>シュウリョウ</t>
    </rPh>
    <rPh sb="116" eb="117">
      <t>ゴ</t>
    </rPh>
    <rPh sb="117" eb="118">
      <t>スミ</t>
    </rPh>
    <rPh sb="121" eb="123">
      <t>ホウコク</t>
    </rPh>
    <rPh sb="124" eb="126">
      <t>シュウリョウ</t>
    </rPh>
    <rPh sb="126" eb="127">
      <t>ショ</t>
    </rPh>
    <rPh sb="128" eb="130">
      <t>テイシュツ</t>
    </rPh>
    <rPh sb="131" eb="132">
      <t>オコナ</t>
    </rPh>
    <phoneticPr fontId="1"/>
  </si>
  <si>
    <t>　・同一又は系列法人内で運営する施設及び事業について全て記載すること</t>
    <rPh sb="2" eb="4">
      <t>ドウイツ</t>
    </rPh>
    <rPh sb="4" eb="5">
      <t>マタ</t>
    </rPh>
    <rPh sb="6" eb="8">
      <t>ケイレツ</t>
    </rPh>
    <rPh sb="8" eb="10">
      <t>ホウジン</t>
    </rPh>
    <rPh sb="10" eb="11">
      <t>ナイ</t>
    </rPh>
    <rPh sb="12" eb="14">
      <t>ウンエイ</t>
    </rPh>
    <rPh sb="16" eb="18">
      <t>シセツ</t>
    </rPh>
    <rPh sb="18" eb="19">
      <t>オヨ</t>
    </rPh>
    <rPh sb="20" eb="22">
      <t>ジギョウ</t>
    </rPh>
    <rPh sb="26" eb="27">
      <t>スベ</t>
    </rPh>
    <rPh sb="28" eb="30">
      <t>キサイ</t>
    </rPh>
    <phoneticPr fontId="1"/>
  </si>
  <si>
    <t>　・施設の認可の有無は問わない(認可・認可外施設全て含んで、園長を兼務しているかどうかを確認します。)</t>
    <rPh sb="2" eb="4">
      <t>シセツ</t>
    </rPh>
    <rPh sb="5" eb="7">
      <t>ニンカ</t>
    </rPh>
    <rPh sb="8" eb="10">
      <t>ウム</t>
    </rPh>
    <rPh sb="11" eb="12">
      <t>ト</t>
    </rPh>
    <rPh sb="16" eb="18">
      <t>ニンカ</t>
    </rPh>
    <rPh sb="19" eb="21">
      <t>ニンカ</t>
    </rPh>
    <rPh sb="21" eb="22">
      <t>ガイ</t>
    </rPh>
    <rPh sb="22" eb="24">
      <t>シセツ</t>
    </rPh>
    <rPh sb="24" eb="25">
      <t>スベ</t>
    </rPh>
    <rPh sb="26" eb="27">
      <t>フク</t>
    </rPh>
    <rPh sb="30" eb="32">
      <t>エンチョウ</t>
    </rPh>
    <rPh sb="33" eb="35">
      <t>ケンム</t>
    </rPh>
    <rPh sb="44" eb="46">
      <t>カクニン</t>
    </rPh>
    <phoneticPr fontId="1"/>
  </si>
  <si>
    <t>施設・事業名</t>
    <rPh sb="0" eb="2">
      <t>シセツ</t>
    </rPh>
    <rPh sb="3" eb="5">
      <t>ジギョウ</t>
    </rPh>
    <rPh sb="5" eb="6">
      <t>メイ</t>
    </rPh>
    <phoneticPr fontId="1"/>
  </si>
  <si>
    <t>④　事業要件2‐②に該当する場合、栄養士の活用・配置状況がわかる挙証書類</t>
    <rPh sb="2" eb="4">
      <t>ジギョウ</t>
    </rPh>
    <rPh sb="4" eb="6">
      <t>ヨウケン</t>
    </rPh>
    <rPh sb="10" eb="12">
      <t>ガイトウ</t>
    </rPh>
    <rPh sb="14" eb="16">
      <t>バアイ</t>
    </rPh>
    <rPh sb="17" eb="20">
      <t>エイヨウシ</t>
    </rPh>
    <rPh sb="21" eb="23">
      <t>カツヨウ</t>
    </rPh>
    <rPh sb="24" eb="26">
      <t>ハイチ</t>
    </rPh>
    <rPh sb="26" eb="28">
      <t>ジョウキョウ</t>
    </rPh>
    <rPh sb="32" eb="34">
      <t>キョショウ</t>
    </rPh>
    <rPh sb="34" eb="36">
      <t>ショルイ</t>
    </rPh>
    <phoneticPr fontId="1"/>
  </si>
  <si>
    <t>食事の提供に当たり、栄養士を活用してアレルギー、アトピー等への助言、食育等に関する継続的な指導を受けている</t>
    <rPh sb="0" eb="2">
      <t>ショクジ</t>
    </rPh>
    <rPh sb="3" eb="5">
      <t>テイキョウ</t>
    </rPh>
    <rPh sb="6" eb="7">
      <t>ア</t>
    </rPh>
    <rPh sb="10" eb="13">
      <t>エイヨウシ</t>
    </rPh>
    <rPh sb="14" eb="16">
      <t>カツヨウ</t>
    </rPh>
    <rPh sb="28" eb="29">
      <t>トウ</t>
    </rPh>
    <rPh sb="31" eb="33">
      <t>ジョゲン</t>
    </rPh>
    <rPh sb="34" eb="36">
      <t>ショクイク</t>
    </rPh>
    <rPh sb="36" eb="37">
      <t>トウ</t>
    </rPh>
    <rPh sb="38" eb="39">
      <t>カン</t>
    </rPh>
    <rPh sb="41" eb="44">
      <t>ケイゾクテキ</t>
    </rPh>
    <rPh sb="45" eb="47">
      <t>シドウ</t>
    </rPh>
    <rPh sb="48" eb="49">
      <t>ウ</t>
    </rPh>
    <phoneticPr fontId="1"/>
  </si>
  <si>
    <t>11　土曜日に閉所する場合</t>
    <rPh sb="3" eb="6">
      <t>ドヨウビ</t>
    </rPh>
    <rPh sb="7" eb="9">
      <t>ヘイショ</t>
    </rPh>
    <rPh sb="11" eb="13">
      <t>バアイ</t>
    </rPh>
    <phoneticPr fontId="1"/>
  </si>
  <si>
    <t>減算区分</t>
    <rPh sb="0" eb="2">
      <t>ゲンサン</t>
    </rPh>
    <rPh sb="2" eb="4">
      <t>クブン</t>
    </rPh>
    <phoneticPr fontId="1"/>
  </si>
  <si>
    <t>現施設の施設長に就任～現在に至る</t>
    <phoneticPr fontId="1"/>
  </si>
  <si>
    <t>様式名</t>
    <rPh sb="0" eb="2">
      <t>ヨウシキ</t>
    </rPh>
    <rPh sb="2" eb="3">
      <t>メイ</t>
    </rPh>
    <phoneticPr fontId="1"/>
  </si>
  <si>
    <t>説明</t>
    <rPh sb="0" eb="2">
      <t>セツメイ</t>
    </rPh>
    <phoneticPr fontId="1"/>
  </si>
  <si>
    <t>(2)　様式1(個票)：申請する加算入力(一部様式2～5の入力状況を引用)</t>
    <rPh sb="4" eb="6">
      <t>ヨウシキ</t>
    </rPh>
    <rPh sb="8" eb="9">
      <t>コ</t>
    </rPh>
    <rPh sb="9" eb="10">
      <t>ヒョウ</t>
    </rPh>
    <rPh sb="12" eb="14">
      <t>シンセイ</t>
    </rPh>
    <rPh sb="16" eb="18">
      <t>カサン</t>
    </rPh>
    <rPh sb="18" eb="20">
      <t>ニュウリョク</t>
    </rPh>
    <rPh sb="21" eb="23">
      <t>イチブ</t>
    </rPh>
    <rPh sb="23" eb="25">
      <t>ヨウシキ</t>
    </rPh>
    <rPh sb="29" eb="31">
      <t>ニュウリョク</t>
    </rPh>
    <rPh sb="31" eb="33">
      <t>ジョウキョウ</t>
    </rPh>
    <rPh sb="34" eb="36">
      <t>インヨウ</t>
    </rPh>
    <phoneticPr fontId="1"/>
  </si>
  <si>
    <t>(4)　様式2：月初日時点の職員配置を入力</t>
    <rPh sb="4" eb="6">
      <t>ヨウシキ</t>
    </rPh>
    <rPh sb="8" eb="9">
      <t>ツキ</t>
    </rPh>
    <rPh sb="9" eb="11">
      <t>ショニチ</t>
    </rPh>
    <rPh sb="11" eb="13">
      <t>ジテン</t>
    </rPh>
    <rPh sb="14" eb="16">
      <t>ショクイン</t>
    </rPh>
    <rPh sb="16" eb="18">
      <t>ハイチ</t>
    </rPh>
    <rPh sb="19" eb="21">
      <t>ニュウリョク</t>
    </rPh>
    <phoneticPr fontId="1"/>
  </si>
  <si>
    <t>(5)　様式3：非常勤職員がいる場合は、該当月の勤務予定時間を入力</t>
    <rPh sb="4" eb="6">
      <t>ヨウシキ</t>
    </rPh>
    <rPh sb="8" eb="11">
      <t>ヒジョウキン</t>
    </rPh>
    <rPh sb="11" eb="13">
      <t>ショクイン</t>
    </rPh>
    <rPh sb="16" eb="18">
      <t>バアイ</t>
    </rPh>
    <rPh sb="20" eb="22">
      <t>ガイトウ</t>
    </rPh>
    <rPh sb="22" eb="23">
      <t>ツキ</t>
    </rPh>
    <rPh sb="24" eb="26">
      <t>キンム</t>
    </rPh>
    <rPh sb="26" eb="28">
      <t>ヨテイ</t>
    </rPh>
    <rPh sb="28" eb="30">
      <t>ジカン</t>
    </rPh>
    <rPh sb="31" eb="33">
      <t>ニュウリョク</t>
    </rPh>
    <phoneticPr fontId="1"/>
  </si>
  <si>
    <t>(6)　様式4：クラス編成状況を記載</t>
    <rPh sb="4" eb="6">
      <t>ヨウシキ</t>
    </rPh>
    <rPh sb="11" eb="13">
      <t>ヘンセイ</t>
    </rPh>
    <rPh sb="13" eb="15">
      <t>ジョウキョウ</t>
    </rPh>
    <rPh sb="16" eb="18">
      <t>キサイ</t>
    </rPh>
    <phoneticPr fontId="1"/>
  </si>
  <si>
    <t>(9)　様式6：年度開始月(4月)～申請月までを埋める</t>
    <rPh sb="4" eb="6">
      <t>ヨウシキ</t>
    </rPh>
    <rPh sb="8" eb="10">
      <t>ネンド</t>
    </rPh>
    <rPh sb="10" eb="12">
      <t>カイシ</t>
    </rPh>
    <rPh sb="12" eb="13">
      <t>ツキ</t>
    </rPh>
    <rPh sb="15" eb="16">
      <t>ガツ</t>
    </rPh>
    <rPh sb="18" eb="20">
      <t>シンセイ</t>
    </rPh>
    <rPh sb="20" eb="21">
      <t>ツキ</t>
    </rPh>
    <rPh sb="24" eb="25">
      <t>ウ</t>
    </rPh>
    <phoneticPr fontId="1"/>
  </si>
  <si>
    <t>未入力×/不要△</t>
    <rPh sb="0" eb="3">
      <t>ミニュウリョク</t>
    </rPh>
    <rPh sb="5" eb="7">
      <t>フヨウ</t>
    </rPh>
    <phoneticPr fontId="1"/>
  </si>
  <si>
    <t>超過1/未超過2</t>
    <rPh sb="0" eb="2">
      <t>チョウカ</t>
    </rPh>
    <rPh sb="4" eb="5">
      <t>ミ</t>
    </rPh>
    <rPh sb="5" eb="7">
      <t>チョウカ</t>
    </rPh>
    <phoneticPr fontId="1"/>
  </si>
  <si>
    <t>札幌市未来局保育園【例】</t>
    <rPh sb="0" eb="3">
      <t>サッポロシ</t>
    </rPh>
    <rPh sb="3" eb="5">
      <t>ミライ</t>
    </rPh>
    <rPh sb="5" eb="6">
      <t>キョク</t>
    </rPh>
    <rPh sb="6" eb="9">
      <t>ホイクエン</t>
    </rPh>
    <rPh sb="10" eb="11">
      <t>レイ</t>
    </rPh>
    <phoneticPr fontId="1"/>
  </si>
  <si>
    <t>ソート①</t>
    <phoneticPr fontId="1"/>
  </si>
  <si>
    <t>(1)　様式1(総括表)：申請月、所在区、施設名入力→利用定員が正しいか確認</t>
    <rPh sb="4" eb="6">
      <t>ヨウシキ</t>
    </rPh>
    <rPh sb="8" eb="11">
      <t>ソウカツヒョウ</t>
    </rPh>
    <rPh sb="13" eb="15">
      <t>シンセイ</t>
    </rPh>
    <rPh sb="15" eb="16">
      <t>ツキ</t>
    </rPh>
    <rPh sb="17" eb="19">
      <t>ショザイ</t>
    </rPh>
    <rPh sb="19" eb="20">
      <t>ク</t>
    </rPh>
    <rPh sb="21" eb="23">
      <t>シセツ</t>
    </rPh>
    <rPh sb="23" eb="24">
      <t>メイ</t>
    </rPh>
    <rPh sb="24" eb="26">
      <t>ニュウリョク</t>
    </rPh>
    <rPh sb="27" eb="29">
      <t>リヨウ</t>
    </rPh>
    <rPh sb="29" eb="31">
      <t>テイイン</t>
    </rPh>
    <rPh sb="32" eb="33">
      <t>タダ</t>
    </rPh>
    <rPh sb="36" eb="38">
      <t>カクニン</t>
    </rPh>
    <phoneticPr fontId="1"/>
  </si>
  <si>
    <t>　地域型保育事業所の用に供する建物が自己所有(施設の一部が賃貸物件の場合は、自己所有の建物の延べ面積が施設全体の延べ面積の50％以上）</t>
    <rPh sb="1" eb="4">
      <t>チイキガタ</t>
    </rPh>
    <rPh sb="4" eb="6">
      <t>ホイク</t>
    </rPh>
    <rPh sb="6" eb="9">
      <t>ジギョウショ</t>
    </rPh>
    <rPh sb="23" eb="25">
      <t>シセツ</t>
    </rPh>
    <rPh sb="26" eb="28">
      <t>イチブ</t>
    </rPh>
    <rPh sb="29" eb="31">
      <t>チンタイ</t>
    </rPh>
    <rPh sb="31" eb="33">
      <t>ブッケン</t>
    </rPh>
    <rPh sb="34" eb="36">
      <t>バアイ</t>
    </rPh>
    <rPh sb="38" eb="40">
      <t>ジコ</t>
    </rPh>
    <rPh sb="40" eb="42">
      <t>ショユウ</t>
    </rPh>
    <rPh sb="43" eb="45">
      <t>タテモノ</t>
    </rPh>
    <rPh sb="46" eb="47">
      <t>ノ</t>
    </rPh>
    <rPh sb="48" eb="50">
      <t>メンセキ</t>
    </rPh>
    <rPh sb="51" eb="53">
      <t>シセツ</t>
    </rPh>
    <rPh sb="53" eb="55">
      <t>ゼンタイ</t>
    </rPh>
    <rPh sb="56" eb="57">
      <t>ノ</t>
    </rPh>
    <rPh sb="58" eb="60">
      <t>メンセキ</t>
    </rPh>
    <rPh sb="64" eb="66">
      <t>イジョウ</t>
    </rPh>
    <phoneticPr fontId="1"/>
  </si>
  <si>
    <t>　地域型保育事業所の用に供する建物が賃貸物件である。（施設の一部が自己所有の場合は、賃貸による建物の延べ面積が施設全体の延べ面積の50％以上）</t>
    <rPh sb="1" eb="4">
      <t>チイキガタ</t>
    </rPh>
    <rPh sb="4" eb="6">
      <t>ホイク</t>
    </rPh>
    <rPh sb="6" eb="9">
      <t>ジギョウショ</t>
    </rPh>
    <rPh sb="18" eb="20">
      <t>チンタイ</t>
    </rPh>
    <rPh sb="20" eb="22">
      <t>ブッケン</t>
    </rPh>
    <rPh sb="27" eb="29">
      <t>シセツ</t>
    </rPh>
    <rPh sb="30" eb="32">
      <t>イチブ</t>
    </rPh>
    <rPh sb="33" eb="35">
      <t>ジコ</t>
    </rPh>
    <rPh sb="35" eb="37">
      <t>ショユウ</t>
    </rPh>
    <rPh sb="38" eb="40">
      <t>バアイ</t>
    </rPh>
    <rPh sb="42" eb="44">
      <t>チンタイ</t>
    </rPh>
    <rPh sb="47" eb="49">
      <t>タテモノ</t>
    </rPh>
    <rPh sb="50" eb="51">
      <t>ノ</t>
    </rPh>
    <rPh sb="52" eb="54">
      <t>メンセキ</t>
    </rPh>
    <rPh sb="55" eb="57">
      <t>シセツ</t>
    </rPh>
    <rPh sb="57" eb="59">
      <t>ゼンタイ</t>
    </rPh>
    <rPh sb="60" eb="61">
      <t>ノ</t>
    </rPh>
    <rPh sb="62" eb="64">
      <t>メンセキ</t>
    </rPh>
    <rPh sb="68" eb="70">
      <t>イジョウ</t>
    </rPh>
    <phoneticPr fontId="1"/>
  </si>
  <si>
    <t>減算要件
（1～2の要件のどちらも満たさない場合に減算）</t>
    <rPh sb="0" eb="2">
      <t>ゲンサン</t>
    </rPh>
    <rPh sb="2" eb="4">
      <t>ヨウケン</t>
    </rPh>
    <rPh sb="10" eb="12">
      <t>ヨウケン</t>
    </rPh>
    <rPh sb="17" eb="18">
      <t>ミ</t>
    </rPh>
    <rPh sb="22" eb="24">
      <t>バアイ</t>
    </rPh>
    <rPh sb="25" eb="27">
      <t>ゲンサン</t>
    </rPh>
    <phoneticPr fontId="1"/>
  </si>
  <si>
    <t>減算要件
（1～4の要件の全てを満たさない場合に減算）</t>
    <rPh sb="0" eb="2">
      <t>ゲンサン</t>
    </rPh>
    <rPh sb="2" eb="4">
      <t>ヨウケン</t>
    </rPh>
    <rPh sb="11" eb="13">
      <t>ヨウケン</t>
    </rPh>
    <rPh sb="14" eb="15">
      <t>スベ</t>
    </rPh>
    <rPh sb="17" eb="18">
      <t>ミ</t>
    </rPh>
    <rPh sb="22" eb="24">
      <t>バアイ</t>
    </rPh>
    <rPh sb="25" eb="27">
      <t>ゲンサン</t>
    </rPh>
    <phoneticPr fontId="1"/>
  </si>
  <si>
    <t>（前月分確認）</t>
    <rPh sb="1" eb="3">
      <t>ゼンゲツ</t>
    </rPh>
    <rPh sb="3" eb="4">
      <t>ブン</t>
    </rPh>
    <rPh sb="4" eb="6">
      <t>カクニン</t>
    </rPh>
    <phoneticPr fontId="1"/>
  </si>
  <si>
    <t>②　共同保育実施施設は、共同保育により年間を通じて開所する場合の実施要綱や運営規定</t>
    <rPh sb="2" eb="4">
      <t>キョウドウ</t>
    </rPh>
    <rPh sb="4" eb="6">
      <t>ホイク</t>
    </rPh>
    <rPh sb="6" eb="8">
      <t>ジッシ</t>
    </rPh>
    <rPh sb="8" eb="10">
      <t>シセツ</t>
    </rPh>
    <rPh sb="12" eb="14">
      <t>キョウドウ</t>
    </rPh>
    <rPh sb="14" eb="16">
      <t>ホイク</t>
    </rPh>
    <rPh sb="19" eb="21">
      <t>ネンカン</t>
    </rPh>
    <rPh sb="22" eb="23">
      <t>ツウ</t>
    </rPh>
    <rPh sb="25" eb="27">
      <t>カイショ</t>
    </rPh>
    <rPh sb="29" eb="31">
      <t>バアイ</t>
    </rPh>
    <rPh sb="32" eb="34">
      <t>ジッシ</t>
    </rPh>
    <rPh sb="34" eb="36">
      <t>ヨウコウ</t>
    </rPh>
    <rPh sb="37" eb="39">
      <t>ウンエイ</t>
    </rPh>
    <rPh sb="39" eb="41">
      <t>キテイ</t>
    </rPh>
    <phoneticPr fontId="1"/>
  </si>
  <si>
    <t>※1　休日保育に係り共同保育が実施できる施設は、保育所、幼稚園、認定こども園、地域型保育事業所（居宅訪問型保育事業所は除く）、企業主導型保育施設のみ。ただし、いずれも事前に札幌市子ども未来局に届出を行い事前に許可されていること</t>
    <rPh sb="3" eb="5">
      <t>キュウジツ</t>
    </rPh>
    <rPh sb="5" eb="7">
      <t>ホイク</t>
    </rPh>
    <rPh sb="8" eb="9">
      <t>カカ</t>
    </rPh>
    <rPh sb="10" eb="12">
      <t>キョウドウ</t>
    </rPh>
    <rPh sb="12" eb="14">
      <t>ホイク</t>
    </rPh>
    <rPh sb="15" eb="17">
      <t>ジッシ</t>
    </rPh>
    <rPh sb="20" eb="22">
      <t>シセツ</t>
    </rPh>
    <rPh sb="24" eb="26">
      <t>ホイク</t>
    </rPh>
    <rPh sb="26" eb="27">
      <t>ショ</t>
    </rPh>
    <rPh sb="28" eb="31">
      <t>ヨウチエン</t>
    </rPh>
    <rPh sb="32" eb="34">
      <t>ニンテイ</t>
    </rPh>
    <rPh sb="37" eb="38">
      <t>エン</t>
    </rPh>
    <rPh sb="39" eb="42">
      <t>チイキガタ</t>
    </rPh>
    <rPh sb="42" eb="44">
      <t>ホイク</t>
    </rPh>
    <rPh sb="44" eb="47">
      <t>ジギョウショ</t>
    </rPh>
    <rPh sb="48" eb="50">
      <t>キョタク</t>
    </rPh>
    <rPh sb="50" eb="52">
      <t>ホウモン</t>
    </rPh>
    <rPh sb="52" eb="53">
      <t>ガタ</t>
    </rPh>
    <rPh sb="53" eb="55">
      <t>ホイク</t>
    </rPh>
    <rPh sb="55" eb="58">
      <t>ジギョウショ</t>
    </rPh>
    <rPh sb="59" eb="60">
      <t>ノゾ</t>
    </rPh>
    <rPh sb="63" eb="65">
      <t>キギョウ</t>
    </rPh>
    <rPh sb="65" eb="68">
      <t>シュドウガタ</t>
    </rPh>
    <rPh sb="68" eb="70">
      <t>ホイク</t>
    </rPh>
    <rPh sb="70" eb="72">
      <t>シセツ</t>
    </rPh>
    <rPh sb="83" eb="85">
      <t>ジゼン</t>
    </rPh>
    <rPh sb="86" eb="89">
      <t>サッポロシ</t>
    </rPh>
    <rPh sb="89" eb="90">
      <t>コ</t>
    </rPh>
    <rPh sb="92" eb="94">
      <t>ミライ</t>
    </rPh>
    <rPh sb="94" eb="95">
      <t>キョク</t>
    </rPh>
    <rPh sb="96" eb="98">
      <t>トドケデ</t>
    </rPh>
    <rPh sb="99" eb="100">
      <t>オコナ</t>
    </rPh>
    <rPh sb="101" eb="103">
      <t>ジゼン</t>
    </rPh>
    <rPh sb="104" eb="106">
      <t>キョカ</t>
    </rPh>
    <phoneticPr fontId="1"/>
  </si>
  <si>
    <t>年月日</t>
    <rPh sb="0" eb="3">
      <t>ネンガッピ</t>
    </rPh>
    <phoneticPr fontId="1"/>
  </si>
  <si>
    <t>配置</t>
    <rPh sb="0" eb="2">
      <t>ハイチ</t>
    </rPh>
    <phoneticPr fontId="1"/>
  </si>
  <si>
    <t>本加算に係る栄養士が雇用契約等により配置されている場合（兼務に該当する場合を除く）</t>
    <rPh sb="0" eb="1">
      <t>ホン</t>
    </rPh>
    <rPh sb="1" eb="3">
      <t>カサン</t>
    </rPh>
    <rPh sb="4" eb="5">
      <t>カカ</t>
    </rPh>
    <rPh sb="6" eb="9">
      <t>エイヨウシ</t>
    </rPh>
    <rPh sb="10" eb="12">
      <t>コヨウ</t>
    </rPh>
    <rPh sb="12" eb="14">
      <t>ケイヤク</t>
    </rPh>
    <rPh sb="14" eb="15">
      <t>トウ</t>
    </rPh>
    <rPh sb="18" eb="20">
      <t>ハイチ</t>
    </rPh>
    <rPh sb="25" eb="27">
      <t>バアイ</t>
    </rPh>
    <rPh sb="28" eb="30">
      <t>ケンム</t>
    </rPh>
    <rPh sb="31" eb="33">
      <t>ガイトウ</t>
    </rPh>
    <rPh sb="35" eb="37">
      <t>バアイ</t>
    </rPh>
    <rPh sb="38" eb="39">
      <t>ノゾ</t>
    </rPh>
    <phoneticPr fontId="1"/>
  </si>
  <si>
    <t>兼務</t>
    <rPh sb="0" eb="2">
      <t>ケンム</t>
    </rPh>
    <phoneticPr fontId="1"/>
  </si>
  <si>
    <t>基本分単価や他の加算の認定に当たって求められる職員が、本加算に係る栄養士としての業務を兼務している場合</t>
    <rPh sb="0" eb="2">
      <t>キホン</t>
    </rPh>
    <rPh sb="2" eb="3">
      <t>ブン</t>
    </rPh>
    <rPh sb="3" eb="5">
      <t>タンカ</t>
    </rPh>
    <rPh sb="6" eb="7">
      <t>タ</t>
    </rPh>
    <rPh sb="8" eb="10">
      <t>カサン</t>
    </rPh>
    <rPh sb="11" eb="13">
      <t>ニンテイ</t>
    </rPh>
    <rPh sb="14" eb="15">
      <t>ア</t>
    </rPh>
    <rPh sb="18" eb="19">
      <t>モト</t>
    </rPh>
    <rPh sb="23" eb="25">
      <t>ショクイン</t>
    </rPh>
    <rPh sb="27" eb="28">
      <t>ホン</t>
    </rPh>
    <rPh sb="28" eb="30">
      <t>カサン</t>
    </rPh>
    <rPh sb="31" eb="32">
      <t>カカ</t>
    </rPh>
    <rPh sb="33" eb="36">
      <t>エイヨウシ</t>
    </rPh>
    <rPh sb="40" eb="42">
      <t>ギョウム</t>
    </rPh>
    <rPh sb="43" eb="45">
      <t>ケンム</t>
    </rPh>
    <rPh sb="49" eb="51">
      <t>バアイ</t>
    </rPh>
    <phoneticPr fontId="1"/>
  </si>
  <si>
    <t>嘱託</t>
    <rPh sb="0" eb="2">
      <t>ショクタク</t>
    </rPh>
    <phoneticPr fontId="1"/>
  </si>
  <si>
    <t>上記以外で、本加算に係る栄養士としての業務を嘱託等する場合</t>
    <rPh sb="0" eb="2">
      <t>ジョウキ</t>
    </rPh>
    <rPh sb="2" eb="4">
      <t>イガイ</t>
    </rPh>
    <rPh sb="6" eb="7">
      <t>ホン</t>
    </rPh>
    <rPh sb="7" eb="9">
      <t>カサン</t>
    </rPh>
    <rPh sb="10" eb="11">
      <t>カカ</t>
    </rPh>
    <rPh sb="12" eb="15">
      <t>エイヨウシ</t>
    </rPh>
    <rPh sb="19" eb="21">
      <t>ギョウム</t>
    </rPh>
    <rPh sb="22" eb="24">
      <t>ショクタク</t>
    </rPh>
    <rPh sb="24" eb="25">
      <t>トウ</t>
    </rPh>
    <rPh sb="27" eb="29">
      <t>バアイ</t>
    </rPh>
    <phoneticPr fontId="1"/>
  </si>
  <si>
    <t>雇用契約等により配置（様式2及び様式5）</t>
    <rPh sb="0" eb="2">
      <t>コヨウ</t>
    </rPh>
    <rPh sb="2" eb="4">
      <t>ケイヤク</t>
    </rPh>
    <rPh sb="4" eb="5">
      <t>トウ</t>
    </rPh>
    <rPh sb="8" eb="10">
      <t>ハイチ</t>
    </rPh>
    <rPh sb="11" eb="13">
      <t>ヨウシキ</t>
    </rPh>
    <rPh sb="14" eb="15">
      <t>オヨ</t>
    </rPh>
    <rPh sb="16" eb="18">
      <t>ヨウシキ</t>
    </rPh>
    <phoneticPr fontId="1"/>
  </si>
  <si>
    <t>ア</t>
    <phoneticPr fontId="1"/>
  </si>
  <si>
    <t>イ</t>
    <phoneticPr fontId="1"/>
  </si>
  <si>
    <t>兼務(基本配置の調理員等を充足しない場合も含む)</t>
    <rPh sb="0" eb="2">
      <t>ケンム</t>
    </rPh>
    <rPh sb="3" eb="5">
      <t>キホン</t>
    </rPh>
    <rPh sb="5" eb="7">
      <t>ハイチ</t>
    </rPh>
    <rPh sb="8" eb="11">
      <t>チョウリイン</t>
    </rPh>
    <rPh sb="11" eb="12">
      <t>トウ</t>
    </rPh>
    <rPh sb="13" eb="15">
      <t>ジュウソク</t>
    </rPh>
    <rPh sb="18" eb="20">
      <t>バアイ</t>
    </rPh>
    <rPh sb="21" eb="22">
      <t>フク</t>
    </rPh>
    <phoneticPr fontId="1"/>
  </si>
  <si>
    <t>※</t>
    <phoneticPr fontId="1"/>
  </si>
  <si>
    <t>②　</t>
    <phoneticPr fontId="1"/>
  </si>
  <si>
    <t>加算要件
(1～2の適用状況に応じて、適合した配置区分を加算)</t>
    <rPh sb="0" eb="2">
      <t>カサン</t>
    </rPh>
    <rPh sb="2" eb="4">
      <t>ヨウケン</t>
    </rPh>
    <rPh sb="10" eb="12">
      <t>テキヨウ</t>
    </rPh>
    <rPh sb="12" eb="14">
      <t>ジョウキョウ</t>
    </rPh>
    <rPh sb="15" eb="16">
      <t>オウ</t>
    </rPh>
    <rPh sb="19" eb="21">
      <t>テキゴウ</t>
    </rPh>
    <rPh sb="23" eb="25">
      <t>ハイチ</t>
    </rPh>
    <rPh sb="25" eb="27">
      <t>クブン</t>
    </rPh>
    <rPh sb="28" eb="30">
      <t>カサン</t>
    </rPh>
    <phoneticPr fontId="1"/>
  </si>
  <si>
    <t>※　区分は以下のとおり。</t>
    <rPh sb="2" eb="4">
      <t>クブン</t>
    </rPh>
    <rPh sb="5" eb="7">
      <t>イカ</t>
    </rPh>
    <phoneticPr fontId="1"/>
  </si>
  <si>
    <t>ソート②</t>
    <phoneticPr fontId="1"/>
  </si>
  <si>
    <t>列1</t>
  </si>
  <si>
    <r>
      <t>調理員（栄養士含む）（①～②のうち</t>
    </r>
    <r>
      <rPr>
        <sz val="10"/>
        <color rgb="FFFF0000"/>
        <rFont val="ＭＳ 明朝"/>
        <family val="1"/>
        <charset val="128"/>
      </rPr>
      <t>一つを選択※1</t>
    </r>
    <r>
      <rPr>
        <sz val="10"/>
        <rFont val="ＭＳ 明朝"/>
        <family val="1"/>
        <charset val="128"/>
      </rPr>
      <t>）</t>
    </r>
    <rPh sb="0" eb="3">
      <t>チョウリイン</t>
    </rPh>
    <rPh sb="4" eb="7">
      <t>エイヨウシ</t>
    </rPh>
    <rPh sb="7" eb="8">
      <t>フク</t>
    </rPh>
    <rPh sb="17" eb="18">
      <t>ヒト</t>
    </rPh>
    <rPh sb="20" eb="22">
      <t>センタク</t>
    </rPh>
    <phoneticPr fontId="1"/>
  </si>
  <si>
    <t>整合性</t>
    <rPh sb="0" eb="3">
      <t>セイゴウセイ</t>
    </rPh>
    <phoneticPr fontId="1"/>
  </si>
  <si>
    <t>漏れ</t>
    <rPh sb="0" eb="1">
      <t>モ</t>
    </rPh>
    <phoneticPr fontId="1"/>
  </si>
  <si>
    <t>取得年月日</t>
    <rPh sb="0" eb="2">
      <t>シュトク</t>
    </rPh>
    <rPh sb="2" eb="4">
      <t>ネンゲツ</t>
    </rPh>
    <rPh sb="4" eb="5">
      <t>ニチ</t>
    </rPh>
    <phoneticPr fontId="1"/>
  </si>
  <si>
    <t>共同保育※1により年間を通じて保育を提供する体制を確保している</t>
    <rPh sb="0" eb="2">
      <t>キョウドウ</t>
    </rPh>
    <rPh sb="2" eb="4">
      <t>ホイク</t>
    </rPh>
    <rPh sb="9" eb="11">
      <t>ネンカン</t>
    </rPh>
    <rPh sb="12" eb="13">
      <t>ツウ</t>
    </rPh>
    <rPh sb="15" eb="17">
      <t>ホイク</t>
    </rPh>
    <rPh sb="18" eb="20">
      <t>テイキョウ</t>
    </rPh>
    <rPh sb="22" eb="24">
      <t>タイセイ</t>
    </rPh>
    <rPh sb="25" eb="27">
      <t>カクホ</t>
    </rPh>
    <phoneticPr fontId="1"/>
  </si>
  <si>
    <t>別紙2</t>
    <rPh sb="0" eb="2">
      <t>ベッシ</t>
    </rPh>
    <phoneticPr fontId="1"/>
  </si>
  <si>
    <t>各年度の年間平均在所率が120％以上(５年度間継続)</t>
    <rPh sb="0" eb="3">
      <t>カクネンド</t>
    </rPh>
    <rPh sb="4" eb="6">
      <t>ネンカン</t>
    </rPh>
    <rPh sb="6" eb="8">
      <t>ヘイキン</t>
    </rPh>
    <rPh sb="8" eb="10">
      <t>ザイショ</t>
    </rPh>
    <rPh sb="10" eb="11">
      <t>リツ</t>
    </rPh>
    <rPh sb="16" eb="18">
      <t>イジョウ</t>
    </rPh>
    <rPh sb="20" eb="22">
      <t>ネンド</t>
    </rPh>
    <rPh sb="22" eb="23">
      <t>カン</t>
    </rPh>
    <rPh sb="23" eb="25">
      <t>ケイゾク</t>
    </rPh>
    <phoneticPr fontId="1"/>
  </si>
  <si>
    <t>※　管理者については、「管理者を配置していない場合」で確認</t>
    <rPh sb="2" eb="5">
      <t>カンリシャ</t>
    </rPh>
    <rPh sb="12" eb="15">
      <t>カンリシャ</t>
    </rPh>
    <rPh sb="16" eb="18">
      <t>ハイチ</t>
    </rPh>
    <rPh sb="23" eb="25">
      <t>バアイ</t>
    </rPh>
    <rPh sb="27" eb="29">
      <t>カクニン</t>
    </rPh>
    <phoneticPr fontId="1"/>
  </si>
  <si>
    <t>適切な従事経験等を有している</t>
    <rPh sb="0" eb="2">
      <t>テキセツ</t>
    </rPh>
    <rPh sb="3" eb="5">
      <t>ジュウジ</t>
    </rPh>
    <rPh sb="5" eb="7">
      <t>ケイケン</t>
    </rPh>
    <rPh sb="7" eb="8">
      <t>トウ</t>
    </rPh>
    <rPh sb="9" eb="10">
      <t>ユウ</t>
    </rPh>
    <phoneticPr fontId="1"/>
  </si>
  <si>
    <t>減算要件
（１～５の要件を1つでも満たしていない場合に減算）</t>
    <rPh sb="0" eb="2">
      <t>ゲンサン</t>
    </rPh>
    <rPh sb="2" eb="4">
      <t>ヨウケン</t>
    </rPh>
    <phoneticPr fontId="1"/>
  </si>
  <si>
    <r>
      <t>常時実際にその施設の運営管理の業務に専従している</t>
    </r>
    <r>
      <rPr>
        <vertAlign val="superscript"/>
        <sz val="10"/>
        <rFont val="ＭＳ 明朝"/>
        <family val="1"/>
        <charset val="128"/>
      </rPr>
      <t>※3</t>
    </r>
    <rPh sb="0" eb="2">
      <t>ジョウジ</t>
    </rPh>
    <rPh sb="2" eb="4">
      <t>ジッサイ</t>
    </rPh>
    <rPh sb="7" eb="9">
      <t>シセツ</t>
    </rPh>
    <rPh sb="10" eb="12">
      <t>ウンエイ</t>
    </rPh>
    <rPh sb="12" eb="14">
      <t>カンリ</t>
    </rPh>
    <rPh sb="15" eb="17">
      <t>ギョウム</t>
    </rPh>
    <rPh sb="18" eb="20">
      <t>センジュウ</t>
    </rPh>
    <phoneticPr fontId="1"/>
  </si>
  <si>
    <t>給付費から給与を支出している</t>
    <rPh sb="0" eb="2">
      <t>キュウフ</t>
    </rPh>
    <rPh sb="2" eb="3">
      <t>ヒ</t>
    </rPh>
    <rPh sb="5" eb="7">
      <t>キュウヨ</t>
    </rPh>
    <rPh sb="8" eb="10">
      <t>シシュツ</t>
    </rPh>
    <phoneticPr fontId="1"/>
  </si>
  <si>
    <t>社会福祉法人又は学校法人以外の場合保育士資格を保有している</t>
    <rPh sb="23" eb="25">
      <t>ホユウ</t>
    </rPh>
    <phoneticPr fontId="1"/>
  </si>
  <si>
    <t>基本配置等を超えて配置</t>
    <rPh sb="0" eb="2">
      <t>キホン</t>
    </rPh>
    <rPh sb="2" eb="4">
      <t>ハイチ</t>
    </rPh>
    <rPh sb="4" eb="5">
      <t>トウ</t>
    </rPh>
    <rPh sb="6" eb="7">
      <t>コ</t>
    </rPh>
    <rPh sb="9" eb="11">
      <t>ハイチ</t>
    </rPh>
    <phoneticPr fontId="1"/>
  </si>
  <si>
    <t>代替（助成金等対象）</t>
    <rPh sb="0" eb="2">
      <t>ダイタイ</t>
    </rPh>
    <rPh sb="3" eb="6">
      <t>ジョセイキン</t>
    </rPh>
    <rPh sb="6" eb="7">
      <t>トウ</t>
    </rPh>
    <rPh sb="7" eb="9">
      <t>タイショウ</t>
    </rPh>
    <phoneticPr fontId="1"/>
  </si>
  <si>
    <t>・　入力する時間は実勤務時間とし、休憩時間は含めないでください。</t>
    <rPh sb="2" eb="4">
      <t>ニュウリョク</t>
    </rPh>
    <rPh sb="6" eb="8">
      <t>ジカン</t>
    </rPh>
    <rPh sb="9" eb="10">
      <t>ジツ</t>
    </rPh>
    <rPh sb="10" eb="12">
      <t>キンム</t>
    </rPh>
    <rPh sb="12" eb="14">
      <t>ジカン</t>
    </rPh>
    <rPh sb="17" eb="19">
      <t>キュウケイ</t>
    </rPh>
    <rPh sb="19" eb="21">
      <t>ジカン</t>
    </rPh>
    <rPh sb="22" eb="23">
      <t>フク</t>
    </rPh>
    <phoneticPr fontId="1"/>
  </si>
  <si>
    <t>※2　他の保育所等との共同保育により、利用希望者の保育を確保・実施した場合は利用児童数に含めること。
　ただし、共同保育により相手施設から受け入れた児童数は含めないこと。</t>
    <rPh sb="3" eb="4">
      <t>タ</t>
    </rPh>
    <rPh sb="5" eb="7">
      <t>ホイク</t>
    </rPh>
    <rPh sb="7" eb="8">
      <t>ショ</t>
    </rPh>
    <rPh sb="8" eb="9">
      <t>トウ</t>
    </rPh>
    <rPh sb="11" eb="13">
      <t>キョウドウ</t>
    </rPh>
    <rPh sb="13" eb="15">
      <t>ホイク</t>
    </rPh>
    <rPh sb="19" eb="21">
      <t>リヨウ</t>
    </rPh>
    <rPh sb="21" eb="24">
      <t>キボウシャ</t>
    </rPh>
    <rPh sb="25" eb="27">
      <t>ホイク</t>
    </rPh>
    <rPh sb="28" eb="30">
      <t>カクホ</t>
    </rPh>
    <rPh sb="31" eb="33">
      <t>ジッシ</t>
    </rPh>
    <rPh sb="35" eb="37">
      <t>バアイ</t>
    </rPh>
    <rPh sb="38" eb="40">
      <t>リヨウ</t>
    </rPh>
    <rPh sb="40" eb="42">
      <t>ジドウ</t>
    </rPh>
    <rPh sb="42" eb="43">
      <t>スウ</t>
    </rPh>
    <rPh sb="44" eb="45">
      <t>フク</t>
    </rPh>
    <rPh sb="56" eb="58">
      <t>キョウドウ</t>
    </rPh>
    <rPh sb="58" eb="60">
      <t>ホイク</t>
    </rPh>
    <rPh sb="63" eb="65">
      <t>アイテ</t>
    </rPh>
    <rPh sb="65" eb="67">
      <t>シセツ</t>
    </rPh>
    <rPh sb="69" eb="70">
      <t>ウ</t>
    </rPh>
    <rPh sb="71" eb="72">
      <t>イ</t>
    </rPh>
    <rPh sb="74" eb="76">
      <t>ジドウ</t>
    </rPh>
    <rPh sb="76" eb="77">
      <t>スウ</t>
    </rPh>
    <rPh sb="78" eb="79">
      <t>フク</t>
    </rPh>
    <phoneticPr fontId="1"/>
  </si>
  <si>
    <t>減算(実績)</t>
    <rPh sb="0" eb="2">
      <t>ゲンサン</t>
    </rPh>
    <rPh sb="3" eb="5">
      <t>ジッセキ</t>
    </rPh>
    <phoneticPr fontId="1"/>
  </si>
  <si>
    <t>別紙１（「減算：管理者を配置していない場合」の添付書類）</t>
    <rPh sb="0" eb="2">
      <t>ベッシ</t>
    </rPh>
    <rPh sb="5" eb="7">
      <t>ゲンサン</t>
    </rPh>
    <rPh sb="8" eb="11">
      <t>カンリシャ</t>
    </rPh>
    <rPh sb="12" eb="14">
      <t>ハイチ</t>
    </rPh>
    <rPh sb="19" eb="21">
      <t>バアイ</t>
    </rPh>
    <rPh sb="23" eb="25">
      <t>テンプ</t>
    </rPh>
    <rPh sb="25" eb="27">
      <t>ショルイ</t>
    </rPh>
    <phoneticPr fontId="1"/>
  </si>
  <si>
    <t>休日保育を今年度初めて実施する場合は○を選択すること➡</t>
    <rPh sb="0" eb="2">
      <t>キュウジツ</t>
    </rPh>
    <rPh sb="2" eb="4">
      <t>ホイク</t>
    </rPh>
    <rPh sb="5" eb="8">
      <t>コンネンド</t>
    </rPh>
    <rPh sb="8" eb="9">
      <t>ハジ</t>
    </rPh>
    <rPh sb="11" eb="13">
      <t>ジッシ</t>
    </rPh>
    <rPh sb="15" eb="17">
      <t>バアイ</t>
    </rPh>
    <rPh sb="20" eb="22">
      <t>センタク</t>
    </rPh>
    <phoneticPr fontId="1"/>
  </si>
  <si>
    <t>振替休日（元日）</t>
    <rPh sb="0" eb="2">
      <t>フリカエ</t>
    </rPh>
    <rPh sb="2" eb="4">
      <t>キュウジツ</t>
    </rPh>
    <rPh sb="5" eb="7">
      <t>ガンジツ</t>
    </rPh>
    <phoneticPr fontId="1"/>
  </si>
  <si>
    <t>振替休日（建国記念の日）</t>
    <rPh sb="0" eb="4">
      <t>フリカエキュウジツ</t>
    </rPh>
    <rPh sb="5" eb="9">
      <t>ケンコクキネン</t>
    </rPh>
    <rPh sb="10" eb="11">
      <t>ヒ</t>
    </rPh>
    <phoneticPr fontId="1"/>
  </si>
  <si>
    <t>振替休日（天皇誕生日）</t>
    <rPh sb="0" eb="4">
      <t>フリカエキュウジツ</t>
    </rPh>
    <rPh sb="5" eb="10">
      <t>テンノウタンジョウビ</t>
    </rPh>
    <phoneticPr fontId="1"/>
  </si>
  <si>
    <t>振替休日（こどもの日）</t>
    <rPh sb="0" eb="4">
      <t>フリカエキュウジツ</t>
    </rPh>
    <rPh sb="9" eb="10">
      <t>ヒ</t>
    </rPh>
    <phoneticPr fontId="1"/>
  </si>
  <si>
    <t>振替休日（みどりの日）</t>
    <rPh sb="0" eb="4">
      <t>フリカエキュウジツ</t>
    </rPh>
    <rPh sb="9" eb="10">
      <t>ヒ</t>
    </rPh>
    <phoneticPr fontId="1"/>
  </si>
  <si>
    <t>敬老の日</t>
    <rPh sb="0" eb="2">
      <t>ケイロウ</t>
    </rPh>
    <rPh sb="3" eb="4">
      <t>ヒ</t>
    </rPh>
    <phoneticPr fontId="1"/>
  </si>
  <si>
    <t>海の日</t>
    <rPh sb="0" eb="1">
      <t>ウミ</t>
    </rPh>
    <rPh sb="2" eb="3">
      <t>ヒ</t>
    </rPh>
    <phoneticPr fontId="1"/>
  </si>
  <si>
    <t>山の日</t>
    <rPh sb="0" eb="1">
      <t>ヤマ</t>
    </rPh>
    <rPh sb="2" eb="3">
      <t>ヒ</t>
    </rPh>
    <phoneticPr fontId="1"/>
  </si>
  <si>
    <t>振替休日（山の日）</t>
    <rPh sb="0" eb="4">
      <t>フリカエキュウジツ</t>
    </rPh>
    <rPh sb="5" eb="6">
      <t>ヤマ</t>
    </rPh>
    <rPh sb="7" eb="8">
      <t>ヒ</t>
    </rPh>
    <phoneticPr fontId="1"/>
  </si>
  <si>
    <t>秋分の日</t>
    <rPh sb="0" eb="2">
      <t>シュウブン</t>
    </rPh>
    <rPh sb="3" eb="4">
      <t>ヒ</t>
    </rPh>
    <phoneticPr fontId="1"/>
  </si>
  <si>
    <t>振替休日（秋分の日）</t>
    <rPh sb="0" eb="4">
      <t>フリカエキュウジツ</t>
    </rPh>
    <rPh sb="5" eb="7">
      <t>シュウブン</t>
    </rPh>
    <rPh sb="8" eb="9">
      <t>ヒ</t>
    </rPh>
    <phoneticPr fontId="1"/>
  </si>
  <si>
    <t>スポーツの日</t>
    <rPh sb="5" eb="6">
      <t>ヒ</t>
    </rPh>
    <phoneticPr fontId="1"/>
  </si>
  <si>
    <t>文化の日</t>
    <rPh sb="0" eb="2">
      <t>ブンカ</t>
    </rPh>
    <rPh sb="3" eb="4">
      <t>ヒ</t>
    </rPh>
    <phoneticPr fontId="1"/>
  </si>
  <si>
    <t>振替休日（勤労感謝の日）</t>
    <rPh sb="0" eb="4">
      <t>フリカエキュウジツ</t>
    </rPh>
    <rPh sb="5" eb="9">
      <t>キンロウカンシャ</t>
    </rPh>
    <rPh sb="10" eb="11">
      <t>ヒ</t>
    </rPh>
    <phoneticPr fontId="1"/>
  </si>
  <si>
    <t>振替休日（文化の日）</t>
    <rPh sb="0" eb="10">
      <t>フリカエキュウジツ</t>
    </rPh>
    <phoneticPr fontId="1"/>
  </si>
  <si>
    <t>勤労感謝の日</t>
    <rPh sb="0" eb="4">
      <t>キンロウカンシャ</t>
    </rPh>
    <rPh sb="5" eb="6">
      <t>ヒ</t>
    </rPh>
    <phoneticPr fontId="1"/>
  </si>
  <si>
    <r>
      <t>　毎月分提出する必要があります。また、前月実績の区分が変更となった場合は、</t>
    </r>
    <r>
      <rPr>
        <b/>
        <u/>
        <sz val="10"/>
        <color rgb="FFFF0000"/>
        <rFont val="ＭＳ 明朝"/>
        <family val="1"/>
        <charset val="128"/>
      </rPr>
      <t>前月に遡及して減算を適用</t>
    </r>
    <r>
      <rPr>
        <sz val="10"/>
        <color rgb="FFFF0000"/>
        <rFont val="ＭＳ 明朝"/>
        <family val="1"/>
        <charset val="128"/>
      </rPr>
      <t>します。</t>
    </r>
    <rPh sb="19" eb="21">
      <t>ゼンゲツ</t>
    </rPh>
    <rPh sb="37" eb="39">
      <t>ゼンゲツ</t>
    </rPh>
    <phoneticPr fontId="1"/>
  </si>
  <si>
    <t>特例※5</t>
    <rPh sb="0" eb="2">
      <t>トクレイ</t>
    </rPh>
    <phoneticPr fontId="1"/>
  </si>
  <si>
    <t>→</t>
    <phoneticPr fontId="1"/>
  </si>
  <si>
    <t>→</t>
    <phoneticPr fontId="1"/>
  </si>
  <si>
    <t>※1　利用児童について、延長保育、一時保育を含めないこと。</t>
    <rPh sb="3" eb="5">
      <t>リヨウ</t>
    </rPh>
    <rPh sb="5" eb="7">
      <t>ジドウ</t>
    </rPh>
    <rPh sb="12" eb="14">
      <t>エンチョウ</t>
    </rPh>
    <rPh sb="14" eb="16">
      <t>ホイク</t>
    </rPh>
    <rPh sb="17" eb="19">
      <t>イチジ</t>
    </rPh>
    <rPh sb="19" eb="21">
      <t>ホイク</t>
    </rPh>
    <rPh sb="22" eb="23">
      <t>フク</t>
    </rPh>
    <phoneticPr fontId="1"/>
  </si>
  <si>
    <t>※3　利用児童数(実績)について、当日キャンセルの児童は含めて良い(前日キャンセルは不可)。なお、運動会等による行事開催が当日キャンセルになった場合も保護者の希望があれば保育を実施する必要があることに留意すること。</t>
    <rPh sb="3" eb="5">
      <t>リヨウ</t>
    </rPh>
    <rPh sb="5" eb="7">
      <t>ジドウ</t>
    </rPh>
    <rPh sb="7" eb="8">
      <t>スウ</t>
    </rPh>
    <rPh sb="9" eb="11">
      <t>ジッセキ</t>
    </rPh>
    <rPh sb="17" eb="19">
      <t>トウジツ</t>
    </rPh>
    <rPh sb="25" eb="27">
      <t>ジドウ</t>
    </rPh>
    <rPh sb="28" eb="29">
      <t>フク</t>
    </rPh>
    <rPh sb="31" eb="32">
      <t>ヨ</t>
    </rPh>
    <rPh sb="34" eb="36">
      <t>ゼンジツ</t>
    </rPh>
    <rPh sb="42" eb="44">
      <t>フカ</t>
    </rPh>
    <rPh sb="61" eb="63">
      <t>トウジツ</t>
    </rPh>
    <rPh sb="100" eb="102">
      <t>リュウイ</t>
    </rPh>
    <phoneticPr fontId="1"/>
  </si>
  <si>
    <t>※4　年末年始の閉園日（12/29～31、1/2～3）に土曜日が含まれる場合は祝日扱いとします。</t>
    <rPh sb="3" eb="7">
      <t>ネンマツネンシ</t>
    </rPh>
    <rPh sb="8" eb="11">
      <t>ヘイエンビ</t>
    </rPh>
    <rPh sb="28" eb="31">
      <t>ドヨウビ</t>
    </rPh>
    <rPh sb="32" eb="33">
      <t>フク</t>
    </rPh>
    <rPh sb="36" eb="38">
      <t>バアイ</t>
    </rPh>
    <rPh sb="39" eb="42">
      <t>シュクジツアツカ</t>
    </rPh>
    <phoneticPr fontId="1"/>
  </si>
  <si>
    <t>※5　新型コロナ感染症の影響により休園した場合は「○」を選択すること。なお、常時土曜日を閉所している施設は選択しないこと。</t>
    <rPh sb="3" eb="5">
      <t>シンガタ</t>
    </rPh>
    <rPh sb="8" eb="11">
      <t>カンセンショウ</t>
    </rPh>
    <rPh sb="12" eb="14">
      <t>エイキョウ</t>
    </rPh>
    <rPh sb="17" eb="19">
      <t>キュウエン</t>
    </rPh>
    <rPh sb="21" eb="23">
      <t>バアイ</t>
    </rPh>
    <rPh sb="28" eb="30">
      <t>センタク</t>
    </rPh>
    <rPh sb="38" eb="40">
      <t>ジョウジ</t>
    </rPh>
    <rPh sb="40" eb="43">
      <t>ドヨウビ</t>
    </rPh>
    <rPh sb="44" eb="46">
      <t>ヘイショ</t>
    </rPh>
    <rPh sb="50" eb="52">
      <t>シセツ</t>
    </rPh>
    <rPh sb="53" eb="55">
      <t>センタク</t>
    </rPh>
    <phoneticPr fontId="1"/>
  </si>
  <si>
    <t>時</t>
    <rPh sb="0" eb="1">
      <t>ジ</t>
    </rPh>
    <phoneticPr fontId="1"/>
  </si>
  <si>
    <t>分</t>
    <rPh sb="0" eb="1">
      <t>フン</t>
    </rPh>
    <phoneticPr fontId="1"/>
  </si>
  <si>
    <t>料金単位</t>
    <rPh sb="0" eb="2">
      <t>リョウキン</t>
    </rPh>
    <rPh sb="2" eb="4">
      <t>タンイ</t>
    </rPh>
    <phoneticPr fontId="1"/>
  </si>
  <si>
    <t>体制</t>
    <rPh sb="0" eb="2">
      <t>タイセイ</t>
    </rPh>
    <phoneticPr fontId="1"/>
  </si>
  <si>
    <t>給与</t>
    <rPh sb="0" eb="2">
      <t>キュウヨ</t>
    </rPh>
    <phoneticPr fontId="1"/>
  </si>
  <si>
    <t>回答</t>
    <rPh sb="0" eb="2">
      <t>カイトウ</t>
    </rPh>
    <phoneticPr fontId="1"/>
  </si>
  <si>
    <t>実施している</t>
    <rPh sb="0" eb="2">
      <t>ジッシ</t>
    </rPh>
    <phoneticPr fontId="1"/>
  </si>
  <si>
    <t>１時間当たり</t>
    <rPh sb="1" eb="4">
      <t>ジカンア</t>
    </rPh>
    <phoneticPr fontId="1"/>
  </si>
  <si>
    <t>平日勤務の職員によるシフト制</t>
    <rPh sb="0" eb="2">
      <t>ヘイジツ</t>
    </rPh>
    <rPh sb="2" eb="4">
      <t>キンム</t>
    </rPh>
    <rPh sb="5" eb="7">
      <t>ショクイン</t>
    </rPh>
    <rPh sb="13" eb="14">
      <t>セイ</t>
    </rPh>
    <phoneticPr fontId="1"/>
  </si>
  <si>
    <t>全て通常給与</t>
    <rPh sb="0" eb="1">
      <t>スベ</t>
    </rPh>
    <rPh sb="2" eb="6">
      <t>ツウジョウキュウヨ</t>
    </rPh>
    <phoneticPr fontId="1"/>
  </si>
  <si>
    <t>はい</t>
    <phoneticPr fontId="1"/>
  </si>
  <si>
    <t>実施計画</t>
    <rPh sb="0" eb="4">
      <t>ジッシケイカク</t>
    </rPh>
    <phoneticPr fontId="1"/>
  </si>
  <si>
    <t>実施していない</t>
    <rPh sb="0" eb="2">
      <t>ジッシ</t>
    </rPh>
    <phoneticPr fontId="1"/>
  </si>
  <si>
    <t>１日当たり</t>
    <rPh sb="1" eb="3">
      <t>ニチア</t>
    </rPh>
    <phoneticPr fontId="1"/>
  </si>
  <si>
    <t>休日保育専従職員配置</t>
    <rPh sb="0" eb="4">
      <t>キュウジツホイク</t>
    </rPh>
    <rPh sb="4" eb="6">
      <t>センジュウ</t>
    </rPh>
    <rPh sb="6" eb="8">
      <t>ショクイン</t>
    </rPh>
    <rPh sb="8" eb="10">
      <t>ハイチ</t>
    </rPh>
    <phoneticPr fontId="1"/>
  </si>
  <si>
    <t>全て超過勤務</t>
    <rPh sb="0" eb="1">
      <t>スベ</t>
    </rPh>
    <rPh sb="2" eb="6">
      <t>チョウカキンム</t>
    </rPh>
    <phoneticPr fontId="1"/>
  </si>
  <si>
    <t>いいえ</t>
    <phoneticPr fontId="1"/>
  </si>
  <si>
    <t>No.</t>
    <phoneticPr fontId="1"/>
  </si>
  <si>
    <t>内容</t>
    <rPh sb="0" eb="2">
      <t>ナイヨウ</t>
    </rPh>
    <phoneticPr fontId="1"/>
  </si>
  <si>
    <t>１月当たり</t>
    <rPh sb="1" eb="3">
      <t>ツキア</t>
    </rPh>
    <phoneticPr fontId="1"/>
  </si>
  <si>
    <t>通常給与と超過勤務の混合</t>
    <rPh sb="0" eb="4">
      <t>ツウジョウキュウヨ</t>
    </rPh>
    <rPh sb="5" eb="9">
      <t>チョウカキンム</t>
    </rPh>
    <rPh sb="10" eb="12">
      <t>コンゴウ</t>
    </rPh>
    <phoneticPr fontId="1"/>
  </si>
  <si>
    <t>実施日</t>
    <rPh sb="0" eb="3">
      <t>ジッシビ</t>
    </rPh>
    <phoneticPr fontId="1"/>
  </si>
  <si>
    <t>日曜日、祝日</t>
    <rPh sb="0" eb="2">
      <t>ニチヨウ</t>
    </rPh>
    <rPh sb="2" eb="3">
      <t>ビ</t>
    </rPh>
    <rPh sb="4" eb="6">
      <t>シュクジツ</t>
    </rPh>
    <phoneticPr fontId="1"/>
  </si>
  <si>
    <t>その他（　）</t>
    <rPh sb="2" eb="3">
      <t>タ</t>
    </rPh>
    <phoneticPr fontId="1"/>
  </si>
  <si>
    <t>時間帯</t>
    <rPh sb="0" eb="3">
      <t>ジカンタイ</t>
    </rPh>
    <phoneticPr fontId="1"/>
  </si>
  <si>
    <t>～</t>
    <phoneticPr fontId="1"/>
  </si>
  <si>
    <t>短時間</t>
    <rPh sb="0" eb="3">
      <t>タンジカン</t>
    </rPh>
    <phoneticPr fontId="1"/>
  </si>
  <si>
    <t>利用児童数</t>
    <rPh sb="0" eb="2">
      <t>リヨウ</t>
    </rPh>
    <rPh sb="2" eb="5">
      <t>ジドウスウ</t>
    </rPh>
    <phoneticPr fontId="1"/>
  </si>
  <si>
    <t>人</t>
    <rPh sb="0" eb="1">
      <t>ニン</t>
    </rPh>
    <phoneticPr fontId="1"/>
  </si>
  <si>
    <t>実施</t>
    <rPh sb="0" eb="2">
      <t>ジッシ</t>
    </rPh>
    <phoneticPr fontId="1"/>
  </si>
  <si>
    <t>料金</t>
    <rPh sb="0" eb="2">
      <t>リョウキン</t>
    </rPh>
    <phoneticPr fontId="1"/>
  </si>
  <si>
    <t>円/食</t>
    <rPh sb="0" eb="1">
      <t>エン</t>
    </rPh>
    <rPh sb="2" eb="3">
      <t>ショク</t>
    </rPh>
    <phoneticPr fontId="1"/>
  </si>
  <si>
    <t>単位</t>
    <rPh sb="0" eb="2">
      <t>タンイ</t>
    </rPh>
    <phoneticPr fontId="1"/>
  </si>
  <si>
    <t>金額</t>
    <rPh sb="0" eb="2">
      <t>キンガク</t>
    </rPh>
    <phoneticPr fontId="1"/>
  </si>
  <si>
    <t>円</t>
    <rPh sb="0" eb="1">
      <t>エン</t>
    </rPh>
    <phoneticPr fontId="1"/>
  </si>
  <si>
    <t>職員体制</t>
    <rPh sb="0" eb="4">
      <t>ショクインタイセイ</t>
    </rPh>
    <phoneticPr fontId="1"/>
  </si>
  <si>
    <t>給与区分</t>
    <rPh sb="0" eb="2">
      <t>キュウヨ</t>
    </rPh>
    <rPh sb="2" eb="4">
      <t>クブン</t>
    </rPh>
    <phoneticPr fontId="1"/>
  </si>
  <si>
    <t>必要保育士数について</t>
    <rPh sb="0" eb="6">
      <t>ヒツヨウホイクシスウ</t>
    </rPh>
    <phoneticPr fontId="1"/>
  </si>
  <si>
    <t>確認事項</t>
    <rPh sb="0" eb="4">
      <t>カクニンジコウ</t>
    </rPh>
    <phoneticPr fontId="1"/>
  </si>
  <si>
    <t>常時2名以上を配置している</t>
    <rPh sb="0" eb="2">
      <t>ジョウジ</t>
    </rPh>
    <rPh sb="3" eb="6">
      <t>メイイジョウ</t>
    </rPh>
    <rPh sb="7" eb="9">
      <t>ハイチ</t>
    </rPh>
    <phoneticPr fontId="1"/>
  </si>
  <si>
    <t>児童福祉施設設備運営基準第33条第２項及び附則第94条から第97条、児童福祉施設最低基準の一部を改正する省令附則第２条の規定を確認している</t>
    <phoneticPr fontId="1"/>
  </si>
  <si>
    <t>月当たりの超過勤務対応時間</t>
    <rPh sb="0" eb="2">
      <t>ツキア</t>
    </rPh>
    <rPh sb="5" eb="9">
      <t>チョウカキンム</t>
    </rPh>
    <rPh sb="9" eb="11">
      <t>タイオウ</t>
    </rPh>
    <rPh sb="11" eb="13">
      <t>ジカン</t>
    </rPh>
    <phoneticPr fontId="1"/>
  </si>
  <si>
    <t>申出者</t>
    <rPh sb="0" eb="2">
      <t>モウシデ</t>
    </rPh>
    <rPh sb="2" eb="3">
      <t>ャ</t>
    </rPh>
    <phoneticPr fontId="1"/>
  </si>
  <si>
    <t>法人名</t>
    <rPh sb="0" eb="3">
      <t>ホウジンメイ</t>
    </rPh>
    <phoneticPr fontId="1"/>
  </si>
  <si>
    <t>代表者</t>
    <rPh sb="0" eb="3">
      <t>ダイヒョウシャ</t>
    </rPh>
    <phoneticPr fontId="1"/>
  </si>
  <si>
    <t>記</t>
    <rPh sb="0" eb="1">
      <t>キ</t>
    </rPh>
    <phoneticPr fontId="1"/>
  </si>
  <si>
    <t>１　施設名</t>
    <rPh sb="2" eb="5">
      <t>シセツメイ</t>
    </rPh>
    <phoneticPr fontId="1"/>
  </si>
  <si>
    <t>２　見直しした区分</t>
    <phoneticPr fontId="1"/>
  </si>
  <si>
    <t>(1) 定員</t>
    <rPh sb="4" eb="6">
      <t>テイイン</t>
    </rPh>
    <phoneticPr fontId="1"/>
  </si>
  <si>
    <t>(2) 利用初日児童数（予定）</t>
    <rPh sb="4" eb="6">
      <t>リヨウ</t>
    </rPh>
    <rPh sb="6" eb="8">
      <t>ショニチ</t>
    </rPh>
    <rPh sb="8" eb="10">
      <t>ジドウ</t>
    </rPh>
    <rPh sb="10" eb="11">
      <t>スウ</t>
    </rPh>
    <rPh sb="12" eb="14">
      <t>ヨテイ</t>
    </rPh>
    <phoneticPr fontId="1"/>
  </si>
  <si>
    <t>定員</t>
    <rPh sb="0" eb="2">
      <t>テイイン</t>
    </rPh>
    <phoneticPr fontId="1"/>
  </si>
  <si>
    <t>利用児童数</t>
    <rPh sb="0" eb="5">
      <t>リヨウジドウスウ</t>
    </rPh>
    <phoneticPr fontId="1"/>
  </si>
  <si>
    <t>超過</t>
    <rPh sb="0" eb="2">
      <t>チョウカ</t>
    </rPh>
    <phoneticPr fontId="1"/>
  </si>
  <si>
    <t>平均在所率</t>
    <rPh sb="0" eb="5">
      <t>ヘイキンザイショリツ</t>
    </rPh>
    <phoneticPr fontId="1"/>
  </si>
  <si>
    <t>別紙６‐２（「減算：定員を恒常的に超過する場合」の添付書類）</t>
    <rPh sb="0" eb="2">
      <t>ベッシ</t>
    </rPh>
    <rPh sb="7" eb="9">
      <t>ゲンサン</t>
    </rPh>
    <rPh sb="10" eb="12">
      <t>テイイン</t>
    </rPh>
    <rPh sb="13" eb="16">
      <t>コウジョウテキ</t>
    </rPh>
    <rPh sb="17" eb="19">
      <t>チョウカ</t>
    </rPh>
    <rPh sb="21" eb="23">
      <t>バアイ</t>
    </rPh>
    <rPh sb="25" eb="27">
      <t>テンプ</t>
    </rPh>
    <rPh sb="27" eb="29">
      <t>ショルイ</t>
    </rPh>
    <phoneticPr fontId="1"/>
  </si>
  <si>
    <t>(2) 利用初日児童数(実績)</t>
    <rPh sb="4" eb="6">
      <t>リヨウ</t>
    </rPh>
    <rPh sb="6" eb="8">
      <t>ショニチ</t>
    </rPh>
    <rPh sb="8" eb="10">
      <t>ジドウ</t>
    </rPh>
    <rPh sb="10" eb="11">
      <t>スウ</t>
    </rPh>
    <rPh sb="12" eb="14">
      <t>ジッセキ</t>
    </rPh>
    <phoneticPr fontId="1"/>
  </si>
  <si>
    <t>　下記のとおりの実績となっております。</t>
    <rPh sb="1" eb="3">
      <t>カキ</t>
    </rPh>
    <rPh sb="8" eb="10">
      <t>ジッセキ</t>
    </rPh>
    <phoneticPr fontId="1"/>
  </si>
  <si>
    <t>常勤職員１人の勤務時間数/月</t>
    <phoneticPr fontId="1"/>
  </si>
  <si>
    <t>　就業規則等で定める常勤職員１人の１か月の所定労働時間(休憩時間を含まない。)を記載すること。ただし、150時間未満の場合は根拠・理由を記載すること。</t>
    <phoneticPr fontId="1"/>
  </si>
  <si>
    <t>時間/月</t>
    <rPh sb="0" eb="2">
      <t>ジカン</t>
    </rPh>
    <rPh sb="3" eb="4">
      <t>ツキ</t>
    </rPh>
    <phoneticPr fontId="1"/>
  </si>
  <si>
    <t>職員数（札幌市確認用）</t>
    <rPh sb="0" eb="3">
      <t>ショクインスウ</t>
    </rPh>
    <rPh sb="4" eb="10">
      <t>サッポロシカクニンヨウ</t>
    </rPh>
    <phoneticPr fontId="1"/>
  </si>
  <si>
    <t>常勤換算数</t>
    <rPh sb="0" eb="5">
      <t>ジョウキンカンサンスウ</t>
    </rPh>
    <phoneticPr fontId="1"/>
  </si>
  <si>
    <t>非常勤※</t>
    <rPh sb="0" eb="3">
      <t>ヒジョウキン</t>
    </rPh>
    <phoneticPr fontId="1"/>
  </si>
  <si>
    <t>勤務時間</t>
    <rPh sb="0" eb="4">
      <t>キンムジカン</t>
    </rPh>
    <phoneticPr fontId="1"/>
  </si>
  <si>
    <t>施設長</t>
    <rPh sb="0" eb="3">
      <t>シセツチョウ</t>
    </rPh>
    <phoneticPr fontId="1"/>
  </si>
  <si>
    <t>保育士※</t>
    <rPh sb="0" eb="3">
      <t>ホイクシ</t>
    </rPh>
    <phoneticPr fontId="1"/>
  </si>
  <si>
    <t>事務員</t>
    <rPh sb="0" eb="3">
      <t>ジムイン</t>
    </rPh>
    <phoneticPr fontId="1"/>
  </si>
  <si>
    <t>※　非常勤に委託を含む。</t>
    <rPh sb="2" eb="5">
      <t>ヒジョウキン</t>
    </rPh>
    <rPh sb="6" eb="8">
      <t>イタク</t>
    </rPh>
    <rPh sb="9" eb="10">
      <t>フク</t>
    </rPh>
    <phoneticPr fontId="1"/>
  </si>
  <si>
    <t>&lt;職員名簿&gt;</t>
    <rPh sb="1" eb="3">
      <t>ショクイン</t>
    </rPh>
    <rPh sb="3" eb="5">
      <t>メイボ</t>
    </rPh>
    <phoneticPr fontId="1"/>
  </si>
  <si>
    <t>①　職員氏名/委託先：「業務委託」➡委託先会社名／「雇用職員」➡職員氏名　を誤りなく記載してください。</t>
    <rPh sb="2" eb="4">
      <t>ショクイン</t>
    </rPh>
    <rPh sb="4" eb="6">
      <t>シメイ</t>
    </rPh>
    <rPh sb="7" eb="10">
      <t>イタクサキ</t>
    </rPh>
    <rPh sb="12" eb="16">
      <t>ギョウムイタク</t>
    </rPh>
    <rPh sb="18" eb="24">
      <t>イタクサキカイシャメイ</t>
    </rPh>
    <rPh sb="26" eb="30">
      <t>コヨウショクイン</t>
    </rPh>
    <rPh sb="32" eb="34">
      <t>ショクイン</t>
    </rPh>
    <rPh sb="34" eb="36">
      <t>シメイ</t>
    </rPh>
    <rPh sb="38" eb="39">
      <t>アヤマ</t>
    </rPh>
    <rPh sb="42" eb="44">
      <t>キサイ</t>
    </rPh>
    <phoneticPr fontId="1"/>
  </si>
  <si>
    <t>②　職員状況：職種区分として、施設長、教諭（発令有）、教諭（発令無）、栄養士、調理員、事務員、その他　から選択してください。また、初日時点で有給・代替・無給の是非を選択してください。</t>
    <rPh sb="2" eb="4">
      <t>ショクイン</t>
    </rPh>
    <rPh sb="4" eb="6">
      <t>ジョウキョウ</t>
    </rPh>
    <rPh sb="7" eb="9">
      <t>ショクシュ</t>
    </rPh>
    <rPh sb="9" eb="11">
      <t>クブン</t>
    </rPh>
    <rPh sb="15" eb="18">
      <t>シセツチョウ</t>
    </rPh>
    <rPh sb="35" eb="38">
      <t>エイヨウシ</t>
    </rPh>
    <rPh sb="39" eb="42">
      <t>チョウリイン</t>
    </rPh>
    <rPh sb="43" eb="46">
      <t>ジムイン</t>
    </rPh>
    <rPh sb="49" eb="50">
      <t>ホカ</t>
    </rPh>
    <rPh sb="53" eb="55">
      <t>センタク</t>
    </rPh>
    <rPh sb="65" eb="67">
      <t>ショニチ</t>
    </rPh>
    <rPh sb="67" eb="69">
      <t>ジテン</t>
    </rPh>
    <rPh sb="70" eb="72">
      <t>ユウキュウ</t>
    </rPh>
    <rPh sb="73" eb="75">
      <t>ダイタイ</t>
    </rPh>
    <rPh sb="76" eb="78">
      <t>ムキュウ</t>
    </rPh>
    <rPh sb="79" eb="81">
      <t>ゼヒ</t>
    </rPh>
    <rPh sb="82" eb="84">
      <t>センタク</t>
    </rPh>
    <phoneticPr fontId="1"/>
  </si>
  <si>
    <t>③　形態：業務委託➡自動表示／雇用職員➡常勤、非常勤の選択及び契約形態を選択してください。また、非常勤又は委託の場合は様式3でひと月の勤務時間数を記載してください。</t>
    <rPh sb="2" eb="4">
      <t>ケイタイ</t>
    </rPh>
    <rPh sb="5" eb="9">
      <t>ギョウムイタク</t>
    </rPh>
    <rPh sb="10" eb="14">
      <t>ジドウヒョウジ</t>
    </rPh>
    <rPh sb="15" eb="19">
      <t>コヨウショクイン</t>
    </rPh>
    <rPh sb="20" eb="22">
      <t>ジョウキン</t>
    </rPh>
    <rPh sb="23" eb="26">
      <t>ヒジョウキン</t>
    </rPh>
    <rPh sb="27" eb="29">
      <t>センタク</t>
    </rPh>
    <rPh sb="29" eb="30">
      <t>オヨ</t>
    </rPh>
    <rPh sb="31" eb="35">
      <t>ケイヤクケイタイ</t>
    </rPh>
    <rPh sb="36" eb="38">
      <t>センタク</t>
    </rPh>
    <rPh sb="48" eb="51">
      <t>ヒジョウキン</t>
    </rPh>
    <rPh sb="51" eb="52">
      <t>マタ</t>
    </rPh>
    <rPh sb="53" eb="55">
      <t>イタク</t>
    </rPh>
    <rPh sb="56" eb="58">
      <t>バアイ</t>
    </rPh>
    <rPh sb="59" eb="61">
      <t>ヨウシキ</t>
    </rPh>
    <rPh sb="65" eb="66">
      <t>ツキ</t>
    </rPh>
    <rPh sb="67" eb="69">
      <t>キンム</t>
    </rPh>
    <rPh sb="69" eb="71">
      <t>ジカン</t>
    </rPh>
    <rPh sb="71" eb="72">
      <t>スウ</t>
    </rPh>
    <rPh sb="73" eb="75">
      <t>キサイ</t>
    </rPh>
    <phoneticPr fontId="1"/>
  </si>
  <si>
    <t>④　雇用/契約開始日：雇用（業務委託の場合は契約）開始日を記載してください。記載は西暦で「○○年△月□日」の場合は「○○/△/□」です。</t>
    <rPh sb="2" eb="4">
      <t>コヨウ</t>
    </rPh>
    <rPh sb="5" eb="7">
      <t>ケイヤク</t>
    </rPh>
    <rPh sb="7" eb="10">
      <t>カイシビ</t>
    </rPh>
    <rPh sb="11" eb="13">
      <t>コヨウ</t>
    </rPh>
    <rPh sb="14" eb="18">
      <t>ギョウムイタク</t>
    </rPh>
    <rPh sb="19" eb="21">
      <t>バアイ</t>
    </rPh>
    <rPh sb="22" eb="24">
      <t>ケイヤク</t>
    </rPh>
    <rPh sb="25" eb="28">
      <t>カイシビ</t>
    </rPh>
    <rPh sb="29" eb="31">
      <t>キサイ</t>
    </rPh>
    <rPh sb="38" eb="40">
      <t>キサイ</t>
    </rPh>
    <rPh sb="41" eb="43">
      <t>セイレキ</t>
    </rPh>
    <rPh sb="47" eb="48">
      <t>ネン</t>
    </rPh>
    <rPh sb="49" eb="50">
      <t>ガツ</t>
    </rPh>
    <rPh sb="51" eb="52">
      <t>ニチ</t>
    </rPh>
    <rPh sb="54" eb="56">
      <t>バアイ</t>
    </rPh>
    <phoneticPr fontId="1"/>
  </si>
  <si>
    <t>●　業務委託</t>
    <rPh sb="2" eb="6">
      <t>ギョウムイタク</t>
    </rPh>
    <phoneticPr fontId="1"/>
  </si>
  <si>
    <t>カウント</t>
    <phoneticPr fontId="1"/>
  </si>
  <si>
    <t>エラー</t>
    <phoneticPr fontId="1"/>
  </si>
  <si>
    <t>通常教育</t>
    <rPh sb="0" eb="2">
      <t>ツウジョウ</t>
    </rPh>
    <rPh sb="2" eb="4">
      <t>キョウイク</t>
    </rPh>
    <phoneticPr fontId="1"/>
  </si>
  <si>
    <t>リスト（状況に応じて更新）</t>
    <rPh sb="4" eb="6">
      <t>ジョウキョウ</t>
    </rPh>
    <rPh sb="7" eb="8">
      <t>オウ</t>
    </rPh>
    <rPh sb="10" eb="12">
      <t>コウシン</t>
    </rPh>
    <phoneticPr fontId="1"/>
  </si>
  <si>
    <t>　・　委託は「保育士」のみ常勤換算数に含まれて計算されます。</t>
    <rPh sb="3" eb="5">
      <t>イタク</t>
    </rPh>
    <rPh sb="7" eb="10">
      <t>ホイクシ</t>
    </rPh>
    <rPh sb="13" eb="18">
      <t>ジョウキンカンサンスウ</t>
    </rPh>
    <rPh sb="19" eb="20">
      <t>フク</t>
    </rPh>
    <rPh sb="23" eb="25">
      <t>ケイサン</t>
    </rPh>
    <phoneticPr fontId="1"/>
  </si>
  <si>
    <t>参入</t>
    <rPh sb="0" eb="2">
      <t>サンニュウ</t>
    </rPh>
    <phoneticPr fontId="1"/>
  </si>
  <si>
    <t>保育士代用</t>
    <rPh sb="0" eb="5">
      <t>ホイクシダイヨウ</t>
    </rPh>
    <phoneticPr fontId="1"/>
  </si>
  <si>
    <t>委託</t>
    <rPh sb="0" eb="2">
      <t>イタク</t>
    </rPh>
    <phoneticPr fontId="1"/>
  </si>
  <si>
    <t>職種区分</t>
    <rPh sb="0" eb="4">
      <t>ショクシュクブン</t>
    </rPh>
    <phoneticPr fontId="1"/>
  </si>
  <si>
    <t>初日時点の契約状況</t>
    <rPh sb="0" eb="4">
      <t>ショニチジテン</t>
    </rPh>
    <rPh sb="5" eb="9">
      <t>ケイヤクジョウキョウ</t>
    </rPh>
    <phoneticPr fontId="1"/>
  </si>
  <si>
    <t>雇用開始日</t>
    <rPh sb="0" eb="5">
      <t>コヨウカイシビ</t>
    </rPh>
    <phoneticPr fontId="1"/>
  </si>
  <si>
    <t>①　委託先</t>
    <rPh sb="2" eb="5">
      <t>イタクサキ</t>
    </rPh>
    <phoneticPr fontId="3"/>
  </si>
  <si>
    <t>③形態</t>
    <rPh sb="1" eb="3">
      <t>ケイタイ</t>
    </rPh>
    <phoneticPr fontId="3"/>
  </si>
  <si>
    <t>④契約開始日</t>
    <rPh sb="1" eb="3">
      <t>ケイヤク</t>
    </rPh>
    <rPh sb="3" eb="5">
      <t>カイシ</t>
    </rPh>
    <rPh sb="5" eb="6">
      <t>ビ</t>
    </rPh>
    <phoneticPr fontId="1"/>
  </si>
  <si>
    <t>備考</t>
    <rPh sb="0" eb="2">
      <t>ビコウ</t>
    </rPh>
    <phoneticPr fontId="3"/>
  </si>
  <si>
    <t>算入区分</t>
    <rPh sb="0" eb="2">
      <t>サンニュウ</t>
    </rPh>
    <rPh sb="2" eb="4">
      <t>クブン</t>
    </rPh>
    <phoneticPr fontId="1"/>
  </si>
  <si>
    <t>委託先会社名</t>
    <rPh sb="0" eb="5">
      <t>イタクサキカイシャ</t>
    </rPh>
    <rPh sb="5" eb="6">
      <t>メイ</t>
    </rPh>
    <phoneticPr fontId="1"/>
  </si>
  <si>
    <t>初日時点の契約状況</t>
    <rPh sb="0" eb="2">
      <t>ショニチ</t>
    </rPh>
    <rPh sb="2" eb="4">
      <t>ジテン</t>
    </rPh>
    <rPh sb="5" eb="7">
      <t>ケイヤク</t>
    </rPh>
    <rPh sb="7" eb="9">
      <t>ジョウキョウ</t>
    </rPh>
    <phoneticPr fontId="1"/>
  </si>
  <si>
    <t>-</t>
    <phoneticPr fontId="1"/>
  </si>
  <si>
    <t>勤務時間/月</t>
    <phoneticPr fontId="1"/>
  </si>
  <si>
    <t>常勤-時短/兼務</t>
    <rPh sb="0" eb="2">
      <t>ジョウキン</t>
    </rPh>
    <rPh sb="3" eb="5">
      <t>ジタン</t>
    </rPh>
    <rPh sb="6" eb="8">
      <t>ケンム</t>
    </rPh>
    <phoneticPr fontId="1"/>
  </si>
  <si>
    <t>保育士</t>
    <rPh sb="0" eb="3">
      <t>ホイクシ</t>
    </rPh>
    <phoneticPr fontId="1"/>
  </si>
  <si>
    <t>有給（他法活用）</t>
    <rPh sb="0" eb="2">
      <t>ユウキュウ</t>
    </rPh>
    <rPh sb="3" eb="7">
      <t>タホウカツヨウ</t>
    </rPh>
    <phoneticPr fontId="1"/>
  </si>
  <si>
    <t>雇用契約</t>
    <rPh sb="0" eb="2">
      <t>コヨウ</t>
    </rPh>
    <rPh sb="2" eb="4">
      <t>ケイヤク</t>
    </rPh>
    <phoneticPr fontId="1"/>
  </si>
  <si>
    <t>派遣契約</t>
    <rPh sb="0" eb="2">
      <t>ハケン</t>
    </rPh>
    <rPh sb="2" eb="4">
      <t>ケイヤク</t>
    </rPh>
    <phoneticPr fontId="1"/>
  </si>
  <si>
    <t>派遣契約</t>
    <rPh sb="0" eb="4">
      <t>ハケンケイヤク</t>
    </rPh>
    <phoneticPr fontId="1"/>
  </si>
  <si>
    <t>栄養士（委託）</t>
    <rPh sb="0" eb="3">
      <t>エイヨウシ</t>
    </rPh>
    <rPh sb="4" eb="6">
      <t>イタク</t>
    </rPh>
    <phoneticPr fontId="1"/>
  </si>
  <si>
    <t>嘱託契約</t>
    <rPh sb="0" eb="4">
      <t>ショクタクケイヤク</t>
    </rPh>
    <phoneticPr fontId="1"/>
  </si>
  <si>
    <t>調理員（委託）</t>
    <rPh sb="0" eb="3">
      <t>チョウリイン</t>
    </rPh>
    <rPh sb="4" eb="6">
      <t>イタク</t>
    </rPh>
    <phoneticPr fontId="1"/>
  </si>
  <si>
    <t>↑(数式＞定義された名前＞選択範囲から作成＞上端　で二重線囲部分を名前登録する➡ドロップダウンの範囲登録に使用)</t>
    <phoneticPr fontId="1"/>
  </si>
  <si>
    <t>事務員（委託）</t>
    <rPh sb="0" eb="2">
      <t>ジム</t>
    </rPh>
    <rPh sb="2" eb="3">
      <t>イン</t>
    </rPh>
    <rPh sb="4" eb="6">
      <t>イタク</t>
    </rPh>
    <phoneticPr fontId="1"/>
  </si>
  <si>
    <t>その他（委託）</t>
    <rPh sb="2" eb="3">
      <t>タ</t>
    </rPh>
    <rPh sb="4" eb="6">
      <t>イタク</t>
    </rPh>
    <phoneticPr fontId="1"/>
  </si>
  <si>
    <t>看護師・保健師</t>
    <rPh sb="0" eb="3">
      <t>カンゴシ</t>
    </rPh>
    <rPh sb="4" eb="7">
      <t>ホケンシ</t>
    </rPh>
    <phoneticPr fontId="1"/>
  </si>
  <si>
    <t>●　雇用職員</t>
    <rPh sb="2" eb="4">
      <t>コヨウ</t>
    </rPh>
    <rPh sb="4" eb="6">
      <t>ショクイン</t>
    </rPh>
    <phoneticPr fontId="1"/>
  </si>
  <si>
    <t>④雇用開始日</t>
    <rPh sb="3" eb="5">
      <t>カイシ</t>
    </rPh>
    <rPh sb="5" eb="6">
      <t>ビ</t>
    </rPh>
    <phoneticPr fontId="1"/>
  </si>
  <si>
    <t>No.</t>
    <phoneticPr fontId="1"/>
  </si>
  <si>
    <t>常勤・非常勤
※時短勤務は非常勤</t>
    <rPh sb="0" eb="2">
      <t>ジョウキン</t>
    </rPh>
    <rPh sb="3" eb="6">
      <t>ヒジョウキン</t>
    </rPh>
    <rPh sb="8" eb="10">
      <t>ジタン</t>
    </rPh>
    <rPh sb="10" eb="12">
      <t>キンム</t>
    </rPh>
    <rPh sb="13" eb="16">
      <t>ヒジョウキン</t>
    </rPh>
    <phoneticPr fontId="1"/>
  </si>
  <si>
    <t>契約形態</t>
    <rPh sb="0" eb="2">
      <t>ケイヤク</t>
    </rPh>
    <rPh sb="2" eb="4">
      <t>ケイタイ</t>
    </rPh>
    <phoneticPr fontId="1"/>
  </si>
  <si>
    <t>○</t>
    <phoneticPr fontId="3"/>
  </si>
  <si>
    <t>提出日</t>
    <phoneticPr fontId="3"/>
  </si>
  <si>
    <t>⇒</t>
    <phoneticPr fontId="3"/>
  </si>
  <si>
    <t>○</t>
    <phoneticPr fontId="3"/>
  </si>
  <si>
    <t>・　単位は「時間」のため、１時間30分⇒1.5（時間）となります。不明な場合は右の換算表をご使用ください。</t>
    <phoneticPr fontId="1"/>
  </si>
  <si>
    <t>【時間】</t>
    <rPh sb="1" eb="3">
      <t>ジカン</t>
    </rPh>
    <phoneticPr fontId="1"/>
  </si>
  <si>
    <t>No.</t>
    <phoneticPr fontId="3"/>
  </si>
  <si>
    <t>土・祝・休日</t>
    <rPh sb="0" eb="1">
      <t>ド</t>
    </rPh>
    <rPh sb="2" eb="3">
      <t>シュク</t>
    </rPh>
    <rPh sb="4" eb="6">
      <t>キュウジツ</t>
    </rPh>
    <phoneticPr fontId="1"/>
  </si>
  <si>
    <t>【様式4】</t>
    <rPh sb="1" eb="3">
      <t>ヨウシキ</t>
    </rPh>
    <phoneticPr fontId="1"/>
  </si>
  <si>
    <t>クラス編成表</t>
  </si>
  <si>
    <t>クラス名</t>
    <rPh sb="3" eb="4">
      <t>メイ</t>
    </rPh>
    <phoneticPr fontId="3"/>
  </si>
  <si>
    <t>年 齢</t>
    <rPh sb="0" eb="1">
      <t>トシ</t>
    </rPh>
    <rPh sb="2" eb="3">
      <t>ヨワイ</t>
    </rPh>
    <phoneticPr fontId="3"/>
  </si>
  <si>
    <t>人 数</t>
    <rPh sb="0" eb="1">
      <t>ヒト</t>
    </rPh>
    <rPh sb="2" eb="3">
      <t>カズ</t>
    </rPh>
    <phoneticPr fontId="3"/>
  </si>
  <si>
    <t>副担任名</t>
    <rPh sb="0" eb="3">
      <t>フクタンニン</t>
    </rPh>
    <rPh sb="3" eb="4">
      <t>メイ</t>
    </rPh>
    <phoneticPr fontId="3"/>
  </si>
  <si>
    <t>児童数計</t>
    <rPh sb="0" eb="2">
      <t>ジドウ</t>
    </rPh>
    <rPh sb="3" eb="4">
      <t>ケイ</t>
    </rPh>
    <phoneticPr fontId="3"/>
  </si>
  <si>
    <t>※　学級担任は常勤専任である必要があります。</t>
    <rPh sb="2" eb="4">
      <t>ガッキュウ</t>
    </rPh>
    <rPh sb="4" eb="6">
      <t>タンニン</t>
    </rPh>
    <rPh sb="7" eb="9">
      <t>ジョウキン</t>
    </rPh>
    <rPh sb="9" eb="11">
      <t>センニン</t>
    </rPh>
    <rPh sb="14" eb="16">
      <t>ヒツヨウ</t>
    </rPh>
    <phoneticPr fontId="1"/>
  </si>
  <si>
    <t>※　本表と同様の内容が確認できる書類の提出がある場合は、本クラス編成表の提出を省略することができます。</t>
    <rPh sb="2" eb="3">
      <t>ホン</t>
    </rPh>
    <rPh sb="3" eb="4">
      <t>ヒョウ</t>
    </rPh>
    <rPh sb="5" eb="7">
      <t>ドウヨウ</t>
    </rPh>
    <rPh sb="8" eb="10">
      <t>ナイヨウ</t>
    </rPh>
    <rPh sb="11" eb="13">
      <t>カクニン</t>
    </rPh>
    <rPh sb="16" eb="18">
      <t>ショルイ</t>
    </rPh>
    <rPh sb="19" eb="21">
      <t>テイシュツ</t>
    </rPh>
    <rPh sb="24" eb="26">
      <t>バアイ</t>
    </rPh>
    <rPh sb="28" eb="29">
      <t>ホン</t>
    </rPh>
    <rPh sb="32" eb="34">
      <t>ヘンセイ</t>
    </rPh>
    <rPh sb="34" eb="35">
      <t>ヒョウ</t>
    </rPh>
    <rPh sb="36" eb="38">
      <t>テイシュツ</t>
    </rPh>
    <rPh sb="39" eb="41">
      <t>ショウリャク</t>
    </rPh>
    <phoneticPr fontId="3"/>
  </si>
  <si>
    <t>※　年齢の高いクラス（年長）から記入願います。</t>
    <rPh sb="2" eb="4">
      <t>ネンレイ</t>
    </rPh>
    <rPh sb="5" eb="6">
      <t>タカ</t>
    </rPh>
    <rPh sb="11" eb="13">
      <t>ネンチョウ</t>
    </rPh>
    <rPh sb="16" eb="18">
      <t>キニュウ</t>
    </rPh>
    <rPh sb="18" eb="19">
      <t>ネガ</t>
    </rPh>
    <phoneticPr fontId="3"/>
  </si>
  <si>
    <t>【様式5】</t>
    <rPh sb="1" eb="3">
      <t>ヨウシキ</t>
    </rPh>
    <phoneticPr fontId="1"/>
  </si>
  <si>
    <t>非常勤下限設定</t>
    <rPh sb="0" eb="3">
      <t>ヒジョウキン</t>
    </rPh>
    <rPh sb="3" eb="7">
      <t>カゲンセッテイ</t>
    </rPh>
    <phoneticPr fontId="1"/>
  </si>
  <si>
    <t>職種</t>
    <rPh sb="0" eb="2">
      <t>ショクシュ</t>
    </rPh>
    <phoneticPr fontId="1"/>
  </si>
  <si>
    <r>
      <t>リスト登録</t>
    </r>
    <r>
      <rPr>
        <sz val="10"/>
        <color theme="1"/>
        <rFont val="ＭＳ 明朝"/>
        <family val="1"/>
        <charset val="128"/>
      </rPr>
      <t>(数式＞定義された名前＞選択範囲から作成＞上端　で二重線囲部分を名前登録する➡ドロップダウンの範囲登録に使用)</t>
    </r>
    <rPh sb="3" eb="5">
      <t>トウロク</t>
    </rPh>
    <rPh sb="6" eb="8">
      <t>スウシキ</t>
    </rPh>
    <rPh sb="9" eb="11">
      <t>テイギ</t>
    </rPh>
    <rPh sb="14" eb="16">
      <t>ナマエ</t>
    </rPh>
    <rPh sb="17" eb="19">
      <t>センタク</t>
    </rPh>
    <rPh sb="19" eb="21">
      <t>ハンイ</t>
    </rPh>
    <rPh sb="23" eb="25">
      <t>サクセイ</t>
    </rPh>
    <rPh sb="26" eb="28">
      <t>ジョウタン</t>
    </rPh>
    <rPh sb="30" eb="33">
      <t>ニジュウセン</t>
    </rPh>
    <rPh sb="33" eb="34">
      <t>カコ</t>
    </rPh>
    <rPh sb="34" eb="36">
      <t>ブブン</t>
    </rPh>
    <rPh sb="37" eb="41">
      <t>ナマエトウロク</t>
    </rPh>
    <rPh sb="52" eb="54">
      <t>ハンイ</t>
    </rPh>
    <rPh sb="54" eb="56">
      <t>トウロク</t>
    </rPh>
    <rPh sb="57" eb="59">
      <t>シヨウ</t>
    </rPh>
    <phoneticPr fontId="1"/>
  </si>
  <si>
    <t>様式2</t>
    <rPh sb="0" eb="2">
      <t>ヨウシキ</t>
    </rPh>
    <phoneticPr fontId="1"/>
  </si>
  <si>
    <t>施設長</t>
    <phoneticPr fontId="1"/>
  </si>
  <si>
    <t>保育士</t>
    <phoneticPr fontId="1"/>
  </si>
  <si>
    <t>事務員</t>
    <phoneticPr fontId="1"/>
  </si>
  <si>
    <t>全員</t>
    <rPh sb="0" eb="2">
      <t>ゼンイン</t>
    </rPh>
    <phoneticPr fontId="1"/>
  </si>
  <si>
    <t>業務委託</t>
    <rPh sb="0" eb="4">
      <t>ギョウムイタク</t>
    </rPh>
    <phoneticPr fontId="1"/>
  </si>
  <si>
    <t>　特定教育・保育等に要する費用の額の算定に係る職員数算出表</t>
    <phoneticPr fontId="1"/>
  </si>
  <si>
    <t>○</t>
    <phoneticPr fontId="1"/>
  </si>
  <si>
    <t>名前登録～上端行で登録↓</t>
    <rPh sb="0" eb="2">
      <t>ナマエ</t>
    </rPh>
    <rPh sb="2" eb="4">
      <t>トウロク</t>
    </rPh>
    <rPh sb="5" eb="7">
      <t>ジョウタン</t>
    </rPh>
    <rPh sb="7" eb="8">
      <t>ギョウ</t>
    </rPh>
    <rPh sb="9" eb="11">
      <t>トウロク</t>
    </rPh>
    <phoneticPr fontId="1"/>
  </si>
  <si>
    <t>-</t>
    <phoneticPr fontId="1"/>
  </si>
  <si>
    <t>1　利用児童状況(クラス年齢)</t>
    <rPh sb="2" eb="4">
      <t>リヨウ</t>
    </rPh>
    <rPh sb="4" eb="6">
      <t>ジドウ</t>
    </rPh>
    <rPh sb="6" eb="8">
      <t>ジョウキョウ</t>
    </rPh>
    <rPh sb="12" eb="14">
      <t>ネンレイ</t>
    </rPh>
    <phoneticPr fontId="1"/>
  </si>
  <si>
    <t>×</t>
    <phoneticPr fontId="1"/>
  </si>
  <si>
    <r>
      <rPr>
        <b/>
        <sz val="10"/>
        <color rgb="FFFF0000"/>
        <rFont val="ＭＳ 明朝"/>
        <family val="1"/>
        <charset val="128"/>
      </rPr>
      <t>「月初日(1日時点)」</t>
    </r>
    <r>
      <rPr>
        <sz val="10"/>
        <color theme="1"/>
        <rFont val="ＭＳ 明朝"/>
        <family val="1"/>
        <charset val="128"/>
      </rPr>
      <t>かつ</t>
    </r>
    <r>
      <rPr>
        <b/>
        <sz val="10"/>
        <color rgb="FFFF0000"/>
        <rFont val="ＭＳ 明朝"/>
        <family val="1"/>
        <charset val="128"/>
      </rPr>
      <t>「クラス年齢」</t>
    </r>
    <r>
      <rPr>
        <sz val="10"/>
        <color theme="1"/>
        <rFont val="ＭＳ 明朝"/>
        <family val="1"/>
        <charset val="128"/>
      </rPr>
      <t>の児童数を下記に入力すること。</t>
    </r>
    <rPh sb="1" eb="2">
      <t>ツキ</t>
    </rPh>
    <rPh sb="2" eb="4">
      <t>ショニチ</t>
    </rPh>
    <rPh sb="6" eb="7">
      <t>ニチ</t>
    </rPh>
    <rPh sb="7" eb="9">
      <t>ジテン</t>
    </rPh>
    <rPh sb="17" eb="19">
      <t>ネンレイ</t>
    </rPh>
    <rPh sb="21" eb="23">
      <t>ジドウ</t>
    </rPh>
    <rPh sb="23" eb="24">
      <t>スウ</t>
    </rPh>
    <rPh sb="25" eb="27">
      <t>カキ</t>
    </rPh>
    <rPh sb="28" eb="30">
      <t>ニュウリョク</t>
    </rPh>
    <phoneticPr fontId="1"/>
  </si>
  <si>
    <t>No</t>
    <phoneticPr fontId="1"/>
  </si>
  <si>
    <t>常勤・非常勤</t>
    <rPh sb="3" eb="6">
      <t>ヒジョウキン</t>
    </rPh>
    <phoneticPr fontId="1"/>
  </si>
  <si>
    <t>入力</t>
    <rPh sb="0" eb="2">
      <t>ニュウリョク</t>
    </rPh>
    <phoneticPr fontId="1"/>
  </si>
  <si>
    <t>カウント</t>
  </si>
  <si>
    <t>常勤保育士</t>
    <rPh sb="0" eb="2">
      <t>ジョウキン</t>
    </rPh>
    <rPh sb="2" eb="5">
      <t>ホイクシ</t>
    </rPh>
    <phoneticPr fontId="1"/>
  </si>
  <si>
    <t>全職種</t>
    <rPh sb="0" eb="3">
      <t>ゼンショクシュ</t>
    </rPh>
    <phoneticPr fontId="1"/>
  </si>
  <si>
    <t>認定区分</t>
    <rPh sb="0" eb="4">
      <t>ニンテイクブン</t>
    </rPh>
    <phoneticPr fontId="1"/>
  </si>
  <si>
    <t>5歳児</t>
    <rPh sb="1" eb="2">
      <t>サイ</t>
    </rPh>
    <rPh sb="2" eb="3">
      <t>ジ</t>
    </rPh>
    <phoneticPr fontId="1"/>
  </si>
  <si>
    <t>4歳児</t>
    <rPh sb="1" eb="2">
      <t>サイ</t>
    </rPh>
    <rPh sb="2" eb="3">
      <t>ジ</t>
    </rPh>
    <phoneticPr fontId="1"/>
  </si>
  <si>
    <t>3歳児</t>
    <rPh sb="1" eb="3">
      <t>サイジ</t>
    </rPh>
    <phoneticPr fontId="1"/>
  </si>
  <si>
    <t>満3歳児</t>
    <rPh sb="0" eb="1">
      <t>マン</t>
    </rPh>
    <rPh sb="2" eb="4">
      <t>サイジ</t>
    </rPh>
    <phoneticPr fontId="1"/>
  </si>
  <si>
    <t>2歳児</t>
    <rPh sb="1" eb="3">
      <t>サイジ</t>
    </rPh>
    <phoneticPr fontId="1"/>
  </si>
  <si>
    <t>1歳児</t>
    <rPh sb="1" eb="2">
      <t>サイ</t>
    </rPh>
    <rPh sb="2" eb="3">
      <t>ジ</t>
    </rPh>
    <phoneticPr fontId="1"/>
  </si>
  <si>
    <t>0歳児（乳児）</t>
    <rPh sb="1" eb="2">
      <t>サイ</t>
    </rPh>
    <rPh sb="2" eb="3">
      <t>ジ</t>
    </rPh>
    <rPh sb="4" eb="6">
      <t>ニュウジ</t>
    </rPh>
    <phoneticPr fontId="1"/>
  </si>
  <si>
    <t>標準</t>
    <rPh sb="0" eb="2">
      <t>ヒョウジュン</t>
    </rPh>
    <phoneticPr fontId="1"/>
  </si>
  <si>
    <t>短</t>
    <rPh sb="0" eb="1">
      <t>タン</t>
    </rPh>
    <phoneticPr fontId="1"/>
  </si>
  <si>
    <t>-</t>
  </si>
  <si>
    <t>-</t>
    <phoneticPr fontId="1"/>
  </si>
  <si>
    <t>-</t>
    <phoneticPr fontId="1"/>
  </si>
  <si>
    <t>2　加算・減算等</t>
    <rPh sb="2" eb="4">
      <t>カサン</t>
    </rPh>
    <rPh sb="5" eb="7">
      <t>ゲンサン</t>
    </rPh>
    <rPh sb="7" eb="8">
      <t>トウ</t>
    </rPh>
    <phoneticPr fontId="1"/>
  </si>
  <si>
    <t>判定（取得数）</t>
    <rPh sb="0" eb="2">
      <t>ハンテイ</t>
    </rPh>
    <rPh sb="3" eb="5">
      <t>シュトク</t>
    </rPh>
    <rPh sb="5" eb="6">
      <t>スウ</t>
    </rPh>
    <phoneticPr fontId="1"/>
  </si>
  <si>
    <t>個票</t>
    <rPh sb="0" eb="2">
      <t>コヒョウ</t>
    </rPh>
    <phoneticPr fontId="1"/>
  </si>
  <si>
    <t>職種・リスト名</t>
    <rPh sb="0" eb="2">
      <t>ショクシュ</t>
    </rPh>
    <rPh sb="6" eb="7">
      <t>メイ</t>
    </rPh>
    <phoneticPr fontId="1"/>
  </si>
  <si>
    <t>時間数</t>
    <rPh sb="0" eb="3">
      <t>ジカンスウ</t>
    </rPh>
    <phoneticPr fontId="1"/>
  </si>
  <si>
    <t>エラー確認</t>
    <rPh sb="3" eb="5">
      <t>カクニン</t>
    </rPh>
    <phoneticPr fontId="1"/>
  </si>
  <si>
    <t>調整</t>
    <rPh sb="0" eb="2">
      <t>チョウセイ</t>
    </rPh>
    <phoneticPr fontId="1"/>
  </si>
  <si>
    <t>下限調整</t>
    <rPh sb="0" eb="4">
      <t>カゲンチョウセイ</t>
    </rPh>
    <phoneticPr fontId="1"/>
  </si>
  <si>
    <t>加算・減算等</t>
    <rPh sb="0" eb="2">
      <t>カサン</t>
    </rPh>
    <rPh sb="3" eb="6">
      <t>ゲンサントウ</t>
    </rPh>
    <phoneticPr fontId="1"/>
  </si>
  <si>
    <t>常勤換算数【人/月】</t>
    <rPh sb="0" eb="5">
      <t>ジョウキンカンサンスウ</t>
    </rPh>
    <rPh sb="5" eb="10">
      <t>「ニン／ツキ」</t>
    </rPh>
    <phoneticPr fontId="1"/>
  </si>
  <si>
    <t>申請状況</t>
    <rPh sb="0" eb="4">
      <t>シンセイジョウキョウ</t>
    </rPh>
    <phoneticPr fontId="1"/>
  </si>
  <si>
    <t>パターン</t>
    <phoneticPr fontId="1"/>
  </si>
  <si>
    <t>対象</t>
    <rPh sb="0" eb="2">
      <t>タイショウ</t>
    </rPh>
    <phoneticPr fontId="1"/>
  </si>
  <si>
    <t>名簿有無</t>
    <rPh sb="0" eb="2">
      <t>メイボ</t>
    </rPh>
    <rPh sb="2" eb="4">
      <t>ウム</t>
    </rPh>
    <phoneticPr fontId="1"/>
  </si>
  <si>
    <t>重複</t>
    <rPh sb="0" eb="2">
      <t>チョウフク</t>
    </rPh>
    <phoneticPr fontId="1"/>
  </si>
  <si>
    <t>パターン</t>
    <phoneticPr fontId="1"/>
  </si>
  <si>
    <t>担当者名</t>
    <rPh sb="0" eb="4">
      <t>タントウシャメイ</t>
    </rPh>
    <phoneticPr fontId="1"/>
  </si>
  <si>
    <t>申請</t>
    <rPh sb="0" eb="2">
      <t>シンセイ</t>
    </rPh>
    <phoneticPr fontId="1"/>
  </si>
  <si>
    <t>条件</t>
    <rPh sb="0" eb="2">
      <t>ジョウケン</t>
    </rPh>
    <phoneticPr fontId="1"/>
  </si>
  <si>
    <t>特例①</t>
    <rPh sb="0" eb="2">
      <t>トクレイ</t>
    </rPh>
    <phoneticPr fontId="1"/>
  </si>
  <si>
    <t>特例②</t>
    <rPh sb="0" eb="2">
      <t>トクレイ</t>
    </rPh>
    <phoneticPr fontId="1"/>
  </si>
  <si>
    <t>特例③</t>
    <rPh sb="0" eb="3">
      <t>トクレイ3</t>
    </rPh>
    <phoneticPr fontId="1"/>
  </si>
  <si>
    <t>人/月</t>
    <rPh sb="0" eb="1">
      <t>ニン</t>
    </rPh>
    <rPh sb="2" eb="3">
      <t>ツキ</t>
    </rPh>
    <phoneticPr fontId="1"/>
  </si>
  <si>
    <t>基本配置</t>
    <rPh sb="0" eb="4">
      <t>キホンハイチ</t>
    </rPh>
    <phoneticPr fontId="1"/>
  </si>
  <si>
    <t>-</t>
    <phoneticPr fontId="1"/>
  </si>
  <si>
    <t>保育士①</t>
    <rPh sb="0" eb="3">
      <t>ホイクシ</t>
    </rPh>
    <phoneticPr fontId="1"/>
  </si>
  <si>
    <t>保育士②</t>
    <rPh sb="0" eb="4">
      <t>ホイクシ2</t>
    </rPh>
    <phoneticPr fontId="1"/>
  </si>
  <si>
    <t>保育士③</t>
    <rPh sb="0" eb="3">
      <t>ホイクシ</t>
    </rPh>
    <phoneticPr fontId="1"/>
  </si>
  <si>
    <t>調理員</t>
    <phoneticPr fontId="1"/>
  </si>
  <si>
    <t>嘱託医・嘱託歯科医</t>
    <rPh sb="0" eb="3">
      <t>ショクタクイ</t>
    </rPh>
    <rPh sb="4" eb="9">
      <t>ショクタクシカイ</t>
    </rPh>
    <phoneticPr fontId="1"/>
  </si>
  <si>
    <t>嘱託医等</t>
    <rPh sb="0" eb="3">
      <t>ショクタクイ</t>
    </rPh>
    <rPh sb="3" eb="4">
      <t>トウ</t>
    </rPh>
    <phoneticPr fontId="1"/>
  </si>
  <si>
    <t xml:space="preserve">休日保育加算
</t>
    <rPh sb="0" eb="6">
      <t>キュウジツホイクカサン</t>
    </rPh>
    <phoneticPr fontId="1"/>
  </si>
  <si>
    <t>合計(参考)</t>
    <rPh sb="0" eb="2">
      <t>ゴウケイ</t>
    </rPh>
    <rPh sb="3" eb="5">
      <t>サンコウ</t>
    </rPh>
    <phoneticPr fontId="1"/>
  </si>
  <si>
    <t>産休等代替職員雇用費補助金</t>
    <rPh sb="0" eb="2">
      <t>サンキュウ</t>
    </rPh>
    <rPh sb="2" eb="3">
      <t>トウ</t>
    </rPh>
    <rPh sb="3" eb="5">
      <t>ダイタイ</t>
    </rPh>
    <rPh sb="5" eb="7">
      <t>ショクイン</t>
    </rPh>
    <rPh sb="7" eb="9">
      <t>コヨウ</t>
    </rPh>
    <rPh sb="9" eb="10">
      <t>ヒ</t>
    </rPh>
    <rPh sb="10" eb="13">
      <t>ホジョキン</t>
    </rPh>
    <phoneticPr fontId="1"/>
  </si>
  <si>
    <t>食物アレルギー児保育事業費補助金</t>
    <rPh sb="0" eb="2">
      <t>ショクモツ</t>
    </rPh>
    <rPh sb="7" eb="8">
      <t>ジ</t>
    </rPh>
    <rPh sb="8" eb="10">
      <t>ホイク</t>
    </rPh>
    <rPh sb="10" eb="12">
      <t>ジギョウ</t>
    </rPh>
    <rPh sb="12" eb="13">
      <t>ヒ</t>
    </rPh>
    <rPh sb="13" eb="16">
      <t>ホジョキン</t>
    </rPh>
    <phoneticPr fontId="1"/>
  </si>
  <si>
    <t>その他
補助金名等を記載すること➡</t>
    <rPh sb="2" eb="3">
      <t>タ</t>
    </rPh>
    <rPh sb="5" eb="10">
      <t>ホジョキンメイトウ</t>
    </rPh>
    <rPh sb="11" eb="13">
      <t>キサイ</t>
    </rPh>
    <phoneticPr fontId="1"/>
  </si>
  <si>
    <t>(うち委託分)</t>
    <rPh sb="3" eb="5">
      <t>イタク</t>
    </rPh>
    <rPh sb="5" eb="6">
      <t>ブン</t>
    </rPh>
    <phoneticPr fontId="1"/>
  </si>
  <si>
    <t>業務委託</t>
  </si>
  <si>
    <t>３　配置数</t>
    <rPh sb="2" eb="4">
      <t>ハイチ</t>
    </rPh>
    <rPh sb="4" eb="5">
      <t>スウ</t>
    </rPh>
    <phoneticPr fontId="1"/>
  </si>
  <si>
    <t>【人/月】</t>
    <rPh sb="0" eb="5">
      <t>「ニン／ツキ」</t>
    </rPh>
    <phoneticPr fontId="1"/>
  </si>
  <si>
    <t>公定価格</t>
    <rPh sb="0" eb="4">
      <t>コウテイカカク</t>
    </rPh>
    <phoneticPr fontId="1"/>
  </si>
  <si>
    <t>様式2より…A</t>
    <rPh sb="0" eb="2">
      <t>ヨウシキ</t>
    </rPh>
    <phoneticPr fontId="1"/>
  </si>
  <si>
    <t>調整…Ｂ</t>
    <rPh sb="0" eb="2">
      <t>チョウセイ</t>
    </rPh>
    <phoneticPr fontId="1"/>
  </si>
  <si>
    <t>実配置数…A-B+C(※)</t>
    <rPh sb="0" eb="1">
      <t>ジツ</t>
    </rPh>
    <rPh sb="1" eb="4">
      <t>ハイチスウ</t>
    </rPh>
    <phoneticPr fontId="1"/>
  </si>
  <si>
    <t>補助金担当</t>
    <rPh sb="0" eb="3">
      <t>ホジョキン</t>
    </rPh>
    <rPh sb="3" eb="5">
      <t>タントウ</t>
    </rPh>
    <phoneticPr fontId="1"/>
  </si>
  <si>
    <t>他職種への流用…C</t>
    <rPh sb="0" eb="1">
      <t>ホカ</t>
    </rPh>
    <rPh sb="1" eb="3">
      <t>ショクシュ</t>
    </rPh>
    <rPh sb="5" eb="7">
      <t>リュウヨウ</t>
    </rPh>
    <phoneticPr fontId="1"/>
  </si>
  <si>
    <t>調理員へ変更</t>
    <rPh sb="4" eb="6">
      <t>ヘンコウ</t>
    </rPh>
    <phoneticPr fontId="1"/>
  </si>
  <si>
    <t>事務員へ変更</t>
    <rPh sb="4" eb="6">
      <t>ヘンコウ</t>
    </rPh>
    <phoneticPr fontId="1"/>
  </si>
  <si>
    <t>１　赤字及び二重線囲部分を各加算に応じて更新すること</t>
    <rPh sb="2" eb="4">
      <t>アカジ</t>
    </rPh>
    <rPh sb="4" eb="5">
      <t>オヨ</t>
    </rPh>
    <rPh sb="6" eb="9">
      <t>ニジュウセン</t>
    </rPh>
    <rPh sb="9" eb="10">
      <t>カコ</t>
    </rPh>
    <rPh sb="10" eb="12">
      <t>ブブン</t>
    </rPh>
    <rPh sb="13" eb="16">
      <t>カクカサン</t>
    </rPh>
    <rPh sb="17" eb="18">
      <t>オウ</t>
    </rPh>
    <rPh sb="20" eb="22">
      <t>コウシン</t>
    </rPh>
    <phoneticPr fontId="1"/>
  </si>
  <si>
    <t>２　「-」は対象外のため数式未入力箇所</t>
    <rPh sb="6" eb="9">
      <t>タイショウガイ</t>
    </rPh>
    <rPh sb="12" eb="19">
      <t>スウシキミニュウリョクカショ</t>
    </rPh>
    <phoneticPr fontId="1"/>
  </si>
  <si>
    <t>…ア</t>
    <phoneticPr fontId="1"/>
  </si>
  <si>
    <t>パターン</t>
    <phoneticPr fontId="1"/>
  </si>
  <si>
    <t>特例</t>
    <rPh sb="0" eb="2">
      <t>トクレイ</t>
    </rPh>
    <phoneticPr fontId="1"/>
  </si>
  <si>
    <t>重複判定データ</t>
    <rPh sb="0" eb="4">
      <t>チョウフクハンテイ</t>
    </rPh>
    <phoneticPr fontId="1"/>
  </si>
  <si>
    <t>個票の申請状況引用</t>
    <rPh sb="0" eb="2">
      <t>コヒョウ</t>
    </rPh>
    <rPh sb="3" eb="5">
      <t>シンセイ</t>
    </rPh>
    <rPh sb="5" eb="7">
      <t>ジョウキョウ</t>
    </rPh>
    <rPh sb="7" eb="9">
      <t>インヨウ</t>
    </rPh>
    <phoneticPr fontId="1"/>
  </si>
  <si>
    <t>その他条件（判定に使用）</t>
    <rPh sb="2" eb="5">
      <t>タジョウケン</t>
    </rPh>
    <rPh sb="6" eb="8">
      <t>ハンテイ</t>
    </rPh>
    <rPh sb="9" eb="11">
      <t>シヨウ</t>
    </rPh>
    <phoneticPr fontId="1"/>
  </si>
  <si>
    <t>担当者のドロップダウンに使用。右の「リスト登録」で登録した名前を引用</t>
    <rPh sb="0" eb="3">
      <t>タントウシャ</t>
    </rPh>
    <rPh sb="12" eb="14">
      <t>シヨウ</t>
    </rPh>
    <rPh sb="15" eb="16">
      <t>ミギ</t>
    </rPh>
    <rPh sb="21" eb="23">
      <t>トウロク</t>
    </rPh>
    <rPh sb="25" eb="27">
      <t>トウロク</t>
    </rPh>
    <rPh sb="29" eb="31">
      <t>ナマエ</t>
    </rPh>
    <rPh sb="32" eb="34">
      <t>インヨウ</t>
    </rPh>
    <phoneticPr fontId="1"/>
  </si>
  <si>
    <t>重複判定から除外する番号を重複判定データから引用する</t>
    <rPh sb="0" eb="2">
      <t>チョウフク</t>
    </rPh>
    <rPh sb="2" eb="4">
      <t>ハンテイ</t>
    </rPh>
    <rPh sb="6" eb="8">
      <t>ジョガイ</t>
    </rPh>
    <rPh sb="10" eb="12">
      <t>バンゴウ</t>
    </rPh>
    <rPh sb="13" eb="17">
      <t>チョウフクハンテイ</t>
    </rPh>
    <rPh sb="22" eb="24">
      <t>インヨウ</t>
    </rPh>
    <phoneticPr fontId="1"/>
  </si>
  <si>
    <t>兼務職員や補助金担当時間を調整する際に使用。項目には職種名、人/月には調整する常勤換算数を引用</t>
    <rPh sb="0" eb="4">
      <t>ケンムショクイン</t>
    </rPh>
    <rPh sb="5" eb="8">
      <t>ホジョキン</t>
    </rPh>
    <rPh sb="8" eb="10">
      <t>タントウ</t>
    </rPh>
    <rPh sb="10" eb="12">
      <t>ジカン</t>
    </rPh>
    <rPh sb="13" eb="15">
      <t>チョウセイ</t>
    </rPh>
    <rPh sb="17" eb="18">
      <t>サイ</t>
    </rPh>
    <rPh sb="19" eb="21">
      <t>シヨウ</t>
    </rPh>
    <rPh sb="22" eb="24">
      <t>コウモク</t>
    </rPh>
    <rPh sb="26" eb="29">
      <t>ショクシュメイ</t>
    </rPh>
    <rPh sb="30" eb="31">
      <t>ジン</t>
    </rPh>
    <rPh sb="32" eb="33">
      <t>ツキ</t>
    </rPh>
    <rPh sb="35" eb="37">
      <t>チョウセイ</t>
    </rPh>
    <rPh sb="39" eb="44">
      <t>ジョウキンカンサンスウ</t>
    </rPh>
    <rPh sb="45" eb="47">
      <t>インヨウ</t>
    </rPh>
    <phoneticPr fontId="1"/>
  </si>
  <si>
    <t>下限調整あり</t>
    <rPh sb="0" eb="4">
      <t>カゲンチョウセイ</t>
    </rPh>
    <phoneticPr fontId="1"/>
  </si>
  <si>
    <t>下限調整なし</t>
    <rPh sb="0" eb="4">
      <t>カゲンチョウセイ</t>
    </rPh>
    <phoneticPr fontId="1"/>
  </si>
  <si>
    <t>担当時間調整あり</t>
    <rPh sb="0" eb="6">
      <t>タントウジカンチョウセイ</t>
    </rPh>
    <phoneticPr fontId="1"/>
  </si>
  <si>
    <t>4　必要職員数及び職員数算出</t>
    <rPh sb="2" eb="4">
      <t>ヒツヨウ</t>
    </rPh>
    <rPh sb="4" eb="6">
      <t>ショクイン</t>
    </rPh>
    <rPh sb="6" eb="7">
      <t>スウ</t>
    </rPh>
    <rPh sb="7" eb="8">
      <t>オヨ</t>
    </rPh>
    <rPh sb="9" eb="14">
      <t>ショクインスウサンシュツ</t>
    </rPh>
    <phoneticPr fontId="1"/>
  </si>
  <si>
    <t>必要数</t>
    <rPh sb="0" eb="3">
      <t>ヒツヨウスウ</t>
    </rPh>
    <phoneticPr fontId="1"/>
  </si>
  <si>
    <t>配置数</t>
    <rPh sb="0" eb="2">
      <t>ハイチ</t>
    </rPh>
    <rPh sb="2" eb="3">
      <t>スウ</t>
    </rPh>
    <phoneticPr fontId="1"/>
  </si>
  <si>
    <t>配置数　－　必要数</t>
    <rPh sb="0" eb="3">
      <t>ハイチスウ</t>
    </rPh>
    <rPh sb="6" eb="9">
      <t>ヒツヨウスウ</t>
    </rPh>
    <phoneticPr fontId="1"/>
  </si>
  <si>
    <t>↑パターンごとに手入力</t>
    <rPh sb="8" eb="11">
      <t>テニュウリョク</t>
    </rPh>
    <phoneticPr fontId="1"/>
  </si>
  <si>
    <t>↑対象判定数式を加算ごとに入力（左の個票を使用すると良い）</t>
    <rPh sb="1" eb="5">
      <t>タイショウハンテイ</t>
    </rPh>
    <rPh sb="5" eb="7">
      <t>スウシキ</t>
    </rPh>
    <rPh sb="8" eb="10">
      <t>カサン</t>
    </rPh>
    <rPh sb="13" eb="15">
      <t>ニュウリョク</t>
    </rPh>
    <rPh sb="16" eb="17">
      <t>ヒダリ</t>
    </rPh>
    <rPh sb="18" eb="20">
      <t>コヒョウ</t>
    </rPh>
    <rPh sb="21" eb="23">
      <t>シヨウ</t>
    </rPh>
    <rPh sb="26" eb="27">
      <t>ヨ</t>
    </rPh>
    <phoneticPr fontId="1"/>
  </si>
  <si>
    <t>計算過程</t>
    <rPh sb="0" eb="4">
      <t>ケイサンカテイ</t>
    </rPh>
    <phoneticPr fontId="1"/>
  </si>
  <si>
    <t>小計</t>
    <rPh sb="0" eb="2">
      <t>ショウケイ</t>
    </rPh>
    <phoneticPr fontId="1"/>
  </si>
  <si>
    <t>施設長（基本配置）</t>
    <rPh sb="0" eb="3">
      <t>シセツチョウ</t>
    </rPh>
    <rPh sb="4" eb="8">
      <t>キホンハイチ</t>
    </rPh>
    <phoneticPr fontId="1"/>
  </si>
  <si>
    <t>小数第二位以下切捨</t>
    <rPh sb="4" eb="5">
      <t>イ</t>
    </rPh>
    <phoneticPr fontId="1"/>
  </si>
  <si>
    <t>足して小数第一位四捨五入</t>
    <rPh sb="0" eb="1">
      <t>タ</t>
    </rPh>
    <rPh sb="6" eb="7">
      <t>１</t>
    </rPh>
    <rPh sb="7" eb="8">
      <t>イ</t>
    </rPh>
    <rPh sb="8" eb="12">
      <t>シシャゴニュウ</t>
    </rPh>
    <phoneticPr fontId="1"/>
  </si>
  <si>
    <t>①</t>
    <phoneticPr fontId="1"/>
  </si>
  <si>
    <t>②</t>
    <phoneticPr fontId="1"/>
  </si>
  <si>
    <t>③</t>
    <phoneticPr fontId="1"/>
  </si>
  <si>
    <t>栄養管理加算</t>
    <rPh sb="0" eb="6">
      <t>エイヨウカンリカサン</t>
    </rPh>
    <phoneticPr fontId="1"/>
  </si>
  <si>
    <t>①　障害児保育認定通知、障害者手帳（療育支援手帳を含む）、医師の診断書(障害名が明記されていること。「～疑い」は不可)
※　通所支援受給者証は不可</t>
    <rPh sb="2" eb="4">
      <t>ショウガイ</t>
    </rPh>
    <rPh sb="4" eb="5">
      <t>ジ</t>
    </rPh>
    <rPh sb="5" eb="7">
      <t>ホイク</t>
    </rPh>
    <rPh sb="7" eb="9">
      <t>ニンテイ</t>
    </rPh>
    <rPh sb="9" eb="11">
      <t>ツウチ</t>
    </rPh>
    <rPh sb="12" eb="15">
      <t>ショウガイシャ</t>
    </rPh>
    <rPh sb="15" eb="17">
      <t>テチョウ</t>
    </rPh>
    <rPh sb="18" eb="20">
      <t>リョウイク</t>
    </rPh>
    <rPh sb="20" eb="22">
      <t>シエン</t>
    </rPh>
    <rPh sb="22" eb="24">
      <t>テチョウ</t>
    </rPh>
    <rPh sb="25" eb="26">
      <t>フク</t>
    </rPh>
    <rPh sb="29" eb="31">
      <t>イシ</t>
    </rPh>
    <rPh sb="32" eb="35">
      <t>シンダンショ</t>
    </rPh>
    <rPh sb="36" eb="38">
      <t>ショウガイ</t>
    </rPh>
    <rPh sb="38" eb="39">
      <t>メイ</t>
    </rPh>
    <rPh sb="40" eb="42">
      <t>メイキ</t>
    </rPh>
    <rPh sb="52" eb="53">
      <t>ウタガ</t>
    </rPh>
    <rPh sb="56" eb="58">
      <t>フカ</t>
    </rPh>
    <rPh sb="62" eb="64">
      <t>ツウショ</t>
    </rPh>
    <rPh sb="64" eb="66">
      <t>シエン</t>
    </rPh>
    <rPh sb="66" eb="69">
      <t>ジュキュウシャ</t>
    </rPh>
    <rPh sb="69" eb="70">
      <t>ショウ</t>
    </rPh>
    <rPh sb="71" eb="73">
      <t>フカ</t>
    </rPh>
    <phoneticPr fontId="1"/>
  </si>
  <si>
    <t>①　登記の写し(建物が自己所有であることがわかるもの)</t>
    <rPh sb="2" eb="4">
      <t>トウキ</t>
    </rPh>
    <rPh sb="5" eb="6">
      <t>ウツ</t>
    </rPh>
    <rPh sb="8" eb="10">
      <t>タテモノ</t>
    </rPh>
    <rPh sb="11" eb="13">
      <t>ジコ</t>
    </rPh>
    <rPh sb="13" eb="15">
      <t>ショユウ</t>
    </rPh>
    <phoneticPr fontId="1"/>
  </si>
  <si>
    <t>②　契約書等の写し(建物の整備、改修または取得する際に費用が発生していることがわかるもの)</t>
    <phoneticPr fontId="1"/>
  </si>
  <si>
    <t>　賃貸借契約書の写し(年度を通じて賃借料が発生し、第三者と賃貸契約を結んでいることがわかるもの)</t>
    <rPh sb="1" eb="4">
      <t>チンタイシャク</t>
    </rPh>
    <rPh sb="4" eb="7">
      <t>ケイヤクショ</t>
    </rPh>
    <rPh sb="8" eb="9">
      <t>ウツ</t>
    </rPh>
    <rPh sb="11" eb="13">
      <t>ネンド</t>
    </rPh>
    <rPh sb="14" eb="15">
      <t>ツウ</t>
    </rPh>
    <rPh sb="17" eb="20">
      <t>チンシャクリョウ</t>
    </rPh>
    <rPh sb="21" eb="23">
      <t>ハッセイ</t>
    </rPh>
    <rPh sb="25" eb="28">
      <t>ダイサンシャ</t>
    </rPh>
    <rPh sb="29" eb="31">
      <t>チンタイ</t>
    </rPh>
    <rPh sb="31" eb="33">
      <t>ケイヤク</t>
    </rPh>
    <rPh sb="34" eb="35">
      <t>ムス</t>
    </rPh>
    <phoneticPr fontId="1"/>
  </si>
  <si>
    <t>計(常勤＋非常勤)</t>
    <rPh sb="0" eb="1">
      <t>ケイ</t>
    </rPh>
    <rPh sb="2" eb="4">
      <t>ジョウキン</t>
    </rPh>
    <rPh sb="5" eb="8">
      <t>ヒジョウキン</t>
    </rPh>
    <phoneticPr fontId="1"/>
  </si>
  <si>
    <t>児童区分</t>
    <rPh sb="0" eb="2">
      <t>ジドウ</t>
    </rPh>
    <rPh sb="2" eb="4">
      <t>クブン</t>
    </rPh>
    <phoneticPr fontId="1"/>
  </si>
  <si>
    <t>３号</t>
    <rPh sb="1" eb="2">
      <t>ゴウ</t>
    </rPh>
    <phoneticPr fontId="1"/>
  </si>
  <si>
    <t>-</t>
    <phoneticPr fontId="1"/>
  </si>
  <si>
    <t>対象職員分計上</t>
    <rPh sb="0" eb="4">
      <t>タイショウショクイン</t>
    </rPh>
    <rPh sb="4" eb="5">
      <t>ブン</t>
    </rPh>
    <rPh sb="5" eb="7">
      <t>ケイジョウ</t>
    </rPh>
    <phoneticPr fontId="1"/>
  </si>
  <si>
    <t>障がい児保育加算</t>
    <rPh sb="0" eb="1">
      <t>ショウ</t>
    </rPh>
    <rPh sb="3" eb="6">
      <t>ジホイク</t>
    </rPh>
    <rPh sb="6" eb="8">
      <t>カサン</t>
    </rPh>
    <phoneticPr fontId="1"/>
  </si>
  <si>
    <t>-</t>
    <phoneticPr fontId="1"/>
  </si>
  <si>
    <t>※2　対象となる子どもは、原則、休日等に常態的に保育を必要とする保育認定子どもであること</t>
    <phoneticPr fontId="1"/>
  </si>
  <si>
    <t>※3　延べ利用子ども数は、1人の子どもが月4日利用した場合は4名と計算すること。</t>
    <rPh sb="3" eb="4">
      <t>ノ</t>
    </rPh>
    <rPh sb="5" eb="7">
      <t>リヨウ</t>
    </rPh>
    <rPh sb="7" eb="8">
      <t>コ</t>
    </rPh>
    <rPh sb="10" eb="11">
      <t>スウ</t>
    </rPh>
    <rPh sb="14" eb="15">
      <t>ヒト</t>
    </rPh>
    <rPh sb="16" eb="17">
      <t>コ</t>
    </rPh>
    <rPh sb="20" eb="21">
      <t>ツキ</t>
    </rPh>
    <rPh sb="22" eb="23">
      <t>ニチ</t>
    </rPh>
    <rPh sb="23" eb="25">
      <t>リヨウ</t>
    </rPh>
    <rPh sb="27" eb="29">
      <t>バアイ</t>
    </rPh>
    <rPh sb="31" eb="32">
      <t>メイ</t>
    </rPh>
    <rPh sb="33" eb="35">
      <t>ケイサン</t>
    </rPh>
    <phoneticPr fontId="1"/>
  </si>
  <si>
    <t>※4　休日延べ利用子ども数には、休日等に当該休日保育対象施設を利用する休日保育対象施設以外の特定教育・保育施設又は特定地域型保育事業を利用する子どもを含むこと</t>
    <rPh sb="3" eb="5">
      <t>キュウジツ</t>
    </rPh>
    <rPh sb="5" eb="6">
      <t>ノ</t>
    </rPh>
    <rPh sb="7" eb="9">
      <t>リヨウ</t>
    </rPh>
    <rPh sb="9" eb="10">
      <t>コ</t>
    </rPh>
    <rPh sb="12" eb="13">
      <t>スウ</t>
    </rPh>
    <rPh sb="16" eb="18">
      <t>キュウジツ</t>
    </rPh>
    <rPh sb="18" eb="19">
      <t>トウ</t>
    </rPh>
    <rPh sb="20" eb="22">
      <t>トウガイ</t>
    </rPh>
    <rPh sb="22" eb="24">
      <t>キュウジツ</t>
    </rPh>
    <rPh sb="24" eb="26">
      <t>ホイク</t>
    </rPh>
    <rPh sb="26" eb="28">
      <t>タイショウ</t>
    </rPh>
    <rPh sb="28" eb="30">
      <t>シセツ</t>
    </rPh>
    <rPh sb="31" eb="33">
      <t>リヨウ</t>
    </rPh>
    <rPh sb="35" eb="37">
      <t>キュウジツ</t>
    </rPh>
    <rPh sb="37" eb="39">
      <t>ホイク</t>
    </rPh>
    <rPh sb="39" eb="41">
      <t>タイショウ</t>
    </rPh>
    <rPh sb="41" eb="43">
      <t>シセツ</t>
    </rPh>
    <rPh sb="43" eb="45">
      <t>イガイ</t>
    </rPh>
    <phoneticPr fontId="1"/>
  </si>
  <si>
    <t>※5　共同保育を実施する場合は、実施する各施設の休日延べ利用子ども数の見込み数を含めること</t>
    <rPh sb="3" eb="5">
      <t>キョウドウ</t>
    </rPh>
    <rPh sb="5" eb="7">
      <t>ホイク</t>
    </rPh>
    <rPh sb="8" eb="10">
      <t>ジッシ</t>
    </rPh>
    <rPh sb="12" eb="14">
      <t>バアイ</t>
    </rPh>
    <rPh sb="16" eb="18">
      <t>ジッシ</t>
    </rPh>
    <rPh sb="20" eb="23">
      <t>カクシセツ</t>
    </rPh>
    <rPh sb="24" eb="26">
      <t>キュウジツ</t>
    </rPh>
    <rPh sb="26" eb="27">
      <t>ノ</t>
    </rPh>
    <rPh sb="28" eb="30">
      <t>リヨウ</t>
    </rPh>
    <rPh sb="30" eb="31">
      <t>コ</t>
    </rPh>
    <rPh sb="33" eb="34">
      <t>スウ</t>
    </rPh>
    <rPh sb="35" eb="37">
      <t>ミコ</t>
    </rPh>
    <rPh sb="38" eb="39">
      <t>スウ</t>
    </rPh>
    <rPh sb="40" eb="41">
      <t>フク</t>
    </rPh>
    <phoneticPr fontId="1"/>
  </si>
  <si>
    <t>管理者を配置している(様式5)</t>
    <rPh sb="0" eb="3">
      <t>カンリシャ</t>
    </rPh>
    <rPh sb="4" eb="6">
      <t>ハイチ</t>
    </rPh>
    <rPh sb="11" eb="13">
      <t>ヨウシキ</t>
    </rPh>
    <phoneticPr fontId="1"/>
  </si>
  <si>
    <t>直前の連続する5年度間常に利用定員を超えている。</t>
    <rPh sb="0" eb="2">
      <t>チョクゼン</t>
    </rPh>
    <rPh sb="3" eb="5">
      <t>レンゾク</t>
    </rPh>
    <rPh sb="8" eb="9">
      <t>ネン</t>
    </rPh>
    <rPh sb="9" eb="10">
      <t>ド</t>
    </rPh>
    <rPh sb="10" eb="11">
      <t>カン</t>
    </rPh>
    <rPh sb="11" eb="12">
      <t>ツネ</t>
    </rPh>
    <rPh sb="13" eb="15">
      <t>リヨウ</t>
    </rPh>
    <rPh sb="15" eb="17">
      <t>テイイン</t>
    </rPh>
    <rPh sb="18" eb="19">
      <t>コ</t>
    </rPh>
    <phoneticPr fontId="1"/>
  </si>
  <si>
    <t>札幌市子ども未来局等と協議し利用定員等の見直しを行った。</t>
    <rPh sb="0" eb="3">
      <t>サッポロシ</t>
    </rPh>
    <rPh sb="3" eb="4">
      <t>コ</t>
    </rPh>
    <rPh sb="6" eb="8">
      <t>ミライ</t>
    </rPh>
    <rPh sb="8" eb="9">
      <t>キョク</t>
    </rPh>
    <rPh sb="9" eb="10">
      <t>トウ</t>
    </rPh>
    <rPh sb="11" eb="13">
      <t>キョウギ</t>
    </rPh>
    <rPh sb="14" eb="16">
      <t>リヨウ</t>
    </rPh>
    <rPh sb="16" eb="18">
      <t>テイイン</t>
    </rPh>
    <rPh sb="18" eb="19">
      <t>トウ</t>
    </rPh>
    <rPh sb="20" eb="22">
      <t>ミナオ</t>
    </rPh>
    <rPh sb="24" eb="25">
      <t>オコナ</t>
    </rPh>
    <phoneticPr fontId="1"/>
  </si>
  <si>
    <t>協議年月日</t>
    <rPh sb="0" eb="2">
      <t>キョウギ</t>
    </rPh>
    <rPh sb="2" eb="3">
      <t>ネン</t>
    </rPh>
    <rPh sb="3" eb="4">
      <t>ツキ</t>
    </rPh>
    <rPh sb="4" eb="5">
      <t>ニチ</t>
    </rPh>
    <phoneticPr fontId="1"/>
  </si>
  <si>
    <t>日</t>
    <rPh sb="0" eb="1">
      <t>ニチ</t>
    </rPh>
    <phoneticPr fontId="1"/>
  </si>
  <si>
    <t>見直し内容</t>
    <rPh sb="0" eb="2">
      <t>ミナオ</t>
    </rPh>
    <rPh sb="3" eb="5">
      <t>ナイヨウ</t>
    </rPh>
    <phoneticPr fontId="1"/>
  </si>
  <si>
    <t>定員見直し</t>
    <rPh sb="0" eb="4">
      <t>テイインミナオ</t>
    </rPh>
    <phoneticPr fontId="1"/>
  </si>
  <si>
    <t>協議先</t>
    <rPh sb="0" eb="3">
      <t>キョウギサキ</t>
    </rPh>
    <phoneticPr fontId="1"/>
  </si>
  <si>
    <t>①　別紙6－1（減算解除開始月の加算調整項目申請書提出時に提出すること）</t>
    <rPh sb="2" eb="4">
      <t>ベッシ</t>
    </rPh>
    <rPh sb="8" eb="15">
      <t>ゲンサンカイジョカイシツキ</t>
    </rPh>
    <rPh sb="16" eb="22">
      <t>カサンチョウセイコウモク</t>
    </rPh>
    <rPh sb="22" eb="25">
      <t>シンセイショ</t>
    </rPh>
    <rPh sb="25" eb="28">
      <t>テイシュツジ</t>
    </rPh>
    <rPh sb="29" eb="31">
      <t>テイシュツ</t>
    </rPh>
    <phoneticPr fontId="1"/>
  </si>
  <si>
    <t>②　別紙6－2（3月の加算調整項目申請書提出時に提出すること）</t>
    <rPh sb="9" eb="10">
      <t>ガツ</t>
    </rPh>
    <rPh sb="11" eb="20">
      <t>カサンチョウセイコウモクシンセイショ</t>
    </rPh>
    <rPh sb="20" eb="23">
      <t>テイシュツジ</t>
    </rPh>
    <rPh sb="24" eb="26">
      <t>テイシュツ</t>
    </rPh>
    <phoneticPr fontId="1"/>
  </si>
  <si>
    <t>※　利用定員は必要に応じて上書きすること(青色セル)。</t>
    <phoneticPr fontId="1"/>
  </si>
  <si>
    <t>定員超過①</t>
    <rPh sb="0" eb="2">
      <t>テイイン</t>
    </rPh>
    <rPh sb="2" eb="4">
      <t>チョウカ</t>
    </rPh>
    <phoneticPr fontId="1"/>
  </si>
  <si>
    <t>定員超過②</t>
    <rPh sb="0" eb="4">
      <t>テイインチョウカ</t>
    </rPh>
    <phoneticPr fontId="1"/>
  </si>
  <si>
    <t>受入人数見直し</t>
    <rPh sb="0" eb="2">
      <t>ウケイ</t>
    </rPh>
    <rPh sb="2" eb="4">
      <t>ニンズウ</t>
    </rPh>
    <rPh sb="4" eb="6">
      <t>ミナオ</t>
    </rPh>
    <phoneticPr fontId="1"/>
  </si>
  <si>
    <t>下限時間②→</t>
    <rPh sb="0" eb="2">
      <t>カゲン</t>
    </rPh>
    <rPh sb="2" eb="4">
      <t>ジカン</t>
    </rPh>
    <phoneticPr fontId="1"/>
  </si>
  <si>
    <t>下限時間①→</t>
    <rPh sb="0" eb="2">
      <t>カゲン</t>
    </rPh>
    <rPh sb="2" eb="4">
      <t>ジカン</t>
    </rPh>
    <phoneticPr fontId="1"/>
  </si>
  <si>
    <t>-</t>
    <phoneticPr fontId="1"/>
  </si>
  <si>
    <t>-</t>
    <phoneticPr fontId="1"/>
  </si>
  <si>
    <t>常勤調理員</t>
    <rPh sb="0" eb="5">
      <t>ジョウキンチョウリイン</t>
    </rPh>
    <phoneticPr fontId="1"/>
  </si>
  <si>
    <t>-</t>
    <phoneticPr fontId="1"/>
  </si>
  <si>
    <t>-</t>
    <phoneticPr fontId="1"/>
  </si>
  <si>
    <t>常勤保育士</t>
    <rPh sb="0" eb="5">
      <t>ジョウキンホイクシ</t>
    </rPh>
    <phoneticPr fontId="1"/>
  </si>
  <si>
    <t>カトリック聖園てんしのおうち</t>
    <rPh sb="5" eb="6">
      <t>セイ</t>
    </rPh>
    <rPh sb="6" eb="7">
      <t>エン</t>
    </rPh>
    <phoneticPr fontId="1"/>
  </si>
  <si>
    <t>ひまわり保育園</t>
    <rPh sb="4" eb="7">
      <t>ホイクエン</t>
    </rPh>
    <phoneticPr fontId="4"/>
  </si>
  <si>
    <t>おーるまいてぃ中央保育室</t>
    <rPh sb="7" eb="9">
      <t>チュウオウ</t>
    </rPh>
    <phoneticPr fontId="4"/>
  </si>
  <si>
    <t>Ｓ．Ｔ．ナーサリーＳＣＨＯＯＬ山鼻南</t>
    <rPh sb="15" eb="17">
      <t>ヤマハナ</t>
    </rPh>
    <rPh sb="17" eb="18">
      <t>ミナミ</t>
    </rPh>
    <phoneticPr fontId="1"/>
  </si>
  <si>
    <t>保育園キッズランド札幌こうさい園</t>
    <rPh sb="0" eb="3">
      <t>ホイクエン</t>
    </rPh>
    <rPh sb="9" eb="11">
      <t>サッポロ</t>
    </rPh>
    <rPh sb="15" eb="16">
      <t>エン</t>
    </rPh>
    <phoneticPr fontId="1"/>
  </si>
  <si>
    <t>第２ひまわり保育園</t>
    <rPh sb="0" eb="1">
      <t>ダイ</t>
    </rPh>
    <rPh sb="6" eb="9">
      <t>ホイクエン</t>
    </rPh>
    <phoneticPr fontId="1"/>
  </si>
  <si>
    <t>保育園こころん</t>
  </si>
  <si>
    <t>小規模保育所夢ふうせん</t>
    <rPh sb="0" eb="3">
      <t>ショウキボ</t>
    </rPh>
    <rPh sb="3" eb="5">
      <t>ホイク</t>
    </rPh>
    <rPh sb="5" eb="6">
      <t>ショ</t>
    </rPh>
    <rPh sb="6" eb="7">
      <t>ユメ</t>
    </rPh>
    <phoneticPr fontId="1"/>
  </si>
  <si>
    <t>スター保育園南２条園</t>
    <rPh sb="3" eb="6">
      <t>ホイクエン</t>
    </rPh>
    <rPh sb="6" eb="7">
      <t>ミナミ</t>
    </rPh>
    <rPh sb="8" eb="9">
      <t>ジョウ</t>
    </rPh>
    <rPh sb="9" eb="10">
      <t>エン</t>
    </rPh>
    <phoneticPr fontId="1"/>
  </si>
  <si>
    <t>スター保育園西屯田通園</t>
    <rPh sb="3" eb="6">
      <t>ホイクエン</t>
    </rPh>
    <rPh sb="6" eb="7">
      <t>ニシ</t>
    </rPh>
    <rPh sb="7" eb="9">
      <t>トンデン</t>
    </rPh>
    <rPh sb="9" eb="11">
      <t>ツウエン</t>
    </rPh>
    <phoneticPr fontId="1"/>
  </si>
  <si>
    <t>新琴似にじのいろ保育園</t>
    <rPh sb="0" eb="3">
      <t>シンコトニ</t>
    </rPh>
    <rPh sb="8" eb="11">
      <t>ホイクエン</t>
    </rPh>
    <phoneticPr fontId="1"/>
  </si>
  <si>
    <t>麻生アンジェロ保育園</t>
    <rPh sb="0" eb="2">
      <t>アサブ</t>
    </rPh>
    <rPh sb="7" eb="10">
      <t>ホイクエン</t>
    </rPh>
    <phoneticPr fontId="1"/>
  </si>
  <si>
    <t>きずな新琴似保育園</t>
    <rPh sb="3" eb="6">
      <t>シンコトニ</t>
    </rPh>
    <rPh sb="6" eb="9">
      <t>ホイクエン</t>
    </rPh>
    <phoneticPr fontId="1"/>
  </si>
  <si>
    <t>アートチャイルドケア札幌あいの里保育園</t>
    <rPh sb="10" eb="12">
      <t>サッポロ</t>
    </rPh>
    <rPh sb="15" eb="16">
      <t>サト</t>
    </rPh>
    <rPh sb="16" eb="19">
      <t>ホイクエン</t>
    </rPh>
    <phoneticPr fontId="1"/>
  </si>
  <si>
    <t>木育こどもの家新川園</t>
    <rPh sb="0" eb="1">
      <t>モク</t>
    </rPh>
    <rPh sb="1" eb="2">
      <t>イク</t>
    </rPh>
    <rPh sb="6" eb="7">
      <t>イエ</t>
    </rPh>
    <rPh sb="7" eb="9">
      <t>シンカワ</t>
    </rPh>
    <rPh sb="9" eb="10">
      <t>エン</t>
    </rPh>
    <phoneticPr fontId="1"/>
  </si>
  <si>
    <t>あうら乳児保育園</t>
    <rPh sb="3" eb="5">
      <t>ニュウジ</t>
    </rPh>
    <rPh sb="5" eb="8">
      <t>ホイクエン</t>
    </rPh>
    <phoneticPr fontId="1"/>
  </si>
  <si>
    <t>すこやか保育園北海道</t>
    <rPh sb="4" eb="7">
      <t>ホイクエン</t>
    </rPh>
    <rPh sb="7" eb="10">
      <t>ホッカイドウ</t>
    </rPh>
    <phoneticPr fontId="1"/>
  </si>
  <si>
    <t>おりーぶべりー保育園</t>
    <rPh sb="7" eb="10">
      <t>ホイクエン</t>
    </rPh>
    <phoneticPr fontId="1"/>
  </si>
  <si>
    <t>びくとりー保育園</t>
    <rPh sb="5" eb="8">
      <t>ホイクエン</t>
    </rPh>
    <phoneticPr fontId="1"/>
  </si>
  <si>
    <t>栄町みつばち保育園</t>
    <rPh sb="0" eb="2">
      <t>サカエマチ</t>
    </rPh>
    <rPh sb="6" eb="9">
      <t>ホイクエン</t>
    </rPh>
    <phoneticPr fontId="1"/>
  </si>
  <si>
    <t>あうら元町乳児保育園</t>
    <rPh sb="3" eb="5">
      <t>モトマチ</t>
    </rPh>
    <rPh sb="5" eb="7">
      <t>ニュウジ</t>
    </rPh>
    <rPh sb="7" eb="10">
      <t>ホイクエン</t>
    </rPh>
    <phoneticPr fontId="1"/>
  </si>
  <si>
    <t>苗穂みらいのたね</t>
    <rPh sb="0" eb="2">
      <t>ナエボ</t>
    </rPh>
    <phoneticPr fontId="1"/>
  </si>
  <si>
    <t>こくあの彩保育園</t>
    <rPh sb="4" eb="5">
      <t>アヤ</t>
    </rPh>
    <rPh sb="5" eb="8">
      <t>ホイクエン</t>
    </rPh>
    <phoneticPr fontId="1"/>
  </si>
  <si>
    <t>あんあん乳児保育園環状通東ルーム</t>
    <rPh sb="4" eb="6">
      <t>ニュウジ</t>
    </rPh>
    <rPh sb="6" eb="9">
      <t>ホイクエン</t>
    </rPh>
    <rPh sb="9" eb="11">
      <t>カンジョウ</t>
    </rPh>
    <rPh sb="11" eb="12">
      <t>ドオ</t>
    </rPh>
    <rPh sb="12" eb="13">
      <t>ヒガシ</t>
    </rPh>
    <phoneticPr fontId="1"/>
  </si>
  <si>
    <t>北７条はな保育園</t>
    <rPh sb="0" eb="1">
      <t>キタ</t>
    </rPh>
    <rPh sb="2" eb="3">
      <t>ジョウ</t>
    </rPh>
    <rPh sb="5" eb="8">
      <t>ホイクエン</t>
    </rPh>
    <phoneticPr fontId="1"/>
  </si>
  <si>
    <t>大藤子ども園ほんごう館</t>
    <rPh sb="10" eb="11">
      <t>カン</t>
    </rPh>
    <phoneticPr fontId="1"/>
  </si>
  <si>
    <t>白石よつば保育園</t>
    <rPh sb="0" eb="2">
      <t>シロイシ</t>
    </rPh>
    <rPh sb="5" eb="8">
      <t>ホイクエン</t>
    </rPh>
    <phoneticPr fontId="1"/>
  </si>
  <si>
    <t>もりのなかま保育園菊水元町園</t>
    <rPh sb="9" eb="11">
      <t>キクスイ</t>
    </rPh>
    <rPh sb="11" eb="13">
      <t>モトマチ</t>
    </rPh>
    <rPh sb="13" eb="14">
      <t>エン</t>
    </rPh>
    <phoneticPr fontId="1"/>
  </si>
  <si>
    <t>ちゅうわ南郷保育園</t>
    <rPh sb="4" eb="6">
      <t>ナンゴウ</t>
    </rPh>
    <rPh sb="6" eb="8">
      <t>ホイク</t>
    </rPh>
    <rPh sb="8" eb="9">
      <t>エン</t>
    </rPh>
    <phoneticPr fontId="1"/>
  </si>
  <si>
    <t>木育こどもの家白石園</t>
    <rPh sb="0" eb="1">
      <t>モク</t>
    </rPh>
    <rPh sb="1" eb="2">
      <t>イク</t>
    </rPh>
    <rPh sb="6" eb="7">
      <t>イエ</t>
    </rPh>
    <rPh sb="7" eb="9">
      <t>シロイシ</t>
    </rPh>
    <rPh sb="9" eb="10">
      <t>エン</t>
    </rPh>
    <phoneticPr fontId="1"/>
  </si>
  <si>
    <t>サクラ保育園厚別西</t>
    <rPh sb="3" eb="6">
      <t>ホイクエン</t>
    </rPh>
    <rPh sb="6" eb="8">
      <t>アツベツ</t>
    </rPh>
    <rPh sb="8" eb="9">
      <t>ニシ</t>
    </rPh>
    <phoneticPr fontId="1"/>
  </si>
  <si>
    <t>はぐくみ園厚別</t>
  </si>
  <si>
    <t>みんなのナーサリー</t>
  </si>
  <si>
    <t>サクラ保育園上野幌</t>
  </si>
  <si>
    <t>ひばりが丘あんさんぶる保育園</t>
  </si>
  <si>
    <t>厚別西クレヨン保育園</t>
    <rPh sb="2" eb="3">
      <t>ニシ</t>
    </rPh>
    <phoneticPr fontId="1"/>
  </si>
  <si>
    <t>札幌じけい保育園</t>
    <rPh sb="0" eb="2">
      <t>サッポロ</t>
    </rPh>
    <rPh sb="5" eb="8">
      <t>ホイクエン</t>
    </rPh>
    <phoneticPr fontId="1"/>
  </si>
  <si>
    <t>えとわーる保育園</t>
    <rPh sb="5" eb="8">
      <t>ホイクエン</t>
    </rPh>
    <phoneticPr fontId="3"/>
  </si>
  <si>
    <t>レーベン美園保育園</t>
    <rPh sb="4" eb="6">
      <t>ミソノ</t>
    </rPh>
    <rPh sb="6" eb="9">
      <t>ホイクエン</t>
    </rPh>
    <phoneticPr fontId="1"/>
  </si>
  <si>
    <t>あんあん保育園福住ルーム</t>
    <rPh sb="7" eb="9">
      <t>フクズミ</t>
    </rPh>
    <phoneticPr fontId="1"/>
  </si>
  <si>
    <t>はるにれ保育園</t>
    <rPh sb="4" eb="7">
      <t>ホイクエン</t>
    </rPh>
    <phoneticPr fontId="1"/>
  </si>
  <si>
    <t>さくらいろ保育園</t>
    <rPh sb="5" eb="8">
      <t>ホイクエン</t>
    </rPh>
    <phoneticPr fontId="1"/>
  </si>
  <si>
    <t>豊園よつば保育園</t>
    <rPh sb="0" eb="1">
      <t>トヨ</t>
    </rPh>
    <rPh sb="1" eb="2">
      <t>ソノ</t>
    </rPh>
    <rPh sb="5" eb="8">
      <t>ホイクエン</t>
    </rPh>
    <phoneticPr fontId="1"/>
  </si>
  <si>
    <t>西岡くりの木保育園</t>
    <rPh sb="0" eb="2">
      <t>ニシオカ</t>
    </rPh>
    <rPh sb="5" eb="6">
      <t>キ</t>
    </rPh>
    <rPh sb="6" eb="9">
      <t>ホイクエン</t>
    </rPh>
    <phoneticPr fontId="1"/>
  </si>
  <si>
    <t>よつば保育園</t>
    <rPh sb="3" eb="6">
      <t>ホイクエン</t>
    </rPh>
    <phoneticPr fontId="1"/>
  </si>
  <si>
    <t>くるみ乳児保育園</t>
    <rPh sb="3" eb="5">
      <t>ニュウジ</t>
    </rPh>
    <rPh sb="5" eb="8">
      <t>ホイクエン</t>
    </rPh>
    <phoneticPr fontId="1"/>
  </si>
  <si>
    <t>まんまる保育園</t>
    <rPh sb="4" eb="7">
      <t>ホイクエン</t>
    </rPh>
    <phoneticPr fontId="1"/>
  </si>
  <si>
    <t>小規模保育園mirea</t>
    <rPh sb="0" eb="3">
      <t>ショウキボ</t>
    </rPh>
    <rPh sb="3" eb="5">
      <t>ホイク</t>
    </rPh>
    <rPh sb="5" eb="6">
      <t>エン</t>
    </rPh>
    <phoneticPr fontId="1"/>
  </si>
  <si>
    <t>ひろのぶ乳児保育園</t>
    <rPh sb="4" eb="6">
      <t>ニュウジ</t>
    </rPh>
    <rPh sb="6" eb="9">
      <t>ホイクエン</t>
    </rPh>
    <phoneticPr fontId="1"/>
  </si>
  <si>
    <t>ふじのバンビーニ保育園</t>
    <rPh sb="8" eb="11">
      <t>ホイクエン</t>
    </rPh>
    <phoneticPr fontId="1"/>
  </si>
  <si>
    <t>りとるkid'sクラブ自衛隊前ルーム</t>
    <rPh sb="11" eb="14">
      <t>ジエイタイ</t>
    </rPh>
    <rPh sb="14" eb="15">
      <t>マエ</t>
    </rPh>
    <phoneticPr fontId="1"/>
  </si>
  <si>
    <t>ふれ愛澄川南保育園</t>
    <rPh sb="2" eb="3">
      <t>アイ</t>
    </rPh>
    <rPh sb="3" eb="5">
      <t>スミカワ</t>
    </rPh>
    <rPh sb="5" eb="6">
      <t>ミナミ</t>
    </rPh>
    <rPh sb="6" eb="9">
      <t>ホイクエン</t>
    </rPh>
    <phoneticPr fontId="1"/>
  </si>
  <si>
    <t>木育こどもの家藤野園</t>
    <rPh sb="0" eb="1">
      <t>モク</t>
    </rPh>
    <rPh sb="1" eb="2">
      <t>イク</t>
    </rPh>
    <rPh sb="6" eb="7">
      <t>イエ</t>
    </rPh>
    <rPh sb="7" eb="9">
      <t>フジノ</t>
    </rPh>
    <rPh sb="9" eb="10">
      <t>エン</t>
    </rPh>
    <phoneticPr fontId="1"/>
  </si>
  <si>
    <t>澄川いちご保育園</t>
    <rPh sb="5" eb="8">
      <t>ホイクエン</t>
    </rPh>
    <phoneticPr fontId="1"/>
  </si>
  <si>
    <t>Ｓ．Ｔ．ナーサリーＳＣＨＯＯＬ藤野</t>
  </si>
  <si>
    <t>西町にじのいろ保育園</t>
    <rPh sb="0" eb="1">
      <t>ニシ</t>
    </rPh>
    <rPh sb="1" eb="2">
      <t>マチ</t>
    </rPh>
    <phoneticPr fontId="1"/>
  </si>
  <si>
    <t>宮の沢みらいのたね</t>
    <rPh sb="0" eb="1">
      <t>ミヤ</t>
    </rPh>
    <rPh sb="2" eb="3">
      <t>サワ</t>
    </rPh>
    <phoneticPr fontId="4"/>
  </si>
  <si>
    <t>発寒にじのいろ保育園</t>
    <rPh sb="0" eb="2">
      <t>ハッサム</t>
    </rPh>
    <rPh sb="7" eb="10">
      <t>ホイクエン</t>
    </rPh>
    <phoneticPr fontId="4"/>
  </si>
  <si>
    <t>Ｓ．Ｔ．ナーサリーＳＣＨＯＯＬ八軒</t>
    <rPh sb="15" eb="17">
      <t>ハチケン</t>
    </rPh>
    <phoneticPr fontId="1"/>
  </si>
  <si>
    <t>さら～れ保育園前田園</t>
    <rPh sb="4" eb="7">
      <t>ホイクエン</t>
    </rPh>
    <rPh sb="7" eb="9">
      <t>マエダ</t>
    </rPh>
    <rPh sb="9" eb="10">
      <t>エン</t>
    </rPh>
    <phoneticPr fontId="1"/>
  </si>
  <si>
    <t>キラキラ乳児保育園</t>
    <rPh sb="4" eb="6">
      <t>ニュウジ</t>
    </rPh>
    <rPh sb="6" eb="9">
      <t>ホイクエン</t>
    </rPh>
    <phoneticPr fontId="1"/>
  </si>
  <si>
    <t>Ｓ．Ｔ．ナーサリーＳＣＨＯＯＬ手稲前田</t>
    <rPh sb="15" eb="17">
      <t>テイネ</t>
    </rPh>
    <rPh sb="17" eb="19">
      <t>マエダ</t>
    </rPh>
    <phoneticPr fontId="1"/>
  </si>
  <si>
    <t>ＨｅａｒｔＫｉｄｓ保育園ハートセンター</t>
    <rPh sb="9" eb="12">
      <t>ホイクエン</t>
    </rPh>
    <phoneticPr fontId="1"/>
  </si>
  <si>
    <t>札幌ドリーム保育園</t>
    <rPh sb="0" eb="2">
      <t>サッポロ</t>
    </rPh>
    <rPh sb="6" eb="9">
      <t>ホイクエン</t>
    </rPh>
    <phoneticPr fontId="1"/>
  </si>
  <si>
    <t>真駒内駐屯地庁内託児所</t>
    <rPh sb="0" eb="3">
      <t>マコマナイ</t>
    </rPh>
    <rPh sb="3" eb="6">
      <t>チュウトンチ</t>
    </rPh>
    <rPh sb="6" eb="8">
      <t>チョウナイ</t>
    </rPh>
    <rPh sb="8" eb="11">
      <t>タクジショ</t>
    </rPh>
    <phoneticPr fontId="1"/>
  </si>
  <si>
    <t>発寒コグマ保育園</t>
    <rPh sb="0" eb="2">
      <t>ハッサム</t>
    </rPh>
    <rPh sb="5" eb="8">
      <t>ホイクエン</t>
    </rPh>
    <phoneticPr fontId="1"/>
  </si>
  <si>
    <t>レーベンそらまめ琴似保育園</t>
    <rPh sb="8" eb="13">
      <t>コトニホイクエン</t>
    </rPh>
    <phoneticPr fontId="1"/>
  </si>
  <si>
    <t>(0)　（前月分を作成済みの場合）ファイルをコピーして別名で保存</t>
    <rPh sb="5" eb="6">
      <t>ゼン</t>
    </rPh>
    <rPh sb="6" eb="7">
      <t>ツキ</t>
    </rPh>
    <rPh sb="7" eb="8">
      <t>ブン</t>
    </rPh>
    <rPh sb="9" eb="11">
      <t>サクセイ</t>
    </rPh>
    <rPh sb="11" eb="12">
      <t>ズ</t>
    </rPh>
    <rPh sb="14" eb="16">
      <t>バアイ</t>
    </rPh>
    <rPh sb="27" eb="29">
      <t>ベツメイ</t>
    </rPh>
    <rPh sb="30" eb="32">
      <t>ホゾン</t>
    </rPh>
    <phoneticPr fontId="1"/>
  </si>
  <si>
    <t>(3)　別紙1～7：必要に応じて入力</t>
    <rPh sb="4" eb="6">
      <t>ベッシ</t>
    </rPh>
    <rPh sb="10" eb="12">
      <t>ヒツヨウ</t>
    </rPh>
    <rPh sb="13" eb="14">
      <t>オウ</t>
    </rPh>
    <rPh sb="16" eb="18">
      <t>ニュウリョク</t>
    </rPh>
    <phoneticPr fontId="1"/>
  </si>
  <si>
    <t>(7)　様式5：初日児童数、基本配置・加算・補助金対象職員選択</t>
    <rPh sb="4" eb="6">
      <t>ヨウシキ</t>
    </rPh>
    <rPh sb="8" eb="10">
      <t>ショニチ</t>
    </rPh>
    <rPh sb="10" eb="12">
      <t>ジドウ</t>
    </rPh>
    <rPh sb="12" eb="13">
      <t>スウ</t>
    </rPh>
    <rPh sb="14" eb="16">
      <t>キホン</t>
    </rPh>
    <rPh sb="16" eb="18">
      <t>ハイチ</t>
    </rPh>
    <rPh sb="19" eb="21">
      <t>カサン</t>
    </rPh>
    <rPh sb="22" eb="25">
      <t>ホジョキン</t>
    </rPh>
    <rPh sb="25" eb="27">
      <t>タイショウ</t>
    </rPh>
    <rPh sb="27" eb="29">
      <t>ショクイン</t>
    </rPh>
    <rPh sb="29" eb="31">
      <t>センタク</t>
    </rPh>
    <phoneticPr fontId="1"/>
  </si>
  <si>
    <t>(8)　様式1：様式2～5入力後に選択できる箇所が一部あるため再度確認(チーム保育加配等)</t>
    <rPh sb="4" eb="6">
      <t>ヨウシキ</t>
    </rPh>
    <rPh sb="8" eb="10">
      <t>ヨウシキ</t>
    </rPh>
    <rPh sb="13" eb="15">
      <t>ニュウリョク</t>
    </rPh>
    <rPh sb="15" eb="16">
      <t>ゴ</t>
    </rPh>
    <rPh sb="17" eb="19">
      <t>センタク</t>
    </rPh>
    <rPh sb="22" eb="24">
      <t>カショ</t>
    </rPh>
    <rPh sb="25" eb="27">
      <t>イチブ</t>
    </rPh>
    <rPh sb="31" eb="33">
      <t>サイド</t>
    </rPh>
    <rPh sb="33" eb="35">
      <t>カクニン</t>
    </rPh>
    <rPh sb="39" eb="41">
      <t>ホイク</t>
    </rPh>
    <rPh sb="41" eb="43">
      <t>カハイ</t>
    </rPh>
    <rPh sb="43" eb="44">
      <t>トウ</t>
    </rPh>
    <phoneticPr fontId="1"/>
  </si>
  <si>
    <t xml:space="preserve">③　以下いずれかの取り組みがわかる書類
・献立への助言（文責が栄養士であるとわかるもの。作成した献立の月から年度を通じて加算適用）
・アレルギー、アトピーへの助言（栄養士が行った面談記録票。面談を実施した月から年度を通じて加算適用。）
・食育計画書に基づいた継続的な指導（文責が栄養士である食育計画書。年度を通して作成された計画書がある場合は、年度を通じて加算を適用。）
・食育だよりは不可。
</t>
    <phoneticPr fontId="1"/>
  </si>
  <si>
    <t>１　管理者の経歴</t>
    <rPh sb="2" eb="5">
      <t>カンリシャ</t>
    </rPh>
    <rPh sb="6" eb="8">
      <t>ケイレキ</t>
    </rPh>
    <phoneticPr fontId="1"/>
  </si>
  <si>
    <t>※　施設長が時短勤務の場合以下の要件を全て満たしている</t>
    <rPh sb="2" eb="5">
      <t>シセツチョウ</t>
    </rPh>
    <rPh sb="6" eb="10">
      <t>ジタンキンム</t>
    </rPh>
    <rPh sb="11" eb="13">
      <t>バアイ</t>
    </rPh>
    <rPh sb="13" eb="15">
      <t>イカ</t>
    </rPh>
    <rPh sb="16" eb="18">
      <t>ヨウケン</t>
    </rPh>
    <rPh sb="19" eb="20">
      <t>スベ</t>
    </rPh>
    <rPh sb="21" eb="22">
      <t>ミ</t>
    </rPh>
    <phoneticPr fontId="1"/>
  </si>
  <si>
    <t>子ども未来局に事前に相談・届け出ている</t>
    <rPh sb="0" eb="1">
      <t>コ</t>
    </rPh>
    <rPh sb="3" eb="6">
      <t>ミライキョク</t>
    </rPh>
    <rPh sb="7" eb="9">
      <t>ジゼン</t>
    </rPh>
    <rPh sb="10" eb="12">
      <t>ソウダン</t>
    </rPh>
    <rPh sb="13" eb="14">
      <t>トド</t>
    </rPh>
    <rPh sb="15" eb="16">
      <t>デ</t>
    </rPh>
    <phoneticPr fontId="1"/>
  </si>
  <si>
    <t>時短勤務のやむを得ない事情がある（産休明け等）</t>
    <rPh sb="0" eb="4">
      <t>ジタンキンム</t>
    </rPh>
    <rPh sb="8" eb="9">
      <t>エ</t>
    </rPh>
    <rPh sb="11" eb="13">
      <t>ジジョウ</t>
    </rPh>
    <rPh sb="17" eb="20">
      <t>サンキュウア</t>
    </rPh>
    <rPh sb="21" eb="22">
      <t>トウ</t>
    </rPh>
    <phoneticPr fontId="1"/>
  </si>
  <si>
    <t>就業規則上時短勤務を定めており、常勤と同等の給与を支給している</t>
    <rPh sb="0" eb="5">
      <t>シュウギョウキソクジョウ</t>
    </rPh>
    <rPh sb="5" eb="9">
      <t>ジタンキンム</t>
    </rPh>
    <rPh sb="10" eb="11">
      <t>サダ</t>
    </rPh>
    <rPh sb="16" eb="18">
      <t>ジョウキン</t>
    </rPh>
    <rPh sb="19" eb="21">
      <t>ドウトウ</t>
    </rPh>
    <rPh sb="22" eb="24">
      <t>キュウヨ</t>
    </rPh>
    <rPh sb="25" eb="27">
      <t>シキュウ</t>
    </rPh>
    <phoneticPr fontId="1"/>
  </si>
  <si>
    <t>別紙６‐１（「減算：定員を恒常的に超過する場合」の添付書類）</t>
    <rPh sb="0" eb="2">
      <t>ベッシ</t>
    </rPh>
    <rPh sb="7" eb="9">
      <t>ゲンサン</t>
    </rPh>
    <rPh sb="10" eb="12">
      <t>テイイン</t>
    </rPh>
    <rPh sb="13" eb="16">
      <t>コウジョウテキ</t>
    </rPh>
    <rPh sb="17" eb="19">
      <t>チョウカ</t>
    </rPh>
    <rPh sb="21" eb="23">
      <t>バアイ</t>
    </rPh>
    <rPh sb="25" eb="27">
      <t>テンプ</t>
    </rPh>
    <rPh sb="27" eb="29">
      <t>ショルイ</t>
    </rPh>
    <phoneticPr fontId="1"/>
  </si>
  <si>
    <t>２　見直した区分</t>
    <phoneticPr fontId="1"/>
  </si>
  <si>
    <t>　また、年間平均在所率が120%以上となった場合は、減算適用に従います。</t>
    <rPh sb="16" eb="18">
      <t>イジョウ</t>
    </rPh>
    <phoneticPr fontId="1"/>
  </si>
  <si>
    <t>申出内容：</t>
    <rPh sb="0" eb="1">
      <t>モウ</t>
    </rPh>
    <rPh sb="1" eb="2">
      <t>デ</t>
    </rPh>
    <rPh sb="2" eb="4">
      <t>ナイヨウ</t>
    </rPh>
    <phoneticPr fontId="1"/>
  </si>
  <si>
    <t>年度</t>
    <rPh sb="0" eb="2">
      <t>ネンド</t>
    </rPh>
    <phoneticPr fontId="1"/>
  </si>
  <si>
    <t>　・　看護師・保健師を１名に限り保育士としてカウントします。</t>
    <rPh sb="3" eb="6">
      <t>カンゴシ</t>
    </rPh>
    <rPh sb="7" eb="10">
      <t>ホケンシ</t>
    </rPh>
    <rPh sb="12" eb="13">
      <t>メイ</t>
    </rPh>
    <rPh sb="14" eb="15">
      <t>カギ</t>
    </rPh>
    <rPh sb="16" eb="19">
      <t>ホイクシ</t>
    </rPh>
    <phoneticPr fontId="1"/>
  </si>
  <si>
    <t>換算表</t>
    <rPh sb="0" eb="2">
      <t>カンサン</t>
    </rPh>
    <rPh sb="2" eb="3">
      <t>ヒョウ</t>
    </rPh>
    <phoneticPr fontId="3"/>
  </si>
  <si>
    <t>配置者/条件</t>
    <rPh sb="0" eb="3">
      <t>ハイチシャ</t>
    </rPh>
    <rPh sb="4" eb="6">
      <t>ジョウケン</t>
    </rPh>
    <phoneticPr fontId="1"/>
  </si>
  <si>
    <t>担当（通常給与で対応している分のみを計上し、超過勤務対応した分は除く）</t>
    <rPh sb="14" eb="15">
      <t>ブン</t>
    </rPh>
    <rPh sb="30" eb="31">
      <t>ブン</t>
    </rPh>
    <phoneticPr fontId="1"/>
  </si>
  <si>
    <t>勤務時間【時間】</t>
    <rPh sb="0" eb="4">
      <t>キンムジカン</t>
    </rPh>
    <rPh sb="5" eb="7">
      <t>ジカン</t>
    </rPh>
    <phoneticPr fontId="1"/>
  </si>
  <si>
    <t>確認</t>
    <rPh sb="0" eb="2">
      <t>カクニン</t>
    </rPh>
    <phoneticPr fontId="1"/>
  </si>
  <si>
    <t>担当時間【時間】</t>
    <rPh sb="0" eb="4">
      <t>タントウジカン</t>
    </rPh>
    <rPh sb="5" eb="7">
      <t>ジカン</t>
    </rPh>
    <phoneticPr fontId="1"/>
  </si>
  <si>
    <t>超過勤務で対応した分は別紙３に記載</t>
    <phoneticPr fontId="1"/>
  </si>
  <si>
    <t>通常給与で対応した分を記載</t>
    <phoneticPr fontId="1"/>
  </si>
  <si>
    <t>担当（各補助金で計上する人件費相当を計上。ただし、通常給与で対応している分のみを計上し、超過勤務対応した分は除く）</t>
    <rPh sb="36" eb="37">
      <t>ブン</t>
    </rPh>
    <rPh sb="52" eb="53">
      <t>ブン</t>
    </rPh>
    <phoneticPr fontId="1"/>
  </si>
  <si>
    <t>補助金名</t>
    <rPh sb="0" eb="3">
      <t>ホジョキン</t>
    </rPh>
    <rPh sb="3" eb="4">
      <t>メイ</t>
    </rPh>
    <phoneticPr fontId="1"/>
  </si>
  <si>
    <t>時間外保育促進事業費等補助金</t>
    <rPh sb="0" eb="3">
      <t>ジカンガイ</t>
    </rPh>
    <rPh sb="3" eb="5">
      <t>ホイク</t>
    </rPh>
    <rPh sb="5" eb="7">
      <t>ソクシン</t>
    </rPh>
    <rPh sb="7" eb="9">
      <t>ジギョウ</t>
    </rPh>
    <rPh sb="9" eb="10">
      <t>ヒ</t>
    </rPh>
    <rPh sb="10" eb="11">
      <t>トウ</t>
    </rPh>
    <rPh sb="11" eb="14">
      <t>ホジョキン</t>
    </rPh>
    <phoneticPr fontId="1"/>
  </si>
  <si>
    <t>調理員</t>
  </si>
  <si>
    <t>申出書の内容</t>
    <rPh sb="0" eb="3">
      <t>モウシデショ</t>
    </rPh>
    <rPh sb="4" eb="6">
      <t>ナイヨウ</t>
    </rPh>
    <phoneticPr fontId="1"/>
  </si>
  <si>
    <t>　以下のとおり年間平均在所率が基準を越えることが無いように保育を提供いたします。</t>
    <rPh sb="1" eb="3">
      <t>イカ</t>
    </rPh>
    <rPh sb="7" eb="9">
      <t>ネンカン</t>
    </rPh>
    <rPh sb="9" eb="11">
      <t>ヘイキン</t>
    </rPh>
    <rPh sb="11" eb="13">
      <t>ザイショリ</t>
    </rPh>
    <rPh sb="13" eb="14">
      <t>リツ</t>
    </rPh>
    <rPh sb="15" eb="17">
      <t>キジュン</t>
    </rPh>
    <rPh sb="18" eb="19">
      <t>コ</t>
    </rPh>
    <rPh sb="24" eb="25">
      <t>ナ</t>
    </rPh>
    <rPh sb="29" eb="31">
      <t>ホイク</t>
    </rPh>
    <rPh sb="32" eb="34">
      <t>テイキョウ</t>
    </rPh>
    <phoneticPr fontId="1"/>
  </si>
  <si>
    <t>別紙３（「加算：休日保育加算」の添付書類）</t>
    <rPh sb="0" eb="2">
      <t>ベッシ</t>
    </rPh>
    <rPh sb="5" eb="7">
      <t>カサン</t>
    </rPh>
    <rPh sb="8" eb="10">
      <t>キュウジツ</t>
    </rPh>
    <rPh sb="10" eb="12">
      <t>ホイク</t>
    </rPh>
    <rPh sb="12" eb="14">
      <t>カサン</t>
    </rPh>
    <rPh sb="16" eb="18">
      <t>テンプ</t>
    </rPh>
    <rPh sb="18" eb="20">
      <t>ショルイ</t>
    </rPh>
    <phoneticPr fontId="1"/>
  </si>
  <si>
    <t>別紙２（「減算：土曜日に閉所する場合」の添付書類）</t>
    <rPh sb="0" eb="2">
      <t>ベッシ</t>
    </rPh>
    <rPh sb="5" eb="7">
      <t>ゲンサン</t>
    </rPh>
    <rPh sb="8" eb="11">
      <t>ドヨウビ</t>
    </rPh>
    <rPh sb="12" eb="14">
      <t>ヘイショ</t>
    </rPh>
    <rPh sb="16" eb="18">
      <t>バアイ</t>
    </rPh>
    <rPh sb="20" eb="22">
      <t>テンプ</t>
    </rPh>
    <rPh sb="22" eb="24">
      <t>ショルイ</t>
    </rPh>
    <phoneticPr fontId="1"/>
  </si>
  <si>
    <t>３号利用定員の恒常的な超過の解消に関する申出書</t>
    <phoneticPr fontId="1"/>
  </si>
  <si>
    <t>３号利用定員の恒常的な超過の解消に関する実績報告書</t>
    <rPh sb="20" eb="25">
      <t>ジッセキホウコクショ</t>
    </rPh>
    <phoneticPr fontId="1"/>
  </si>
  <si>
    <t>札幌市子ども未来局支援制度担当部長　宛</t>
    <rPh sb="0" eb="3">
      <t>サッポロシ</t>
    </rPh>
    <rPh sb="3" eb="4">
      <t>コ</t>
    </rPh>
    <rPh sb="6" eb="9">
      <t>ミライキョク</t>
    </rPh>
    <rPh sb="9" eb="11">
      <t>シエン</t>
    </rPh>
    <rPh sb="11" eb="13">
      <t>セイド</t>
    </rPh>
    <rPh sb="13" eb="15">
      <t>タントウ</t>
    </rPh>
    <rPh sb="15" eb="17">
      <t>ブチョウ</t>
    </rPh>
    <rPh sb="18" eb="19">
      <t>アテ</t>
    </rPh>
    <phoneticPr fontId="1"/>
  </si>
  <si>
    <r>
      <t>担任名(</t>
    </r>
    <r>
      <rPr>
        <b/>
        <sz val="10"/>
        <color rgb="FFFF0000"/>
        <rFont val="ＭＳ Ｐゴシック"/>
        <family val="3"/>
        <charset val="128"/>
      </rPr>
      <t>常勤専任</t>
    </r>
    <r>
      <rPr>
        <b/>
        <sz val="10"/>
        <rFont val="ＭＳ Ｐゴシック"/>
        <family val="3"/>
        <charset val="128"/>
      </rPr>
      <t>)</t>
    </r>
    <rPh sb="0" eb="2">
      <t>タンニン</t>
    </rPh>
    <rPh sb="2" eb="3">
      <t>メイ</t>
    </rPh>
    <rPh sb="4" eb="6">
      <t>ジョウキン</t>
    </rPh>
    <rPh sb="6" eb="8">
      <t>センニン</t>
    </rPh>
    <phoneticPr fontId="3"/>
  </si>
  <si>
    <t>管理者等が兼務</t>
    <rPh sb="0" eb="3">
      <t>カンリシャ</t>
    </rPh>
    <rPh sb="3" eb="4">
      <t>トウ</t>
    </rPh>
    <rPh sb="5" eb="7">
      <t>ケンム</t>
    </rPh>
    <phoneticPr fontId="1"/>
  </si>
  <si>
    <t>変更</t>
    <rPh sb="0" eb="2">
      <t>ヘンコウ</t>
    </rPh>
    <phoneticPr fontId="1"/>
  </si>
  <si>
    <t>事務兼務</t>
    <rPh sb="0" eb="2">
      <t>ジム</t>
    </rPh>
    <rPh sb="2" eb="4">
      <t>ケンム</t>
    </rPh>
    <phoneticPr fontId="1"/>
  </si>
  <si>
    <t>連携施設を設定しない場合(減算）</t>
    <rPh sb="0" eb="2">
      <t>レンケイ</t>
    </rPh>
    <rPh sb="2" eb="4">
      <t>シセツ</t>
    </rPh>
    <rPh sb="5" eb="7">
      <t>セッテイ</t>
    </rPh>
    <rPh sb="10" eb="12">
      <t>バアイ</t>
    </rPh>
    <rPh sb="13" eb="15">
      <t>ゲンサン</t>
    </rPh>
    <phoneticPr fontId="1"/>
  </si>
  <si>
    <t>食事の提供について自園調理又は連携施設等からの搬入以外の方法による場合(減算）</t>
    <rPh sb="0" eb="2">
      <t>ショクジ</t>
    </rPh>
    <rPh sb="3" eb="5">
      <t>テイキョウ</t>
    </rPh>
    <rPh sb="9" eb="10">
      <t>ジ</t>
    </rPh>
    <rPh sb="10" eb="11">
      <t>エン</t>
    </rPh>
    <rPh sb="11" eb="13">
      <t>チョウリ</t>
    </rPh>
    <rPh sb="13" eb="14">
      <t>マタ</t>
    </rPh>
    <rPh sb="15" eb="17">
      <t>レンケイ</t>
    </rPh>
    <rPh sb="17" eb="19">
      <t>シセツ</t>
    </rPh>
    <rPh sb="19" eb="20">
      <t>トウ</t>
    </rPh>
    <rPh sb="23" eb="25">
      <t>ハンニュウ</t>
    </rPh>
    <rPh sb="25" eb="27">
      <t>イガイ</t>
    </rPh>
    <rPh sb="28" eb="30">
      <t>ホウホウ</t>
    </rPh>
    <rPh sb="33" eb="35">
      <t>バアイ</t>
    </rPh>
    <rPh sb="36" eb="38">
      <t>ゲンサン</t>
    </rPh>
    <phoneticPr fontId="1"/>
  </si>
  <si>
    <t>管理者を配置していない場合(減算）</t>
    <rPh sb="0" eb="3">
      <t>カンリシャ</t>
    </rPh>
    <rPh sb="4" eb="6">
      <t>ハイチ</t>
    </rPh>
    <rPh sb="11" eb="13">
      <t>バアイ</t>
    </rPh>
    <rPh sb="14" eb="16">
      <t>ゲンサン</t>
    </rPh>
    <phoneticPr fontId="1"/>
  </si>
  <si>
    <t>土曜日に閉所する場合（前月分実績は備考欄に記載）(減算）</t>
    <rPh sb="0" eb="3">
      <t>ドヨウビ</t>
    </rPh>
    <rPh sb="4" eb="6">
      <t>ヘイショ</t>
    </rPh>
    <rPh sb="8" eb="10">
      <t>バアイ</t>
    </rPh>
    <rPh sb="11" eb="13">
      <t>ゼンゲツ</t>
    </rPh>
    <rPh sb="13" eb="14">
      <t>ブン</t>
    </rPh>
    <rPh sb="14" eb="16">
      <t>ジッセキ</t>
    </rPh>
    <rPh sb="17" eb="20">
      <t>ビコウラン</t>
    </rPh>
    <rPh sb="21" eb="23">
      <t>キサイ</t>
    </rPh>
    <rPh sb="25" eb="27">
      <t>ゲンサン</t>
    </rPh>
    <phoneticPr fontId="1"/>
  </si>
  <si>
    <t>定員を恒常的に超過する場合(減算）</t>
    <rPh sb="0" eb="2">
      <t>テイイン</t>
    </rPh>
    <rPh sb="3" eb="6">
      <t>コウジョウテキ</t>
    </rPh>
    <rPh sb="7" eb="9">
      <t>チョウカ</t>
    </rPh>
    <rPh sb="11" eb="13">
      <t>バアイ</t>
    </rPh>
    <rPh sb="14" eb="16">
      <t>ゲンサン</t>
    </rPh>
    <phoneticPr fontId="1"/>
  </si>
  <si>
    <t>ひまわりｓｕｎ保育園</t>
    <rPh sb="7" eb="10">
      <t>ホイクエン</t>
    </rPh>
    <phoneticPr fontId="1"/>
  </si>
  <si>
    <t>すまいる保育園</t>
    <rPh sb="4" eb="7">
      <t>ホイクエン</t>
    </rPh>
    <phoneticPr fontId="1"/>
  </si>
  <si>
    <t>　 加算要件
(1～2の要件全てに該当し、かつ下記の利用児童数表を適切に記載した場合に加算)</t>
    <rPh sb="2" eb="4">
      <t>カサン</t>
    </rPh>
    <rPh sb="4" eb="6">
      <t>ヨウケン</t>
    </rPh>
    <rPh sb="24" eb="25">
      <t>シタ</t>
    </rPh>
    <rPh sb="25" eb="26">
      <t>キ</t>
    </rPh>
    <rPh sb="27" eb="29">
      <t>リヨウ</t>
    </rPh>
    <rPh sb="29" eb="31">
      <t>ジドウ</t>
    </rPh>
    <rPh sb="31" eb="32">
      <t>スウ</t>
    </rPh>
    <rPh sb="32" eb="33">
      <t>ヒョウ</t>
    </rPh>
    <rPh sb="34" eb="36">
      <t>テキセツ</t>
    </rPh>
    <rPh sb="37" eb="39">
      <t>キサイ</t>
    </rPh>
    <phoneticPr fontId="1"/>
  </si>
  <si>
    <t>対象子ども※2の年齢及び人数に応じて保育士を配置し、実施体制を整備している（別紙3）</t>
    <rPh sb="18" eb="21">
      <t>ホイクシ</t>
    </rPh>
    <rPh sb="22" eb="24">
      <t>ハイチ</t>
    </rPh>
    <rPh sb="26" eb="28">
      <t>ジッシ</t>
    </rPh>
    <phoneticPr fontId="1"/>
  </si>
  <si>
    <t>当年度延べ利用子ども数※3、4、5（見込）
（直接入力可能）</t>
    <rPh sb="0" eb="3">
      <t>トウネンド</t>
    </rPh>
    <rPh sb="3" eb="4">
      <t>ノ</t>
    </rPh>
    <rPh sb="18" eb="20">
      <t>ミコミ</t>
    </rPh>
    <rPh sb="23" eb="27">
      <t>チョクセツニュウリョク</t>
    </rPh>
    <rPh sb="27" eb="29">
      <t>カノウ</t>
    </rPh>
    <phoneticPr fontId="1"/>
  </si>
  <si>
    <t>前年度実績によらない場合は理由を記載※6</t>
    <rPh sb="3" eb="5">
      <t>ジッセキ</t>
    </rPh>
    <rPh sb="10" eb="12">
      <t>バアイ</t>
    </rPh>
    <rPh sb="13" eb="15">
      <t>リユウ</t>
    </rPh>
    <rPh sb="16" eb="18">
      <t>キサイ</t>
    </rPh>
    <phoneticPr fontId="1"/>
  </si>
  <si>
    <t>①　別紙３/様式５（毎月作成）</t>
    <rPh sb="2" eb="4">
      <t>ベッシ</t>
    </rPh>
    <rPh sb="6" eb="8">
      <t>ヨウシキ</t>
    </rPh>
    <rPh sb="10" eb="12">
      <t>マイツキ</t>
    </rPh>
    <rPh sb="12" eb="14">
      <t>サクセイ</t>
    </rPh>
    <phoneticPr fontId="1"/>
  </si>
  <si>
    <t>※6　前年度の平均人数や、一昨年以前の実績を元に算出することとし、今年度の申込状況等に応じた見込とすることはできない</t>
    <rPh sb="3" eb="6">
      <t>ゼンネンド</t>
    </rPh>
    <rPh sb="7" eb="9">
      <t>ヘイキン</t>
    </rPh>
    <rPh sb="9" eb="11">
      <t>ニンズウ</t>
    </rPh>
    <rPh sb="13" eb="16">
      <t>イッサクネン</t>
    </rPh>
    <rPh sb="16" eb="18">
      <t>イゼン</t>
    </rPh>
    <rPh sb="19" eb="21">
      <t>ジッセキ</t>
    </rPh>
    <rPh sb="22" eb="23">
      <t>モト</t>
    </rPh>
    <rPh sb="24" eb="26">
      <t>サンシュツ</t>
    </rPh>
    <rPh sb="33" eb="36">
      <t>コンネンド</t>
    </rPh>
    <rPh sb="37" eb="38">
      <t>モウ</t>
    </rPh>
    <rPh sb="38" eb="39">
      <t>コ</t>
    </rPh>
    <rPh sb="39" eb="41">
      <t>ジョウキョウ</t>
    </rPh>
    <rPh sb="41" eb="42">
      <t>トウ</t>
    </rPh>
    <rPh sb="43" eb="44">
      <t>オウ</t>
    </rPh>
    <rPh sb="46" eb="48">
      <t>ミコミ</t>
    </rPh>
    <phoneticPr fontId="1"/>
  </si>
  <si>
    <t>各月見込</t>
    <rPh sb="0" eb="4">
      <t>カクツキミコミ</t>
    </rPh>
    <phoneticPr fontId="1"/>
  </si>
  <si>
    <t>今月は</t>
    <rPh sb="0" eb="2">
      <t>コンゲツ</t>
    </rPh>
    <phoneticPr fontId="1"/>
  </si>
  <si>
    <t>　毎月分作成する必要があります。</t>
    <rPh sb="4" eb="6">
      <t>サクセイ</t>
    </rPh>
    <phoneticPr fontId="1"/>
  </si>
  <si>
    <t>年間見込</t>
    <rPh sb="0" eb="2">
      <t>ネンカン</t>
    </rPh>
    <rPh sb="2" eb="4">
      <t>ミコミ</t>
    </rPh>
    <phoneticPr fontId="1"/>
  </si>
  <si>
    <t>給食
（間食）</t>
    <rPh sb="0" eb="2">
      <t>キュウショク</t>
    </rPh>
    <rPh sb="4" eb="6">
      <t>カンショク</t>
    </rPh>
    <phoneticPr fontId="1"/>
  </si>
  <si>
    <t>延べ利用子ども数（見込）の年齢及び人数に応じて保育士を配置している</t>
    <rPh sb="0" eb="1">
      <t>ノ</t>
    </rPh>
    <rPh sb="2" eb="4">
      <t>リヨウ</t>
    </rPh>
    <rPh sb="4" eb="5">
      <t>コ</t>
    </rPh>
    <rPh sb="7" eb="8">
      <t>スウ</t>
    </rPh>
    <rPh sb="9" eb="11">
      <t>ミコ</t>
    </rPh>
    <phoneticPr fontId="1"/>
  </si>
  <si>
    <t>配置基準</t>
    <rPh sb="0" eb="4">
      <t>ハイチキジュン</t>
    </rPh>
    <phoneticPr fontId="1"/>
  </si>
  <si>
    <t>必要職員数</t>
    <rPh sb="0" eb="2">
      <t>ヒツヨウ</t>
    </rPh>
    <rPh sb="2" eb="5">
      <t>ショクインスウ</t>
    </rPh>
    <phoneticPr fontId="1"/>
  </si>
  <si>
    <t>配置職員
（常勤換算数）</t>
    <rPh sb="0" eb="2">
      <t>ハイチ</t>
    </rPh>
    <rPh sb="2" eb="4">
      <t>ショクイン</t>
    </rPh>
    <rPh sb="6" eb="11">
      <t>ジョウキンカンサンスウ</t>
    </rPh>
    <phoneticPr fontId="1"/>
  </si>
  <si>
    <t>3：1</t>
    <phoneticPr fontId="1"/>
  </si>
  <si>
    <t>通常給与対応分</t>
    <rPh sb="0" eb="4">
      <t>ツウジョウキュウヨ</t>
    </rPh>
    <rPh sb="4" eb="6">
      <t>タイオウ</t>
    </rPh>
    <rPh sb="6" eb="7">
      <t>ブン</t>
    </rPh>
    <phoneticPr fontId="1"/>
  </si>
  <si>
    <t>6：1</t>
    <phoneticPr fontId="1"/>
  </si>
  <si>
    <t>（ア）</t>
    <phoneticPr fontId="1"/>
  </si>
  <si>
    <t>20：1</t>
    <phoneticPr fontId="1"/>
  </si>
  <si>
    <t>超過勤務対応分</t>
    <rPh sb="0" eb="4">
      <t>チョウカキンム</t>
    </rPh>
    <rPh sb="4" eb="6">
      <t>タイオウ</t>
    </rPh>
    <rPh sb="6" eb="7">
      <t>ブン</t>
    </rPh>
    <phoneticPr fontId="1"/>
  </si>
  <si>
    <t>30：1</t>
    <phoneticPr fontId="1"/>
  </si>
  <si>
    <t>（イ）</t>
    <phoneticPr fontId="1"/>
  </si>
  <si>
    <t>エラー：延べ利用子ども数（見込）を個票と一致させてください。</t>
    <rPh sb="4" eb="5">
      <t>ノ</t>
    </rPh>
    <rPh sb="6" eb="9">
      <t>リヨウコ</t>
    </rPh>
    <rPh sb="11" eb="12">
      <t>スウ</t>
    </rPh>
    <rPh sb="13" eb="15">
      <t>ミコ</t>
    </rPh>
    <rPh sb="17" eb="19">
      <t>コヒョウ</t>
    </rPh>
    <rPh sb="20" eb="22">
      <t>イッチ</t>
    </rPh>
    <phoneticPr fontId="1"/>
  </si>
  <si>
    <t>※必要職員数の下限は0.5名です。</t>
    <rPh sb="1" eb="5">
      <t>ヒツヨウショクイン</t>
    </rPh>
    <rPh sb="5" eb="6">
      <t>スウ</t>
    </rPh>
    <rPh sb="7" eb="9">
      <t>カゲン</t>
    </rPh>
    <rPh sb="13" eb="14">
      <t>メイ</t>
    </rPh>
    <phoneticPr fontId="1"/>
  </si>
  <si>
    <t>配置職員（通常給与による対応）</t>
    <rPh sb="0" eb="4">
      <t>ハイチショクイン</t>
    </rPh>
    <rPh sb="5" eb="9">
      <t>ツウジョウキュウヨ</t>
    </rPh>
    <rPh sb="12" eb="14">
      <t>タイオウ</t>
    </rPh>
    <phoneticPr fontId="1"/>
  </si>
  <si>
    <t>様式５より引用</t>
    <rPh sb="0" eb="2">
      <t>ヨウシキ</t>
    </rPh>
    <rPh sb="5" eb="7">
      <t>インヨウ</t>
    </rPh>
    <phoneticPr fontId="1"/>
  </si>
  <si>
    <t>配置職員（超過勤務による対応）</t>
    <rPh sb="0" eb="4">
      <t>ハイチショクイン</t>
    </rPh>
    <rPh sb="5" eb="9">
      <t>チョウカキンム</t>
    </rPh>
    <rPh sb="12" eb="14">
      <t>タイオウ</t>
    </rPh>
    <phoneticPr fontId="1"/>
  </si>
  <si>
    <t>以下のとおり</t>
    <rPh sb="0" eb="2">
      <t>イカ</t>
    </rPh>
    <phoneticPr fontId="1"/>
  </si>
  <si>
    <t>常勤換算数</t>
    <rPh sb="0" eb="4">
      <t>ジョウキンカンサン</t>
    </rPh>
    <rPh sb="4" eb="5">
      <t>スウ</t>
    </rPh>
    <phoneticPr fontId="1"/>
  </si>
  <si>
    <t>※土曜日</t>
    <rPh sb="1" eb="4">
      <t>ドヨウビ</t>
    </rPh>
    <phoneticPr fontId="1"/>
  </si>
  <si>
    <t>【作成要領・提出書類チェック表】</t>
    <rPh sb="1" eb="3">
      <t>サクセイ</t>
    </rPh>
    <rPh sb="3" eb="5">
      <t>ヨウリョウ</t>
    </rPh>
    <rPh sb="6" eb="8">
      <t>テイシュツ</t>
    </rPh>
    <rPh sb="8" eb="10">
      <t>ショルイ</t>
    </rPh>
    <rPh sb="14" eb="15">
      <t>ヒョウ</t>
    </rPh>
    <phoneticPr fontId="3"/>
  </si>
  <si>
    <t>黄色</t>
    <rPh sb="0" eb="2">
      <t>キイロ</t>
    </rPh>
    <phoneticPr fontId="3"/>
  </si>
  <si>
    <t>直接手入力してください。</t>
    <rPh sb="0" eb="2">
      <t>チョクセツ</t>
    </rPh>
    <rPh sb="2" eb="3">
      <t>テ</t>
    </rPh>
    <rPh sb="3" eb="5">
      <t>ニュウリョク</t>
    </rPh>
    <phoneticPr fontId="3"/>
  </si>
  <si>
    <t>橙色</t>
    <rPh sb="0" eb="2">
      <t>ダイダイイロ</t>
    </rPh>
    <phoneticPr fontId="1"/>
  </si>
  <si>
    <t>ドロップダウンで選択。</t>
    <rPh sb="8" eb="10">
      <t>センタク</t>
    </rPh>
    <phoneticPr fontId="1"/>
  </si>
  <si>
    <t>水色</t>
    <rPh sb="0" eb="2">
      <t>ミズイロ</t>
    </rPh>
    <phoneticPr fontId="3"/>
  </si>
  <si>
    <t>札幌市で入力済の内容です。変更がある場合は、申し出ください。</t>
    <rPh sb="0" eb="3">
      <t>サッポロシ</t>
    </rPh>
    <rPh sb="4" eb="6">
      <t>ニュウリョク</t>
    </rPh>
    <rPh sb="6" eb="7">
      <t>スミ</t>
    </rPh>
    <rPh sb="8" eb="10">
      <t>ナイヨウ</t>
    </rPh>
    <rPh sb="13" eb="15">
      <t>ヘンコウ</t>
    </rPh>
    <rPh sb="18" eb="20">
      <t>バアイ</t>
    </rPh>
    <rPh sb="22" eb="23">
      <t>モウ</t>
    </rPh>
    <rPh sb="24" eb="25">
      <t>デ</t>
    </rPh>
    <phoneticPr fontId="3"/>
  </si>
  <si>
    <t>白色</t>
    <rPh sb="0" eb="1">
      <t>シロ</t>
    </rPh>
    <rPh sb="1" eb="2">
      <t>イロ</t>
    </rPh>
    <phoneticPr fontId="3"/>
  </si>
  <si>
    <t>入力不可</t>
    <rPh sb="0" eb="4">
      <t>ニュウリョクフカ</t>
    </rPh>
    <phoneticPr fontId="1"/>
  </si>
  <si>
    <t>【提出方法】</t>
    <rPh sb="1" eb="5">
      <t>テイシュツホウホウ</t>
    </rPh>
    <phoneticPr fontId="3"/>
  </si>
  <si>
    <t>＜Excelデータ 提出先＞</t>
    <rPh sb="10" eb="12">
      <t>テイシュツ</t>
    </rPh>
    <rPh sb="12" eb="13">
      <t>サキ</t>
    </rPh>
    <phoneticPr fontId="70"/>
  </si>
  <si>
    <t>アドレス</t>
    <phoneticPr fontId="3"/>
  </si>
  <si>
    <t>kyufuhi@city.sapporo.jp</t>
    <phoneticPr fontId="70"/>
  </si>
  <si>
    <t>メール件名</t>
    <rPh sb="3" eb="5">
      <t>ケンメイ</t>
    </rPh>
    <phoneticPr fontId="3"/>
  </si>
  <si>
    <r>
      <t>←</t>
    </r>
    <r>
      <rPr>
        <sz val="12"/>
        <color rgb="FFFF0000"/>
        <rFont val="ＭＳ ゴシック"/>
        <family val="3"/>
        <charset val="128"/>
      </rPr>
      <t>（【様式１】で園名を選ぶと反映）</t>
    </r>
    <phoneticPr fontId="70"/>
  </si>
  <si>
    <t>パスワード</t>
    <phoneticPr fontId="3"/>
  </si>
  <si>
    <t>29hoiku86</t>
    <phoneticPr fontId="70"/>
  </si>
  <si>
    <r>
      <rPr>
        <b/>
        <sz val="12"/>
        <color rgb="FFFF0000"/>
        <rFont val="ＭＳ ゴシック"/>
        <family val="3"/>
        <charset val="128"/>
      </rPr>
      <t xml:space="preserve">← </t>
    </r>
    <r>
      <rPr>
        <b/>
        <sz val="12"/>
        <rFont val="ＭＳ ゴシック"/>
        <family val="3"/>
        <charset val="128"/>
      </rPr>
      <t>Excelデータをこちらのパスワードで</t>
    </r>
    <phoneticPr fontId="70"/>
  </si>
  <si>
    <t>　 zipファイル化して、メールに添付してください。</t>
    <phoneticPr fontId="70"/>
  </si>
  <si>
    <t>＜添付書類 郵送先＞</t>
    <rPh sb="1" eb="5">
      <t>テンプショルイ</t>
    </rPh>
    <rPh sb="6" eb="9">
      <t>ユウソウサキ</t>
    </rPh>
    <phoneticPr fontId="70"/>
  </si>
  <si>
    <t>〒060-0051</t>
    <phoneticPr fontId="70"/>
  </si>
  <si>
    <r>
      <rPr>
        <b/>
        <sz val="12"/>
        <color rgb="FFFF0000"/>
        <rFont val="ＭＳ ゴシック"/>
        <family val="3"/>
        <charset val="128"/>
      </rPr>
      <t>←</t>
    </r>
    <r>
      <rPr>
        <b/>
        <sz val="12"/>
        <rFont val="ＭＳ ゴシック"/>
        <family val="3"/>
        <charset val="128"/>
      </rPr>
      <t>「【別添】添付書類の表紙」を付けて郵送してください。</t>
    </r>
    <rPh sb="3" eb="5">
      <t>ベッテン</t>
    </rPh>
    <rPh sb="6" eb="10">
      <t>テンプショルイ</t>
    </rPh>
    <rPh sb="11" eb="13">
      <t>ヒョウシ</t>
    </rPh>
    <rPh sb="15" eb="16">
      <t>ツ</t>
    </rPh>
    <rPh sb="18" eb="20">
      <t>ユウソウ</t>
    </rPh>
    <phoneticPr fontId="70"/>
  </si>
  <si>
    <t>札幌市中央区南１条東１丁目　大通バスセンタービル３階</t>
    <phoneticPr fontId="70"/>
  </si>
  <si>
    <t>　（右隣のシート）</t>
    <rPh sb="2" eb="4">
      <t>ミギドナリ</t>
    </rPh>
    <phoneticPr fontId="1"/>
  </si>
  <si>
    <t>子ども未来局子育て支援部施設運営課給付係　　TEL 011-211-3027</t>
    <rPh sb="6" eb="8">
      <t>コソダ</t>
    </rPh>
    <rPh sb="9" eb="11">
      <t>シエン</t>
    </rPh>
    <rPh sb="12" eb="14">
      <t>シセツ</t>
    </rPh>
    <rPh sb="14" eb="16">
      <t>ウンエイ</t>
    </rPh>
    <rPh sb="16" eb="17">
      <t>カ</t>
    </rPh>
    <phoneticPr fontId="70"/>
  </si>
  <si>
    <t>【お問い合わせについて】</t>
    <rPh sb="2" eb="3">
      <t>ト</t>
    </rPh>
    <rPh sb="4" eb="5">
      <t>ア</t>
    </rPh>
    <phoneticPr fontId="3"/>
  </si>
  <si>
    <t>メールでのお問い合わせにご協力ください。（様式の入力がうまくいかない等、データをこちらで確認する必要がある場合はデータも添付してください。）</t>
    <rPh sb="6" eb="7">
      <t>ト</t>
    </rPh>
    <rPh sb="8" eb="9">
      <t>ア</t>
    </rPh>
    <rPh sb="13" eb="15">
      <t>キョウリョク</t>
    </rPh>
    <rPh sb="21" eb="23">
      <t>ヨウシキ</t>
    </rPh>
    <rPh sb="24" eb="26">
      <t>ニュウリョク</t>
    </rPh>
    <rPh sb="34" eb="35">
      <t>トウ</t>
    </rPh>
    <rPh sb="44" eb="46">
      <t>カクニン</t>
    </rPh>
    <rPh sb="48" eb="50">
      <t>ヒツヨウ</t>
    </rPh>
    <rPh sb="53" eb="55">
      <t>バアイ</t>
    </rPh>
    <rPh sb="60" eb="62">
      <t>テンプ</t>
    </rPh>
    <phoneticPr fontId="70"/>
  </si>
  <si>
    <t>アドレス</t>
  </si>
  <si>
    <t>【作成にあたって】</t>
    <rPh sb="1" eb="3">
      <t>サクセイ</t>
    </rPh>
    <phoneticPr fontId="3"/>
  </si>
  <si>
    <t>項目</t>
    <rPh sb="0" eb="2">
      <t>コウモク</t>
    </rPh>
    <phoneticPr fontId="3"/>
  </si>
  <si>
    <t>説明</t>
    <rPh sb="0" eb="2">
      <t>セツメイ</t>
    </rPh>
    <phoneticPr fontId="70"/>
  </si>
  <si>
    <t>作成ソフト</t>
    <rPh sb="0" eb="2">
      <t>サクセイ</t>
    </rPh>
    <phoneticPr fontId="3"/>
  </si>
  <si>
    <t>　本様式はExcel2016（Microsoft社）で作成しておりますので、Excel2016以降での作成を推奨します。このため、Excel2016未満のバージョン（2010、2003等）及びMicrosoft社製以外の表計算ソフト（Kingsoft、Numbers等）での動作は保証いたしません。</t>
    <phoneticPr fontId="1"/>
  </si>
  <si>
    <t>作成手順</t>
    <rPh sb="0" eb="4">
      <t>サクセイテジュン</t>
    </rPh>
    <phoneticPr fontId="3"/>
  </si>
  <si>
    <t>参考資料</t>
    <rPh sb="0" eb="4">
      <t>サンコウシリョウ</t>
    </rPh>
    <phoneticPr fontId="1"/>
  </si>
  <si>
    <t xml:space="preserve"> ・　依頼文　（各月分の申請期限はこちらでご確認ください。）</t>
    <rPh sb="3" eb="6">
      <t>イライブン</t>
    </rPh>
    <rPh sb="8" eb="11">
      <t>カクツキブン</t>
    </rPh>
    <rPh sb="12" eb="14">
      <t>シンセイ</t>
    </rPh>
    <rPh sb="14" eb="16">
      <t>キゲン</t>
    </rPh>
    <rPh sb="22" eb="24">
      <t>カクニン</t>
    </rPh>
    <phoneticPr fontId="1"/>
  </si>
  <si>
    <t xml:space="preserve"> ・　様式内の「作成方法」シート、各シート印刷範囲外の説明書き</t>
  </si>
  <si>
    <t xml:space="preserve"> ・　加算・調整項目申請書作成要領　（依頼時に送付）</t>
    <rPh sb="19" eb="22">
      <t>イライジ</t>
    </rPh>
    <rPh sb="23" eb="25">
      <t>ソウフ</t>
    </rPh>
    <phoneticPr fontId="1"/>
  </si>
  <si>
    <t>休日保育別紙３W28参照先</t>
    <rPh sb="0" eb="4">
      <t>キュウジツホイク</t>
    </rPh>
    <rPh sb="4" eb="6">
      <t>ベッシ</t>
    </rPh>
    <rPh sb="10" eb="13">
      <t>サンショウサキ</t>
    </rPh>
    <phoneticPr fontId="1"/>
  </si>
  <si>
    <t>事業所内の定員判定</t>
    <rPh sb="0" eb="3">
      <t>ジギョウショ</t>
    </rPh>
    <rPh sb="3" eb="4">
      <t>ナイ</t>
    </rPh>
    <rPh sb="5" eb="7">
      <t>テイイン</t>
    </rPh>
    <rPh sb="7" eb="9">
      <t>ハンテイ</t>
    </rPh>
    <phoneticPr fontId="1"/>
  </si>
  <si>
    <t>＜様式１＞
事業所内20人以上は、連携施設の要件2＆3（相談・代替保育）は幌市私立地域型保育事業運営要綱第24条2項により不要となっているため、事業所内20人以上の施設は、要件2＆3の選択部分が白塗りつぶしになるよう仕様を変更。
＜様式５＞
職員算出表の職種別調整箇所の非表示。
＜様式５＞
栄養管理加算を「申請する」にしているが、担当栄養士を入力するセルが白色のままであったため、加算を「申請する」にすると、担当栄養士の入力セルがオレンジ色になるよう修正。</t>
    <phoneticPr fontId="1"/>
  </si>
  <si>
    <t>提出日</t>
    <rPh sb="0" eb="2">
      <t>テイシュツ</t>
    </rPh>
    <rPh sb="2" eb="3">
      <t>ビ</t>
    </rPh>
    <phoneticPr fontId="1"/>
  </si>
  <si>
    <t>１日</t>
    <rPh sb="1" eb="2">
      <t>ニチ</t>
    </rPh>
    <phoneticPr fontId="3"/>
  </si>
  <si>
    <t>２日</t>
    <rPh sb="1" eb="2">
      <t>ニチ</t>
    </rPh>
    <phoneticPr fontId="3"/>
  </si>
  <si>
    <t>３日以上</t>
    <rPh sb="1" eb="2">
      <t>ニチ</t>
    </rPh>
    <rPh sb="2" eb="4">
      <t>イジョウ</t>
    </rPh>
    <phoneticPr fontId="3"/>
  </si>
  <si>
    <t>全て</t>
    <rPh sb="0" eb="1">
      <t>スベ</t>
    </rPh>
    <phoneticPr fontId="3"/>
  </si>
  <si>
    <t>14　処遇改善等加算Ⅲ</t>
    <phoneticPr fontId="1"/>
  </si>
  <si>
    <t>15　栄養管理加算</t>
    <rPh sb="3" eb="5">
      <t>エイヨウ</t>
    </rPh>
    <rPh sb="5" eb="7">
      <t>カンリ</t>
    </rPh>
    <rPh sb="7" eb="9">
      <t>カサン</t>
    </rPh>
    <phoneticPr fontId="1"/>
  </si>
  <si>
    <t>処遇改善等加算Ⅲ</t>
    <rPh sb="0" eb="2">
      <t>ショグウ</t>
    </rPh>
    <rPh sb="2" eb="4">
      <t>カイゼン</t>
    </rPh>
    <rPh sb="4" eb="5">
      <t>トウ</t>
    </rPh>
    <rPh sb="5" eb="7">
      <t>カサン</t>
    </rPh>
    <phoneticPr fontId="1"/>
  </si>
  <si>
    <t>人数</t>
    <rPh sb="0" eb="2">
      <t>ニンズウ</t>
    </rPh>
    <phoneticPr fontId="1"/>
  </si>
  <si>
    <t>こころキッズワタキュー中の島ルーム</t>
    <rPh sb="11" eb="12">
      <t>ナカ</t>
    </rPh>
    <rPh sb="13" eb="14">
      <t>シマ</t>
    </rPh>
    <phoneticPr fontId="1"/>
  </si>
  <si>
    <t>もなみの里保育園</t>
    <phoneticPr fontId="1"/>
  </si>
  <si>
    <t>八軒西もみじ保育園</t>
    <phoneticPr fontId="1"/>
  </si>
  <si>
    <t>木育こどもの家屯田園</t>
    <rPh sb="0" eb="1">
      <t>モク</t>
    </rPh>
    <rPh sb="1" eb="2">
      <t>イク</t>
    </rPh>
    <rPh sb="6" eb="7">
      <t>イエ</t>
    </rPh>
    <rPh sb="7" eb="10">
      <t>トンデンエン</t>
    </rPh>
    <phoneticPr fontId="7"/>
  </si>
  <si>
    <t>大藤子ども園しらかば館</t>
    <rPh sb="0" eb="2">
      <t>オオフジ</t>
    </rPh>
    <rPh sb="2" eb="3">
      <t>コ</t>
    </rPh>
    <rPh sb="5" eb="6">
      <t>エン</t>
    </rPh>
    <rPh sb="10" eb="11">
      <t>カン</t>
    </rPh>
    <phoneticPr fontId="7"/>
  </si>
  <si>
    <t>にこまるえん東白石</t>
    <rPh sb="6" eb="7">
      <t>ヒガシ</t>
    </rPh>
    <rPh sb="7" eb="9">
      <t>シロイシ</t>
    </rPh>
    <phoneticPr fontId="7"/>
  </si>
  <si>
    <t>にこまるえん南郷</t>
    <rPh sb="6" eb="8">
      <t>ナンゴウ</t>
    </rPh>
    <phoneticPr fontId="7"/>
  </si>
  <si>
    <t>美園よつば保育園</t>
    <rPh sb="0" eb="2">
      <t>ミソノ</t>
    </rPh>
    <rPh sb="5" eb="8">
      <t>ホイクエン</t>
    </rPh>
    <phoneticPr fontId="7"/>
  </si>
  <si>
    <t>平岸オレンジ保育園</t>
    <rPh sb="0" eb="2">
      <t>ヒラギシ</t>
    </rPh>
    <rPh sb="6" eb="9">
      <t>ホイクエン</t>
    </rPh>
    <phoneticPr fontId="7"/>
  </si>
  <si>
    <t>札幌市南区保育・子育て支援センター</t>
  </si>
  <si>
    <t>澄川まんまる保育園</t>
    <rPh sb="0" eb="2">
      <t>スミカワ</t>
    </rPh>
    <rPh sb="6" eb="9">
      <t>ホイクエン</t>
    </rPh>
    <phoneticPr fontId="8"/>
  </si>
  <si>
    <t>ちゅうわ南保育園</t>
    <rPh sb="4" eb="5">
      <t>ミナミ</t>
    </rPh>
    <rPh sb="5" eb="8">
      <t>ホイクエン</t>
    </rPh>
    <phoneticPr fontId="8"/>
  </si>
  <si>
    <t>東区</t>
    <phoneticPr fontId="1"/>
  </si>
  <si>
    <t>障害児保育加算</t>
    <rPh sb="0" eb="3">
      <t>ショウガイジ</t>
    </rPh>
    <rPh sb="3" eb="5">
      <t>ホイク</t>
    </rPh>
    <rPh sb="5" eb="7">
      <t>カサン</t>
    </rPh>
    <phoneticPr fontId="1"/>
  </si>
  <si>
    <t>挙証書類の名前</t>
    <rPh sb="0" eb="4">
      <t>キョショウショルイ</t>
    </rPh>
    <rPh sb="5" eb="7">
      <t>ナマエ</t>
    </rPh>
    <phoneticPr fontId="1"/>
  </si>
  <si>
    <t>添付書類が必要な加算</t>
    <rPh sb="0" eb="2">
      <t>テンプ</t>
    </rPh>
    <rPh sb="2" eb="4">
      <t>ショルイ</t>
    </rPh>
    <rPh sb="5" eb="7">
      <t>ヒツヨウ</t>
    </rPh>
    <rPh sb="8" eb="10">
      <t>カサン</t>
    </rPh>
    <phoneticPr fontId="1"/>
  </si>
  <si>
    <t>施設コード</t>
    <rPh sb="0" eb="2">
      <t>シセツ</t>
    </rPh>
    <phoneticPr fontId="1"/>
  </si>
  <si>
    <t>施設名</t>
    <rPh sb="0" eb="3">
      <t>シセツメイ</t>
    </rPh>
    <phoneticPr fontId="1"/>
  </si>
  <si>
    <t>【提出先】</t>
    <rPh sb="1" eb="3">
      <t>テイシュツ</t>
    </rPh>
    <rPh sb="3" eb="4">
      <t>サキ</t>
    </rPh>
    <phoneticPr fontId="3"/>
  </si>
  <si>
    <t>＜Excelデータ＞</t>
    <rPh sb="9" eb="10">
      <t>デサキ</t>
    </rPh>
    <phoneticPr fontId="70"/>
  </si>
  <si>
    <r>
      <rPr>
        <b/>
        <sz val="12"/>
        <color rgb="FFFF0000"/>
        <rFont val="ＭＳ ゴシック"/>
        <family val="3"/>
        <charset val="128"/>
      </rPr>
      <t>←</t>
    </r>
    <r>
      <rPr>
        <b/>
        <sz val="12"/>
        <rFont val="ＭＳ ゴシック"/>
        <family val="3"/>
        <charset val="128"/>
      </rPr>
      <t>メールの件名はこちらをコピーして使用してください。</t>
    </r>
    <rPh sb="5" eb="7">
      <t>ケンメイ</t>
    </rPh>
    <rPh sb="17" eb="19">
      <t>シヨウ</t>
    </rPh>
    <phoneticPr fontId="70"/>
  </si>
  <si>
    <t>＜PDFデータ（加算の添付書類）＞</t>
    <rPh sb="8" eb="10">
      <t>カサン</t>
    </rPh>
    <rPh sb="11" eb="15">
      <t>テンプショルイ</t>
    </rPh>
    <rPh sb="16" eb="17">
      <t>デサキ</t>
    </rPh>
    <phoneticPr fontId="70"/>
  </si>
  <si>
    <t>　　　　　　　　　　※問い合わせの際は、作成途中の申請書（エクセル）を一緒に添付してください。</t>
    <rPh sb="11" eb="12">
      <t>ト</t>
    </rPh>
    <rPh sb="13" eb="14">
      <t>ア</t>
    </rPh>
    <rPh sb="17" eb="18">
      <t>サイ</t>
    </rPh>
    <rPh sb="20" eb="24">
      <t>サクセイトチュウ</t>
    </rPh>
    <rPh sb="25" eb="28">
      <t>シンセイショ</t>
    </rPh>
    <phoneticPr fontId="1"/>
  </si>
  <si>
    <r>
      <rPr>
        <b/>
        <sz val="12"/>
        <color rgb="FFFF0000"/>
        <rFont val="ＭＳ ゴシック"/>
        <family val="3"/>
        <charset val="128"/>
      </rPr>
      <t>←</t>
    </r>
    <r>
      <rPr>
        <b/>
        <sz val="12"/>
        <rFont val="ＭＳ ゴシック"/>
        <family val="3"/>
        <charset val="128"/>
      </rPr>
      <t>Excelデータをこちらのパスワードでお願いします。</t>
    </r>
    <rPh sb="21" eb="22">
      <t>ネガ</t>
    </rPh>
    <phoneticPr fontId="70"/>
  </si>
  <si>
    <t>※ＰＤＦで提出いただく添付書類の名前は、以下のリストからコピーして使用してください。</t>
    <rPh sb="5" eb="7">
      <t>テイシュツ</t>
    </rPh>
    <rPh sb="11" eb="15">
      <t>テンプショルイ</t>
    </rPh>
    <rPh sb="16" eb="18">
      <t>ナマエ</t>
    </rPh>
    <rPh sb="20" eb="22">
      <t>イカ</t>
    </rPh>
    <rPh sb="33" eb="35">
      <t>シヨウ</t>
    </rPh>
    <phoneticPr fontId="3"/>
  </si>
  <si>
    <t>添付書類①</t>
    <rPh sb="0" eb="2">
      <t>テンプ</t>
    </rPh>
    <rPh sb="2" eb="4">
      <t>ショルイ</t>
    </rPh>
    <phoneticPr fontId="1"/>
  </si>
  <si>
    <t>添付書類②</t>
    <rPh sb="0" eb="2">
      <t>テンプ</t>
    </rPh>
    <rPh sb="2" eb="4">
      <t>ショルイ</t>
    </rPh>
    <phoneticPr fontId="1"/>
  </si>
  <si>
    <t>添付書類③</t>
    <rPh sb="0" eb="2">
      <t>テンプ</t>
    </rPh>
    <rPh sb="2" eb="4">
      <t>ショルイ</t>
    </rPh>
    <phoneticPr fontId="1"/>
  </si>
  <si>
    <t>添付書類④</t>
    <rPh sb="0" eb="2">
      <t>テンプ</t>
    </rPh>
    <rPh sb="2" eb="4">
      <t>ショルイ</t>
    </rPh>
    <phoneticPr fontId="1"/>
  </si>
  <si>
    <t>添付書類⑤</t>
    <rPh sb="0" eb="2">
      <t>テンプ</t>
    </rPh>
    <rPh sb="2" eb="4">
      <t>ショルイ</t>
    </rPh>
    <phoneticPr fontId="1"/>
  </si>
  <si>
    <t>添付書類⑥</t>
    <rPh sb="0" eb="2">
      <t>テンプ</t>
    </rPh>
    <rPh sb="2" eb="4">
      <t>ショルイ</t>
    </rPh>
    <phoneticPr fontId="1"/>
  </si>
  <si>
    <t>添付書類⑦</t>
    <rPh sb="0" eb="2">
      <t>テンプ</t>
    </rPh>
    <rPh sb="2" eb="4">
      <t>ショルイ</t>
    </rPh>
    <phoneticPr fontId="1"/>
  </si>
  <si>
    <t>添付書類⑧</t>
    <rPh sb="0" eb="2">
      <t>テンプ</t>
    </rPh>
    <rPh sb="2" eb="4">
      <t>ショルイ</t>
    </rPh>
    <phoneticPr fontId="1"/>
  </si>
  <si>
    <t>添付書類⑨</t>
    <rPh sb="0" eb="2">
      <t>テンプ</t>
    </rPh>
    <rPh sb="2" eb="4">
      <t>ショルイ</t>
    </rPh>
    <phoneticPr fontId="1"/>
  </si>
  <si>
    <t>kyufuhi@city.sapporo.jp</t>
  </si>
  <si>
    <t>月</t>
    <rPh sb="0" eb="1">
      <t>ツキ</t>
    </rPh>
    <phoneticPr fontId="1"/>
  </si>
  <si>
    <t>エクセル名</t>
    <rPh sb="4" eb="5">
      <t>メイ</t>
    </rPh>
    <phoneticPr fontId="1"/>
  </si>
  <si>
    <r>
      <rPr>
        <b/>
        <sz val="12"/>
        <color rgb="FFFF0000"/>
        <rFont val="ＭＳ ゴシック"/>
        <family val="3"/>
        <charset val="128"/>
      </rPr>
      <t>←</t>
    </r>
    <r>
      <rPr>
        <b/>
        <sz val="12"/>
        <rFont val="ＭＳ ゴシック"/>
        <family val="3"/>
        <charset val="128"/>
      </rPr>
      <t>申請書（エクセル）の名前はこちらをコピーして使用してください。</t>
    </r>
    <rPh sb="1" eb="4">
      <t>シンセイショ</t>
    </rPh>
    <rPh sb="11" eb="13">
      <t>ナマエ</t>
    </rPh>
    <rPh sb="23" eb="25">
      <t>シヨウ</t>
    </rPh>
    <phoneticPr fontId="70"/>
  </si>
  <si>
    <t>29hoiku86</t>
    <phoneticPr fontId="1"/>
  </si>
  <si>
    <t>添付書類が必要な加算</t>
    <rPh sb="0" eb="4">
      <t>テンプショルイ</t>
    </rPh>
    <rPh sb="5" eb="7">
      <t>ヒツヨウ</t>
    </rPh>
    <rPh sb="8" eb="10">
      <t>カサン</t>
    </rPh>
    <phoneticPr fontId="1"/>
  </si>
  <si>
    <t>適用可否</t>
    <rPh sb="0" eb="4">
      <t>テキヨウカヒ</t>
    </rPh>
    <phoneticPr fontId="1"/>
  </si>
  <si>
    <t>判定</t>
    <rPh sb="0" eb="2">
      <t>ハンテイ</t>
    </rPh>
    <phoneticPr fontId="1"/>
  </si>
  <si>
    <t>変換</t>
    <rPh sb="0" eb="2">
      <t>ヘンカン</t>
    </rPh>
    <phoneticPr fontId="1"/>
  </si>
  <si>
    <r>
      <rPr>
        <b/>
        <sz val="9"/>
        <color theme="1"/>
        <rFont val="ＭＳ Ｐゴシック"/>
        <family val="3"/>
        <charset val="128"/>
        <scheme val="minor"/>
      </rPr>
      <t>＜【別添】添付書類の表紙＞</t>
    </r>
    <r>
      <rPr>
        <sz val="9"/>
        <color theme="1"/>
        <rFont val="ＭＳ Ｐゴシック"/>
        <family val="2"/>
        <charset val="128"/>
        <scheme val="minor"/>
      </rPr>
      <t xml:space="preserve">
データでの提出を前提とした内容に変更
</t>
    </r>
    <r>
      <rPr>
        <b/>
        <sz val="9"/>
        <color theme="1"/>
        <rFont val="ＭＳ Ｐゴシック"/>
        <family val="3"/>
        <charset val="128"/>
        <scheme val="minor"/>
      </rPr>
      <t>＜【様式１】総括表・個票＞</t>
    </r>
    <r>
      <rPr>
        <sz val="9"/>
        <color theme="1"/>
        <rFont val="ＭＳ Ｐゴシック"/>
        <family val="2"/>
        <charset val="128"/>
        <scheme val="minor"/>
      </rPr>
      <t xml:space="preserve">
処遇改善加算Ⅲの項目を追加
コロナ特例を廃止
</t>
    </r>
    <r>
      <rPr>
        <b/>
        <sz val="9"/>
        <color theme="1"/>
        <rFont val="ＭＳ Ｐゴシック"/>
        <family val="3"/>
        <charset val="128"/>
        <scheme val="minor"/>
      </rPr>
      <t>＜【様式３】シフト表＞</t>
    </r>
    <r>
      <rPr>
        <sz val="9"/>
        <color theme="1"/>
        <rFont val="ＭＳ Ｐゴシック"/>
        <family val="2"/>
        <charset val="128"/>
        <scheme val="minor"/>
      </rPr>
      <t xml:space="preserve">
常勤換算の時間数を超える入力の制限を追加
</t>
    </r>
    <r>
      <rPr>
        <b/>
        <sz val="9"/>
        <color theme="1"/>
        <rFont val="ＭＳ Ｐゴシック"/>
        <family val="3"/>
        <charset val="128"/>
        <scheme val="minor"/>
      </rPr>
      <t>＜【様式6】加算確認表＞</t>
    </r>
    <r>
      <rPr>
        <sz val="9"/>
        <color theme="1"/>
        <rFont val="ＭＳ Ｐゴシック"/>
        <family val="2"/>
        <charset val="128"/>
        <scheme val="minor"/>
      </rPr>
      <t xml:space="preserve">
処遇改善加算Ⅲの項目を追加</t>
    </r>
    <phoneticPr fontId="1"/>
  </si>
  <si>
    <t xml:space="preserve"> ・　国通知「特定教育・保育等に要する費用の額の算定に関する基準等の改正に伴う実施上の留意事項について」
　　（令和5年2月20日改正）　内閣府HP：https://www8.cao.go.jp/shoushi/shinseido/law/tsuuchi.html
</t>
    <phoneticPr fontId="1"/>
  </si>
  <si>
    <r>
      <rPr>
        <b/>
        <sz val="9"/>
        <color theme="1"/>
        <rFont val="ＭＳ Ｐゴシック"/>
        <family val="3"/>
        <charset val="128"/>
        <scheme val="minor"/>
      </rPr>
      <t>＜【別添】添付書類の表紙＞</t>
    </r>
    <r>
      <rPr>
        <sz val="9"/>
        <color theme="1"/>
        <rFont val="ＭＳ Ｐゴシック"/>
        <family val="2"/>
        <charset val="128"/>
        <scheme val="minor"/>
      </rPr>
      <t xml:space="preserve">
栄耀管理加算の名称がでないエラーを修正。</t>
    </r>
    <rPh sb="14" eb="16">
      <t>エイヨウ</t>
    </rPh>
    <rPh sb="16" eb="18">
      <t>カンリ</t>
    </rPh>
    <rPh sb="18" eb="20">
      <t>カサン</t>
    </rPh>
    <rPh sb="21" eb="23">
      <t>メイショウ</t>
    </rPh>
    <rPh sb="31" eb="33">
      <t>シュウセイ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</si>
</sst>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176" formatCode="#&quot;人&quot;"/>
    <numFmt numFmtId="177" formatCode="#,##0.0&quot;人&quot;"/>
    <numFmt numFmtId="178" formatCode="#0.00&quot;時&quot;&quot;間&quot;"/>
    <numFmt numFmtId="179" formatCode="[$-F800]dddd\,\ mmmm\ dd\,\ yyyy"/>
    <numFmt numFmtId="180" formatCode="0.0"/>
    <numFmt numFmtId="181" formatCode="##&quot;月&quot;"/>
    <numFmt numFmtId="182" formatCode="#&quot;%&quot;"/>
    <numFmt numFmtId="183" formatCode="#0&quot;人&quot;"/>
    <numFmt numFmtId="184" formatCode="#,##0_ "/>
    <numFmt numFmtId="185" formatCode="[$-411]ggge&quot;年&quot;m&quot;月&quot;d&quot;日&quot;;@"/>
    <numFmt numFmtId="186" formatCode="yyyy&quot;年&quot;m&quot;月&quot;d&quot;日&quot;;@"/>
    <numFmt numFmtId="187" formatCode="0.0&quot;人&quot;"/>
    <numFmt numFmtId="188" formatCode="0_);[Red]\(0\)"/>
    <numFmt numFmtId="189" formatCode="General&quot;年&quot;&quot;度&quot;"/>
    <numFmt numFmtId="190" formatCode="m&quot;月&quot;"/>
    <numFmt numFmtId="191" formatCode="&quot;＜&quot;yyyy&quot;年&quot;m&quot;月&quot;&quot;＞&quot;"/>
    <numFmt numFmtId="192" formatCode="&quot;第&quot;General&quot;土&quot;&quot;曜&quot;&quot;日&quot;"/>
    <numFmt numFmtId="193" formatCode="General&quot;日&quot;"/>
    <numFmt numFmtId="194" formatCode="##&quot;円&quot;"/>
    <numFmt numFmtId="195" formatCode="0.00_);[Red]\(0.00\)"/>
    <numFmt numFmtId="196" formatCode="yyyy/m/d;@"/>
    <numFmt numFmtId="197" formatCode="General&quot;名&quot;"/>
    <numFmt numFmtId="198" formatCode="#,##0.00&quot;人&quot;"/>
    <numFmt numFmtId="199" formatCode="General&quot;月&quot;&quot;超&quot;&quot;過&quot;"/>
    <numFmt numFmtId="200" formatCode="0.0_ "/>
    <numFmt numFmtId="201" formatCode="#0.00"/>
    <numFmt numFmtId="202" formatCode="##0&quot;歳児&quot;"/>
    <numFmt numFmtId="203" formatCode="#,##0_ ;[Red]\-#,##0\ "/>
    <numFmt numFmtId="204" formatCode="0.00_ "/>
    <numFmt numFmtId="205" formatCode="#0.00\※"/>
    <numFmt numFmtId="206" formatCode="&quot;1：&quot;General"/>
    <numFmt numFmtId="207" formatCode="0.0_);[Red]\(0.0\)"/>
    <numFmt numFmtId="208" formatCode="#,##0&quot;時間&quot;"/>
    <numFmt numFmtId="209" formatCode="0&quot;月&quot;"/>
  </numFmts>
  <fonts count="94">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sz val="12"/>
      <name val="ＭＳ Ｐゴシック"/>
      <family val="3"/>
      <charset val="128"/>
    </font>
    <font>
      <sz val="11"/>
      <color theme="1"/>
      <name val="ＭＳ Ｐゴシック"/>
      <family val="2"/>
      <charset val="128"/>
      <scheme val="minor"/>
    </font>
    <font>
      <b/>
      <sz val="12"/>
      <name val="ＭＳ Ｐゴシック"/>
      <family val="3"/>
      <charset val="128"/>
    </font>
    <font>
      <sz val="10"/>
      <name val="ＭＳ 明朝"/>
      <family val="1"/>
      <charset val="128"/>
    </font>
    <font>
      <sz val="12"/>
      <name val="明朝"/>
      <family val="3"/>
      <charset val="128"/>
    </font>
    <font>
      <sz val="10"/>
      <name val="ＭＳ ゴシック"/>
      <family val="3"/>
      <charset val="128"/>
    </font>
    <font>
      <b/>
      <sz val="10"/>
      <name val="ＭＳ 明朝"/>
      <family val="1"/>
      <charset val="128"/>
    </font>
    <font>
      <b/>
      <sz val="10"/>
      <name val="ＭＳ ゴシック"/>
      <family val="3"/>
      <charset val="128"/>
    </font>
    <font>
      <sz val="10"/>
      <name val="ＭＳ Ｐゴシック"/>
      <family val="3"/>
      <charset val="128"/>
      <scheme val="minor"/>
    </font>
    <font>
      <sz val="9"/>
      <color theme="1"/>
      <name val="ＭＳ ゴシック"/>
      <family val="3"/>
      <charset val="128"/>
    </font>
    <font>
      <sz val="9"/>
      <name val="ＭＳ ゴシック"/>
      <family val="3"/>
      <charset val="128"/>
    </font>
    <font>
      <sz val="9"/>
      <color theme="1"/>
      <name val="ＭＳ Ｐゴシック"/>
      <family val="3"/>
      <charset val="128"/>
      <scheme val="minor"/>
    </font>
    <font>
      <b/>
      <sz val="9"/>
      <color theme="1"/>
      <name val="ＭＳ ゴシック"/>
      <family val="3"/>
      <charset val="128"/>
    </font>
    <font>
      <sz val="9"/>
      <color rgb="FFFF0000"/>
      <name val="ＭＳ ゴシック"/>
      <family val="3"/>
      <charset val="128"/>
    </font>
    <font>
      <sz val="9"/>
      <color indexed="8"/>
      <name val="ＭＳ ゴシック"/>
      <family val="3"/>
      <charset val="128"/>
    </font>
    <font>
      <sz val="10"/>
      <color theme="1"/>
      <name val="ＭＳ Ｐゴシック"/>
      <family val="2"/>
      <charset val="128"/>
      <scheme val="minor"/>
    </font>
    <font>
      <sz val="10"/>
      <color theme="1"/>
      <name val="ＭＳ 明朝"/>
      <family val="1"/>
      <charset val="128"/>
    </font>
    <font>
      <sz val="10"/>
      <color rgb="FFFF0000"/>
      <name val="ＭＳ 明朝"/>
      <family val="1"/>
      <charset val="128"/>
    </font>
    <font>
      <sz val="10"/>
      <color rgb="FF0070C0"/>
      <name val="ＭＳ 明朝"/>
      <family val="1"/>
      <charset val="128"/>
    </font>
    <font>
      <sz val="10"/>
      <name val="ＭＳ Ｐ明朝"/>
      <family val="1"/>
      <charset val="128"/>
    </font>
    <font>
      <sz val="24"/>
      <name val="ＭＳ Ｐゴシック"/>
      <family val="3"/>
      <charset val="128"/>
    </font>
    <font>
      <sz val="12"/>
      <color rgb="FFFF0000"/>
      <name val="ＭＳ Ｐゴシック"/>
      <family val="3"/>
      <charset val="128"/>
    </font>
    <font>
      <b/>
      <sz val="10"/>
      <color rgb="FFFF0000"/>
      <name val="ＭＳ 明朝"/>
      <family val="1"/>
      <charset val="128"/>
    </font>
    <font>
      <vertAlign val="superscript"/>
      <sz val="10"/>
      <name val="ＭＳ 明朝"/>
      <family val="1"/>
      <charset val="128"/>
    </font>
    <font>
      <sz val="10"/>
      <color theme="1"/>
      <name val="ＭＳ ゴシック"/>
      <family val="3"/>
      <charset val="128"/>
    </font>
    <font>
      <b/>
      <sz val="10"/>
      <name val="ＭＳ Ｐゴシック"/>
      <family val="3"/>
      <charset val="128"/>
      <scheme val="minor"/>
    </font>
    <font>
      <sz val="10"/>
      <color rgb="FFFF0000"/>
      <name val="ＭＳ Ｐゴシック"/>
      <family val="2"/>
      <charset val="128"/>
      <scheme val="minor"/>
    </font>
    <font>
      <strike/>
      <sz val="10"/>
      <name val="ＭＳ 明朝"/>
      <family val="1"/>
      <charset val="128"/>
    </font>
    <font>
      <sz val="9"/>
      <name val="ＭＳ 明朝"/>
      <family val="1"/>
      <charset val="128"/>
    </font>
    <font>
      <b/>
      <sz val="10"/>
      <color theme="1"/>
      <name val="ＭＳ Ｐゴシック"/>
      <family val="3"/>
      <charset val="128"/>
      <scheme val="minor"/>
    </font>
    <font>
      <b/>
      <sz val="10"/>
      <name val="ＭＳ Ｐゴシック"/>
      <family val="3"/>
      <charset val="128"/>
    </font>
    <font>
      <sz val="10"/>
      <color theme="1"/>
      <name val="ＭＳ Ｐゴシック"/>
      <family val="3"/>
      <charset val="128"/>
      <scheme val="minor"/>
    </font>
    <font>
      <sz val="6"/>
      <color theme="1"/>
      <name val="ＭＳ 明朝"/>
      <family val="1"/>
      <charset val="128"/>
    </font>
    <font>
      <sz val="8"/>
      <name val="ＭＳ 明朝"/>
      <family val="1"/>
      <charset val="128"/>
    </font>
    <font>
      <b/>
      <sz val="14"/>
      <color theme="1"/>
      <name val="ＭＳ Ｐゴシック"/>
      <family val="3"/>
      <charset val="128"/>
      <scheme val="minor"/>
    </font>
    <font>
      <sz val="11"/>
      <color theme="1"/>
      <name val="ＭＳ 明朝"/>
      <family val="1"/>
      <charset val="128"/>
    </font>
    <font>
      <sz val="9"/>
      <color theme="1"/>
      <name val="ＭＳ 明朝"/>
      <family val="1"/>
      <charset val="128"/>
    </font>
    <font>
      <sz val="11"/>
      <color rgb="FFFF0000"/>
      <name val="ＭＳ 明朝"/>
      <family val="1"/>
      <charset val="128"/>
    </font>
    <font>
      <b/>
      <sz val="10"/>
      <color theme="1"/>
      <name val="ＭＳ ゴシック"/>
      <family val="3"/>
      <charset val="128"/>
    </font>
    <font>
      <b/>
      <u/>
      <sz val="10"/>
      <color rgb="FFFF0000"/>
      <name val="ＭＳ 明朝"/>
      <family val="1"/>
      <charset val="128"/>
    </font>
    <font>
      <b/>
      <sz val="10"/>
      <color theme="1"/>
      <name val="ＭＳ 明朝"/>
      <family val="1"/>
      <charset val="128"/>
    </font>
    <font>
      <b/>
      <sz val="14"/>
      <name val="ＭＳ ゴシック"/>
      <family val="3"/>
      <charset val="128"/>
    </font>
    <font>
      <sz val="14"/>
      <color theme="1"/>
      <name val="ＭＳ 明朝"/>
      <family val="1"/>
      <charset val="128"/>
    </font>
    <font>
      <sz val="14"/>
      <name val="ＭＳ 明朝"/>
      <family val="1"/>
      <charset val="128"/>
    </font>
    <font>
      <b/>
      <sz val="14"/>
      <color theme="1"/>
      <name val="ＭＳ ゴシック"/>
      <family val="3"/>
      <charset val="128"/>
    </font>
    <font>
      <u/>
      <sz val="14"/>
      <color theme="1"/>
      <name val="ＭＳ 明朝"/>
      <family val="1"/>
      <charset val="128"/>
    </font>
    <font>
      <sz val="14"/>
      <color rgb="FFFF0000"/>
      <name val="ＭＳ 明朝"/>
      <family val="1"/>
      <charset val="128"/>
    </font>
    <font>
      <b/>
      <sz val="12"/>
      <name val="ＭＳ ゴシック"/>
      <family val="3"/>
      <charset val="128"/>
    </font>
    <font>
      <b/>
      <sz val="12"/>
      <name val="ＭＳ 明朝"/>
      <family val="1"/>
      <charset val="128"/>
    </font>
    <font>
      <sz val="11"/>
      <name val="ＭＳ 明朝"/>
      <family val="1"/>
      <charset val="128"/>
    </font>
    <font>
      <b/>
      <sz val="12"/>
      <color theme="1"/>
      <name val="ＭＳ 明朝"/>
      <family val="1"/>
      <charset val="128"/>
    </font>
    <font>
      <b/>
      <sz val="6"/>
      <color theme="1"/>
      <name val="ＭＳ 明朝"/>
      <family val="1"/>
      <charset val="128"/>
    </font>
    <font>
      <sz val="8"/>
      <color theme="1"/>
      <name val="ＭＳ 明朝"/>
      <family val="1"/>
      <charset val="128"/>
    </font>
    <font>
      <b/>
      <sz val="6"/>
      <name val="ＭＳ 明朝"/>
      <family val="1"/>
      <charset val="128"/>
    </font>
    <font>
      <sz val="6"/>
      <name val="ＭＳ 明朝"/>
      <family val="1"/>
      <charset val="128"/>
    </font>
    <font>
      <b/>
      <sz val="14"/>
      <color theme="1"/>
      <name val="ＭＳ 明朝"/>
      <family val="1"/>
      <charset val="128"/>
    </font>
    <font>
      <b/>
      <sz val="10"/>
      <color rgb="FFFF0000"/>
      <name val="ＭＳ Ｐゴシック"/>
      <family val="3"/>
      <charset val="128"/>
    </font>
    <font>
      <sz val="9"/>
      <color theme="1"/>
      <name val="ＭＳ Ｐゴシック"/>
      <family val="2"/>
      <charset val="128"/>
      <scheme val="minor"/>
    </font>
    <font>
      <sz val="9"/>
      <color rgb="FFFF0000"/>
      <name val="ＭＳ 明朝"/>
      <family val="1"/>
      <charset val="128"/>
    </font>
    <font>
      <sz val="11"/>
      <color rgb="FF0070C0"/>
      <name val="ＭＳ Ｐゴシック"/>
      <family val="3"/>
      <charset val="128"/>
    </font>
    <font>
      <sz val="11"/>
      <color theme="1"/>
      <name val="ＭＳ Ｐゴシック"/>
      <family val="2"/>
      <scheme val="minor"/>
    </font>
    <font>
      <sz val="12"/>
      <name val="ＭＳ ゴシック"/>
      <family val="3"/>
      <charset val="128"/>
    </font>
    <font>
      <b/>
      <sz val="16"/>
      <color theme="1"/>
      <name val="ＭＳ Ｐゴシック"/>
      <family val="3"/>
      <charset val="128"/>
      <scheme val="minor"/>
    </font>
    <font>
      <b/>
      <sz val="14"/>
      <color rgb="FFFF0000"/>
      <name val="ＭＳ Ｐゴシック"/>
      <family val="3"/>
      <charset val="128"/>
    </font>
    <font>
      <sz val="6"/>
      <name val="ＭＳ Ｐゴシック"/>
      <family val="3"/>
      <charset val="128"/>
      <scheme val="minor"/>
    </font>
    <font>
      <sz val="12"/>
      <name val="ＭＳ Ｐゴシック"/>
      <family val="2"/>
      <scheme val="minor"/>
    </font>
    <font>
      <u/>
      <sz val="11"/>
      <color theme="10"/>
      <name val="ＭＳ Ｐゴシック"/>
      <family val="2"/>
      <charset val="128"/>
      <scheme val="minor"/>
    </font>
    <font>
      <u/>
      <sz val="12"/>
      <color theme="10"/>
      <name val="ＭＳ Ｐゴシック"/>
      <family val="2"/>
      <charset val="128"/>
      <scheme val="minor"/>
    </font>
    <font>
      <sz val="12"/>
      <color theme="1"/>
      <name val="ＭＳ Ｐゴシック"/>
      <family val="2"/>
      <scheme val="minor"/>
    </font>
    <font>
      <b/>
      <sz val="12"/>
      <color rgb="FFFF0000"/>
      <name val="ＭＳ ゴシック"/>
      <family val="3"/>
      <charset val="128"/>
    </font>
    <font>
      <sz val="12"/>
      <color rgb="FFFF0000"/>
      <name val="ＭＳ ゴシック"/>
      <family val="3"/>
      <charset val="128"/>
    </font>
    <font>
      <sz val="11"/>
      <color theme="1"/>
      <name val="ＭＳ Ｐゴシック"/>
      <family val="3"/>
      <charset val="128"/>
      <scheme val="minor"/>
    </font>
    <font>
      <sz val="12"/>
      <name val="ＭＳ Ｐゴシック"/>
      <family val="3"/>
      <charset val="128"/>
      <scheme val="minor"/>
    </font>
    <font>
      <sz val="12"/>
      <color theme="1"/>
      <name val="ＭＳ Ｐゴシック"/>
      <family val="3"/>
      <charset val="128"/>
      <scheme val="minor"/>
    </font>
    <font>
      <sz val="11"/>
      <name val="ＭＳ ゴシック"/>
      <family val="3"/>
      <charset val="128"/>
    </font>
    <font>
      <sz val="14"/>
      <color theme="1"/>
      <name val="ＭＳ Ｐゴシック"/>
      <family val="2"/>
      <scheme val="minor"/>
    </font>
    <font>
      <sz val="14"/>
      <color theme="1"/>
      <name val="ＭＳ Ｐゴシック"/>
      <family val="3"/>
      <charset val="128"/>
      <scheme val="minor"/>
    </font>
    <font>
      <b/>
      <sz val="9"/>
      <color rgb="FFFF0000"/>
      <name val="ＭＳ ゴシック"/>
      <family val="3"/>
      <charset val="128"/>
    </font>
    <font>
      <b/>
      <sz val="8"/>
      <color rgb="FFFF0000"/>
      <name val="ＭＳ 明朝"/>
      <family val="1"/>
      <charset val="128"/>
    </font>
    <font>
      <sz val="11"/>
      <name val="ＭＳ Ｐゴシック"/>
      <family val="2"/>
      <scheme val="minor"/>
    </font>
    <font>
      <sz val="14"/>
      <name val="ＭＳ ゴシック"/>
      <family val="3"/>
      <charset val="128"/>
    </font>
    <font>
      <b/>
      <sz val="11"/>
      <name val="ＭＳ Ｐゴシック"/>
      <family val="3"/>
      <charset val="128"/>
      <scheme val="minor"/>
    </font>
    <font>
      <b/>
      <sz val="11"/>
      <color rgb="FFFF0000"/>
      <name val="ＭＳ Ｐゴシック"/>
      <family val="3"/>
      <charset val="128"/>
    </font>
    <font>
      <b/>
      <sz val="11"/>
      <color theme="1"/>
      <name val="ＭＳ Ｐゴシック"/>
      <family val="3"/>
      <charset val="128"/>
      <scheme val="minor"/>
    </font>
    <font>
      <b/>
      <sz val="11"/>
      <name val="ＭＳ ゴシック"/>
      <family val="3"/>
      <charset val="128"/>
    </font>
    <font>
      <b/>
      <sz val="11"/>
      <color rgb="FFFFFF00"/>
      <name val="ＭＳ Ｐゴシック"/>
      <family val="3"/>
      <charset val="128"/>
      <scheme val="minor"/>
    </font>
    <font>
      <b/>
      <u/>
      <sz val="14"/>
      <color theme="10"/>
      <name val="ＭＳ Ｐゴシック"/>
      <family val="3"/>
      <charset val="128"/>
      <scheme val="minor"/>
    </font>
    <font>
      <b/>
      <sz val="9"/>
      <color theme="1"/>
      <name val="ＭＳ Ｐゴシック"/>
      <family val="3"/>
      <charset val="128"/>
      <scheme val="minor"/>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CCFF"/>
        <bgColor indexed="64"/>
      </patternFill>
    </fill>
    <fill>
      <patternFill patternType="solid">
        <fgColor rgb="FFCCFF99"/>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249977111117893"/>
        <bgColor indexed="64"/>
      </patternFill>
    </fill>
    <fill>
      <patternFill patternType="gray0625">
        <bgColor theme="0"/>
      </patternFill>
    </fill>
    <fill>
      <patternFill patternType="solid">
        <fgColor theme="4" tint="0.79998168889431442"/>
        <bgColor indexed="64"/>
      </patternFill>
    </fill>
    <fill>
      <patternFill patternType="solid">
        <fgColor theme="1"/>
        <bgColor indexed="64"/>
      </patternFill>
    </fill>
  </fills>
  <borders count="480">
    <border>
      <left/>
      <right/>
      <top/>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bottom style="double">
        <color indexed="64"/>
      </bottom>
      <diagonal/>
    </border>
    <border>
      <left/>
      <right style="medium">
        <color indexed="64"/>
      </right>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medium">
        <color auto="1"/>
      </left>
      <right style="double">
        <color auto="1"/>
      </right>
      <top style="medium">
        <color auto="1"/>
      </top>
      <bottom/>
      <diagonal/>
    </border>
    <border>
      <left style="medium">
        <color auto="1"/>
      </left>
      <right style="double">
        <color auto="1"/>
      </right>
      <top/>
      <bottom/>
      <diagonal/>
    </border>
    <border>
      <left style="thin">
        <color auto="1"/>
      </left>
      <right style="thin">
        <color auto="1"/>
      </right>
      <top/>
      <bottom style="medium">
        <color auto="1"/>
      </bottom>
      <diagonal/>
    </border>
    <border>
      <left style="double">
        <color auto="1"/>
      </left>
      <right/>
      <top style="medium">
        <color auto="1"/>
      </top>
      <bottom/>
      <diagonal/>
    </border>
    <border>
      <left style="double">
        <color auto="1"/>
      </left>
      <right style="dotted">
        <color auto="1"/>
      </right>
      <top style="thin">
        <color auto="1"/>
      </top>
      <bottom style="medium">
        <color indexed="64"/>
      </bottom>
      <diagonal/>
    </border>
    <border>
      <left style="dotted">
        <color auto="1"/>
      </left>
      <right style="thin">
        <color indexed="64"/>
      </right>
      <top style="thin">
        <color auto="1"/>
      </top>
      <bottom style="medium">
        <color indexed="64"/>
      </bottom>
      <diagonal/>
    </border>
    <border>
      <left style="thin">
        <color auto="1"/>
      </left>
      <right style="dotted">
        <color auto="1"/>
      </right>
      <top style="thin">
        <color auto="1"/>
      </top>
      <bottom style="medium">
        <color auto="1"/>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bottom style="double">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top style="thin">
        <color rgb="FF000000"/>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dotted">
        <color indexed="64"/>
      </left>
      <right style="medium">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dotted">
        <color auto="1"/>
      </left>
      <right/>
      <top style="dotted">
        <color auto="1"/>
      </top>
      <bottom/>
      <diagonal/>
    </border>
    <border>
      <left style="dotted">
        <color indexed="64"/>
      </left>
      <right/>
      <top style="dotted">
        <color indexed="64"/>
      </top>
      <bottom style="dotted">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hair">
        <color indexed="64"/>
      </left>
      <right style="thin">
        <color indexed="64"/>
      </right>
      <top style="dotted">
        <color indexed="64"/>
      </top>
      <bottom style="dotted">
        <color indexed="64"/>
      </bottom>
      <diagonal/>
    </border>
    <border>
      <left style="dotted">
        <color indexed="64"/>
      </left>
      <right/>
      <top/>
      <bottom style="thin">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dotted">
        <color indexed="64"/>
      </top>
      <bottom style="hair">
        <color indexed="64"/>
      </bottom>
      <diagonal/>
    </border>
    <border>
      <left style="thin">
        <color indexed="64"/>
      </left>
      <right style="medium">
        <color indexed="64"/>
      </right>
      <top/>
      <bottom style="medium">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dotted">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diagonalUp="1">
      <left style="medium">
        <color indexed="64"/>
      </left>
      <right style="thin">
        <color indexed="64"/>
      </right>
      <top style="medium">
        <color indexed="64"/>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dotted">
        <color indexed="64"/>
      </bottom>
      <diagonal/>
    </border>
    <border diagonalUp="1">
      <left style="thin">
        <color indexed="64"/>
      </left>
      <right style="thin">
        <color indexed="64"/>
      </right>
      <top/>
      <bottom style="medium">
        <color indexed="64"/>
      </bottom>
      <diagonal style="thin">
        <color indexed="64"/>
      </diagonal>
    </border>
    <border>
      <left style="double">
        <color auto="1"/>
      </left>
      <right/>
      <top/>
      <bottom style="thin">
        <color indexed="64"/>
      </bottom>
      <diagonal/>
    </border>
    <border>
      <left style="medium">
        <color auto="1"/>
      </left>
      <right style="double">
        <color auto="1"/>
      </right>
      <top/>
      <bottom style="thin">
        <color auto="1"/>
      </bottom>
      <diagonal/>
    </border>
    <border>
      <left/>
      <right/>
      <top/>
      <bottom style="hair">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dott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right style="thin">
        <color indexed="64"/>
      </right>
      <top style="dashed">
        <color indexed="64"/>
      </top>
      <bottom style="medium">
        <color indexed="64"/>
      </bottom>
      <diagonal/>
    </border>
    <border>
      <left style="medium">
        <color auto="1"/>
      </left>
      <right style="double">
        <color auto="1"/>
      </right>
      <top style="thin">
        <color auto="1"/>
      </top>
      <bottom style="dashed">
        <color auto="1"/>
      </bottom>
      <diagonal/>
    </border>
    <border>
      <left style="medium">
        <color auto="1"/>
      </left>
      <right style="double">
        <color auto="1"/>
      </right>
      <top style="dashed">
        <color auto="1"/>
      </top>
      <bottom style="dashed">
        <color auto="1"/>
      </bottom>
      <diagonal/>
    </border>
    <border>
      <left style="medium">
        <color auto="1"/>
      </left>
      <right style="double">
        <color auto="1"/>
      </right>
      <top style="dashed">
        <color auto="1"/>
      </top>
      <bottom style="medium">
        <color auto="1"/>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ashed">
        <color indexed="64"/>
      </bottom>
      <diagonal/>
    </border>
    <border>
      <left style="dotted">
        <color indexed="64"/>
      </left>
      <right style="dotted">
        <color indexed="64"/>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thin">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style="dotted">
        <color indexed="64"/>
      </left>
      <right style="thin">
        <color indexed="64"/>
      </right>
      <top style="dashed">
        <color indexed="64"/>
      </top>
      <bottom style="dashed">
        <color indexed="64"/>
      </bottom>
      <diagonal/>
    </border>
    <border>
      <left style="thin">
        <color indexed="64"/>
      </left>
      <right style="dotted">
        <color indexed="64"/>
      </right>
      <top style="dashed">
        <color indexed="64"/>
      </top>
      <bottom style="thin">
        <color indexed="64"/>
      </bottom>
      <diagonal/>
    </border>
    <border>
      <left style="dotted">
        <color indexed="64"/>
      </left>
      <right style="dotted">
        <color indexed="64"/>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diagonalUp="1">
      <left style="thin">
        <color indexed="64"/>
      </left>
      <right style="dotted">
        <color indexed="64"/>
      </right>
      <top style="thin">
        <color indexed="64"/>
      </top>
      <bottom style="thin">
        <color indexed="64"/>
      </bottom>
      <diagonal style="thin">
        <color indexed="64"/>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style="hair">
        <color indexed="64"/>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dotted">
        <color indexed="64"/>
      </right>
      <top style="hair">
        <color indexed="64"/>
      </top>
      <bottom/>
      <diagonal/>
    </border>
    <border>
      <left style="dotted">
        <color indexed="64"/>
      </left>
      <right style="dotted">
        <color indexed="64"/>
      </right>
      <top style="hair">
        <color indexed="64"/>
      </top>
      <bottom/>
      <diagonal/>
    </border>
    <border>
      <left style="dotted">
        <color indexed="64"/>
      </left>
      <right style="medium">
        <color indexed="64"/>
      </right>
      <top style="hair">
        <color indexed="64"/>
      </top>
      <bottom/>
      <diagonal/>
    </border>
    <border>
      <left style="medium">
        <color indexed="64"/>
      </left>
      <right style="medium">
        <color indexed="64"/>
      </right>
      <top style="hair">
        <color indexed="64"/>
      </top>
      <bottom/>
      <diagonal/>
    </border>
    <border>
      <left style="dotted">
        <color indexed="64"/>
      </left>
      <right style="dotted">
        <color indexed="64"/>
      </right>
      <top style="hair">
        <color indexed="64"/>
      </top>
      <bottom style="thin">
        <color indexed="64"/>
      </bottom>
      <diagonal/>
    </border>
    <border>
      <left style="dotted">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dotted">
        <color indexed="64"/>
      </right>
      <top style="dotted">
        <color indexed="64"/>
      </top>
      <bottom style="hair">
        <color indexed="64"/>
      </bottom>
      <diagonal/>
    </border>
    <border>
      <left style="dotted">
        <color indexed="64"/>
      </left>
      <right/>
      <top style="dotted">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dotted">
        <color indexed="64"/>
      </right>
      <top style="hair">
        <color indexed="64"/>
      </top>
      <bottom style="medium">
        <color indexed="64"/>
      </bottom>
      <diagonal/>
    </border>
    <border>
      <left style="dotted">
        <color indexed="64"/>
      </left>
      <right style="hair">
        <color indexed="64"/>
      </right>
      <top style="hair">
        <color indexed="64"/>
      </top>
      <bottom style="medium">
        <color indexed="64"/>
      </bottom>
      <diagonal/>
    </border>
    <border>
      <left style="thin">
        <color indexed="64"/>
      </left>
      <right style="hair">
        <color indexed="64"/>
      </right>
      <top style="medium">
        <color indexed="64"/>
      </top>
      <bottom style="dashed">
        <color indexed="64"/>
      </bottom>
      <diagonal/>
    </border>
    <border>
      <left style="hair">
        <color indexed="64"/>
      </left>
      <right style="hair">
        <color indexed="64"/>
      </right>
      <top style="medium">
        <color indexed="64"/>
      </top>
      <bottom style="dashed">
        <color indexed="64"/>
      </bottom>
      <diagonal/>
    </border>
    <border>
      <left style="dotted">
        <color indexed="64"/>
      </left>
      <right style="hair">
        <color indexed="64"/>
      </right>
      <top style="medium">
        <color indexed="64"/>
      </top>
      <bottom style="dashed">
        <color indexed="64"/>
      </bottom>
      <diagonal/>
    </border>
    <border>
      <left style="hair">
        <color indexed="64"/>
      </left>
      <right style="dotted">
        <color indexed="64"/>
      </right>
      <top style="medium">
        <color indexed="64"/>
      </top>
      <bottom style="dashed">
        <color indexed="64"/>
      </bottom>
      <diagonal/>
    </border>
    <border>
      <left style="thin">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dotted">
        <color indexed="64"/>
      </left>
      <right style="hair">
        <color indexed="64"/>
      </right>
      <top style="dashed">
        <color indexed="64"/>
      </top>
      <bottom style="dashed">
        <color indexed="64"/>
      </bottom>
      <diagonal/>
    </border>
    <border>
      <left style="hair">
        <color indexed="64"/>
      </left>
      <right style="dotted">
        <color indexed="64"/>
      </right>
      <top style="dashed">
        <color indexed="64"/>
      </top>
      <bottom style="dashed">
        <color indexed="64"/>
      </bottom>
      <diagonal/>
    </border>
    <border>
      <left style="thin">
        <color indexed="64"/>
      </left>
      <right style="hair">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style="dotted">
        <color indexed="64"/>
      </left>
      <right style="hair">
        <color indexed="64"/>
      </right>
      <top style="dashed">
        <color indexed="64"/>
      </top>
      <bottom style="thin">
        <color indexed="64"/>
      </bottom>
      <diagonal/>
    </border>
    <border>
      <left style="hair">
        <color indexed="64"/>
      </left>
      <right style="dotted">
        <color indexed="64"/>
      </right>
      <top style="dashed">
        <color indexed="64"/>
      </top>
      <bottom style="thin">
        <color indexed="64"/>
      </bottom>
      <diagonal/>
    </border>
    <border diagonalUp="1">
      <left style="medium">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double">
        <color indexed="64"/>
      </left>
      <right style="double">
        <color indexed="64"/>
      </right>
      <top style="double">
        <color indexed="64"/>
      </top>
      <bottom style="medium">
        <color indexed="64"/>
      </bottom>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left style="double">
        <color indexed="64"/>
      </left>
      <right style="double">
        <color indexed="64"/>
      </right>
      <top/>
      <bottom style="thin">
        <color indexed="64"/>
      </bottom>
      <diagonal/>
    </border>
    <border>
      <left style="medium">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diagonalUp="1">
      <left style="thin">
        <color indexed="64"/>
      </left>
      <right style="medium">
        <color indexed="64"/>
      </right>
      <top style="thin">
        <color indexed="64"/>
      </top>
      <bottom style="thin">
        <color indexed="64"/>
      </bottom>
      <diagonal style="thin">
        <color indexed="64"/>
      </diagonal>
    </border>
    <border>
      <left style="double">
        <color indexed="64"/>
      </left>
      <right style="double">
        <color indexed="64"/>
      </right>
      <top style="thin">
        <color indexed="64"/>
      </top>
      <bottom style="thin">
        <color indexed="64"/>
      </bottom>
      <diagonal/>
    </border>
    <border>
      <left style="medium">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right style="thin">
        <color indexed="64"/>
      </right>
      <top/>
      <bottom style="dashed">
        <color indexed="64"/>
      </bottom>
      <diagonal/>
    </border>
    <border>
      <left style="thin">
        <color indexed="64"/>
      </left>
      <right/>
      <top/>
      <bottom style="dashed">
        <color indexed="64"/>
      </bottom>
      <diagonal/>
    </border>
    <border>
      <left style="hair">
        <color indexed="64"/>
      </left>
      <right style="thin">
        <color indexed="64"/>
      </right>
      <top/>
      <bottom style="dashed">
        <color indexed="64"/>
      </bottom>
      <diagonal/>
    </border>
    <border>
      <left style="hair">
        <color indexed="64"/>
      </left>
      <right style="hair">
        <color indexed="64"/>
      </right>
      <top/>
      <bottom style="dashed">
        <color indexed="64"/>
      </bottom>
      <diagonal/>
    </border>
    <border>
      <left style="thin">
        <color indexed="64"/>
      </left>
      <right style="thin">
        <color indexed="64"/>
      </right>
      <top/>
      <bottom style="dashed">
        <color indexed="64"/>
      </bottom>
      <diagonal/>
    </border>
    <border>
      <left style="hair">
        <color indexed="64"/>
      </left>
      <right style="thin">
        <color indexed="64"/>
      </right>
      <top style="dashed">
        <color indexed="64"/>
      </top>
      <bottom style="dashed">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medium">
        <color indexed="64"/>
      </right>
      <top/>
      <bottom style="thin">
        <color indexed="64"/>
      </bottom>
      <diagonal style="thin">
        <color indexed="64"/>
      </diagonal>
    </border>
    <border>
      <left style="double">
        <color indexed="64"/>
      </left>
      <right style="double">
        <color indexed="64"/>
      </right>
      <top style="thin">
        <color indexed="64"/>
      </top>
      <bottom style="double">
        <color indexed="64"/>
      </bottom>
      <diagonal/>
    </border>
    <border>
      <left/>
      <right/>
      <top style="double">
        <color indexed="64"/>
      </top>
      <bottom/>
      <diagonal/>
    </border>
    <border>
      <left style="hair">
        <color indexed="64"/>
      </left>
      <right style="thin">
        <color indexed="64"/>
      </right>
      <top style="dashed">
        <color indexed="64"/>
      </top>
      <bottom style="thin">
        <color indexed="64"/>
      </bottom>
      <diagonal/>
    </border>
    <border diagonalUp="1">
      <left style="thin">
        <color indexed="64"/>
      </left>
      <right style="medium">
        <color indexed="64"/>
      </right>
      <top/>
      <bottom style="medium">
        <color indexed="64"/>
      </bottom>
      <diagonal style="thin">
        <color indexed="64"/>
      </diagonal>
    </border>
    <border>
      <left style="hair">
        <color indexed="64"/>
      </left>
      <right style="thin">
        <color indexed="64"/>
      </right>
      <top style="medium">
        <color indexed="64"/>
      </top>
      <bottom style="dashed">
        <color indexed="64"/>
      </bottom>
      <diagonal/>
    </border>
    <border>
      <left style="thin">
        <color indexed="64"/>
      </left>
      <right style="dashed">
        <color indexed="64"/>
      </right>
      <top style="medium">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top style="medium">
        <color indexed="64"/>
      </top>
      <bottom style="medium">
        <color indexed="64"/>
      </bottom>
      <diagonal/>
    </border>
    <border>
      <left style="double">
        <color indexed="64"/>
      </left>
      <right style="double">
        <color indexed="64"/>
      </right>
      <top style="medium">
        <color indexed="64"/>
      </top>
      <bottom style="thin">
        <color indexed="64"/>
      </bottom>
      <diagonal/>
    </border>
    <border>
      <left style="thin">
        <color indexed="64"/>
      </left>
      <right style="thin">
        <color indexed="64"/>
      </right>
      <top style="dashed">
        <color indexed="64"/>
      </top>
      <bottom/>
      <diagonal/>
    </border>
    <border>
      <left/>
      <right style="thin">
        <color indexed="64"/>
      </right>
      <top style="dashed">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hair">
        <color indexed="64"/>
      </top>
      <bottom/>
      <diagonal/>
    </border>
    <border>
      <left/>
      <right style="dotted">
        <color indexed="64"/>
      </right>
      <top style="dotted">
        <color indexed="64"/>
      </top>
      <bottom/>
      <diagonal/>
    </border>
    <border>
      <left style="thin">
        <color indexed="64"/>
      </left>
      <right style="dotted">
        <color indexed="64"/>
      </right>
      <top style="dotted">
        <color indexed="64"/>
      </top>
      <bottom/>
      <diagonal/>
    </border>
    <border>
      <left style="hair">
        <color indexed="64"/>
      </left>
      <right/>
      <top/>
      <bottom style="medium">
        <color indexed="64"/>
      </bottom>
      <diagonal/>
    </border>
    <border>
      <left/>
      <right style="dotted">
        <color indexed="64"/>
      </right>
      <top/>
      <bottom style="medium">
        <color indexed="64"/>
      </bottom>
      <diagonal/>
    </border>
    <border>
      <left/>
      <right/>
      <top style="hair">
        <color indexed="64"/>
      </top>
      <bottom style="medium">
        <color indexed="64"/>
      </bottom>
      <diagonal/>
    </border>
    <border>
      <left style="thin">
        <color indexed="64"/>
      </left>
      <right style="dotted">
        <color indexed="64"/>
      </right>
      <top/>
      <bottom style="medium">
        <color auto="1"/>
      </bottom>
      <diagonal/>
    </border>
    <border>
      <left style="thin">
        <color indexed="64"/>
      </left>
      <right style="hair">
        <color indexed="64"/>
      </right>
      <top style="medium">
        <color indexed="64"/>
      </top>
      <bottom/>
      <diagonal/>
    </border>
    <border>
      <left style="hair">
        <color indexed="64"/>
      </left>
      <right/>
      <top style="medium">
        <color indexed="64"/>
      </top>
      <bottom style="dashed">
        <color indexed="64"/>
      </bottom>
      <diagonal/>
    </border>
    <border>
      <left/>
      <right style="dotted">
        <color indexed="64"/>
      </right>
      <top style="medium">
        <color indexed="64"/>
      </top>
      <bottom/>
      <diagonal/>
    </border>
    <border>
      <left/>
      <right/>
      <top style="medium">
        <color indexed="64"/>
      </top>
      <bottom style="dashed">
        <color indexed="64"/>
      </bottom>
      <diagonal/>
    </border>
    <border>
      <left/>
      <right style="hair">
        <color indexed="64"/>
      </right>
      <top style="medium">
        <color indexed="64"/>
      </top>
      <bottom/>
      <diagonal/>
    </border>
    <border>
      <left style="thin">
        <color indexed="64"/>
      </left>
      <right style="dotted">
        <color indexed="64"/>
      </right>
      <top style="medium">
        <color indexed="64"/>
      </top>
      <bottom/>
      <diagonal/>
    </border>
    <border>
      <left style="double">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thin">
        <color indexed="64"/>
      </left>
      <right style="hair">
        <color indexed="64"/>
      </right>
      <top/>
      <bottom/>
      <diagonal/>
    </border>
    <border>
      <left style="hair">
        <color indexed="64"/>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style="dashed">
        <color indexed="64"/>
      </top>
      <bottom style="hair">
        <color indexed="64"/>
      </bottom>
      <diagonal/>
    </border>
    <border>
      <left/>
      <right style="dotted">
        <color indexed="64"/>
      </right>
      <top style="dashed">
        <color indexed="64"/>
      </top>
      <bottom style="hair">
        <color indexed="64"/>
      </bottom>
      <diagonal/>
    </border>
    <border>
      <left style="dotted">
        <color indexed="64"/>
      </left>
      <right/>
      <top style="dashed">
        <color indexed="64"/>
      </top>
      <bottom style="hair">
        <color indexed="64"/>
      </bottom>
      <diagonal/>
    </border>
    <border>
      <left/>
      <right/>
      <top style="dashed">
        <color indexed="64"/>
      </top>
      <bottom style="hair">
        <color indexed="64"/>
      </bottom>
      <diagonal/>
    </border>
    <border>
      <left/>
      <right style="hair">
        <color indexed="64"/>
      </right>
      <top style="dashed">
        <color indexed="64"/>
      </top>
      <bottom style="hair">
        <color indexed="64"/>
      </bottom>
      <diagonal/>
    </border>
    <border>
      <left style="thin">
        <color indexed="64"/>
      </left>
      <right style="dotted">
        <color indexed="64"/>
      </right>
      <top style="dashed">
        <color indexed="64"/>
      </top>
      <bottom style="hair">
        <color indexed="64"/>
      </bottom>
      <diagonal/>
    </border>
    <border>
      <left style="double">
        <color indexed="64"/>
      </left>
      <right style="double">
        <color indexed="64"/>
      </right>
      <top style="thin">
        <color indexed="64"/>
      </top>
      <bottom/>
      <diagonal/>
    </border>
    <border>
      <left style="double">
        <color indexed="64"/>
      </left>
      <right/>
      <top style="thin">
        <color indexed="64"/>
      </top>
      <bottom style="thin">
        <color indexed="64"/>
      </bottom>
      <diagonal/>
    </border>
    <border>
      <left style="hair">
        <color indexed="64"/>
      </left>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hair">
        <color indexed="64"/>
      </left>
      <right/>
      <top/>
      <bottom/>
      <diagonal/>
    </border>
    <border>
      <left style="hair">
        <color indexed="64"/>
      </left>
      <right style="thin">
        <color indexed="64"/>
      </right>
      <top style="hair">
        <color indexed="64"/>
      </top>
      <bottom style="hair">
        <color indexed="64"/>
      </bottom>
      <diagonal/>
    </border>
    <border>
      <left/>
      <right style="hair">
        <color indexed="64"/>
      </right>
      <top/>
      <bottom/>
      <diagonal/>
    </border>
    <border>
      <left style="hair">
        <color indexed="64"/>
      </left>
      <right/>
      <top/>
      <bottom style="dashed">
        <color indexed="64"/>
      </bottom>
      <diagonal/>
    </border>
    <border>
      <left style="hair">
        <color indexed="64"/>
      </left>
      <right style="thin">
        <color indexed="64"/>
      </right>
      <top style="hair">
        <color indexed="64"/>
      </top>
      <bottom style="dashed">
        <color indexed="64"/>
      </bottom>
      <diagonal/>
    </border>
    <border>
      <left style="thin">
        <color indexed="64"/>
      </left>
      <right/>
      <top style="hair">
        <color indexed="64"/>
      </top>
      <bottom style="dashed">
        <color indexed="64"/>
      </bottom>
      <diagonal/>
    </border>
    <border>
      <left/>
      <right style="dotted">
        <color indexed="64"/>
      </right>
      <top style="hair">
        <color indexed="64"/>
      </top>
      <bottom style="dashed">
        <color indexed="64"/>
      </bottom>
      <diagonal/>
    </border>
    <border>
      <left/>
      <right/>
      <top style="hair">
        <color indexed="64"/>
      </top>
      <bottom style="dashed">
        <color indexed="64"/>
      </bottom>
      <diagonal/>
    </border>
    <border>
      <left/>
      <right style="hair">
        <color indexed="64"/>
      </right>
      <top style="hair">
        <color indexed="64"/>
      </top>
      <bottom style="dashed">
        <color indexed="64"/>
      </bottom>
      <diagonal/>
    </border>
    <border>
      <left/>
      <right style="thin">
        <color indexed="64"/>
      </right>
      <top style="hair">
        <color indexed="64"/>
      </top>
      <bottom style="dashed">
        <color indexed="64"/>
      </bottom>
      <diagonal/>
    </border>
    <border>
      <left style="thin">
        <color indexed="64"/>
      </left>
      <right style="dotted">
        <color indexed="64"/>
      </right>
      <top style="hair">
        <color indexed="64"/>
      </top>
      <bottom style="dashed">
        <color indexed="64"/>
      </bottom>
      <diagonal/>
    </border>
    <border>
      <left style="hair">
        <color indexed="64"/>
      </left>
      <right/>
      <top style="dashed">
        <color indexed="64"/>
      </top>
      <bottom/>
      <diagonal/>
    </border>
    <border>
      <left/>
      <right style="dotted">
        <color indexed="64"/>
      </right>
      <top style="dashed">
        <color indexed="64"/>
      </top>
      <bottom/>
      <diagonal/>
    </border>
    <border>
      <left/>
      <right/>
      <top style="dashed">
        <color indexed="64"/>
      </top>
      <bottom/>
      <diagonal/>
    </border>
    <border>
      <left style="thin">
        <color indexed="64"/>
      </left>
      <right style="dotted">
        <color indexed="64"/>
      </right>
      <top/>
      <bottom style="hair">
        <color indexed="64"/>
      </bottom>
      <diagonal/>
    </border>
    <border>
      <left/>
      <right style="dotted">
        <color indexed="64"/>
      </right>
      <top style="hair">
        <color indexed="64"/>
      </top>
      <bottom/>
      <diagonal/>
    </border>
    <border>
      <left/>
      <right style="hair">
        <color indexed="64"/>
      </right>
      <top style="hair">
        <color indexed="64"/>
      </top>
      <bottom/>
      <diagonal/>
    </border>
    <border>
      <left style="hair">
        <color indexed="64"/>
      </left>
      <right style="dotted">
        <color indexed="64"/>
      </right>
      <top style="hair">
        <color indexed="64"/>
      </top>
      <bottom/>
      <diagonal/>
    </border>
    <border>
      <left style="thin">
        <color indexed="64"/>
      </left>
      <right style="hair">
        <color indexed="64"/>
      </right>
      <top/>
      <bottom style="dashed">
        <color indexed="64"/>
      </bottom>
      <diagonal/>
    </border>
    <border>
      <left style="hair">
        <color indexed="64"/>
      </left>
      <right style="dotted">
        <color indexed="64"/>
      </right>
      <top style="hair">
        <color indexed="64"/>
      </top>
      <bottom style="dashed">
        <color indexed="64"/>
      </bottom>
      <diagonal/>
    </border>
    <border>
      <left style="thin">
        <color indexed="64"/>
      </left>
      <right style="hair">
        <color indexed="64"/>
      </right>
      <top/>
      <bottom style="thin">
        <color indexed="64"/>
      </bottom>
      <diagonal/>
    </border>
    <border>
      <left style="hair">
        <color indexed="64"/>
      </left>
      <right/>
      <top style="dashed">
        <color indexed="64"/>
      </top>
      <bottom style="thin">
        <color indexed="64"/>
      </bottom>
      <diagonal/>
    </border>
    <border>
      <left/>
      <right style="dotted">
        <color indexed="64"/>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thin">
        <color indexed="64"/>
      </top>
      <bottom/>
      <diagonal/>
    </border>
    <border>
      <left/>
      <right style="hair">
        <color indexed="64"/>
      </right>
      <top/>
      <bottom style="dashed">
        <color indexed="64"/>
      </bottom>
      <diagonal/>
    </border>
    <border>
      <left style="hair">
        <color indexed="64"/>
      </left>
      <right style="thin">
        <color indexed="64"/>
      </right>
      <top style="dashed">
        <color indexed="64"/>
      </top>
      <bottom/>
      <diagonal/>
    </border>
    <border>
      <left style="dotted">
        <color indexed="64"/>
      </left>
      <right style="dotted">
        <color indexed="64"/>
      </right>
      <top style="dashed">
        <color indexed="64"/>
      </top>
      <bottom style="hair">
        <color indexed="64"/>
      </bottom>
      <diagonal/>
    </border>
    <border>
      <left style="thin">
        <color indexed="64"/>
      </left>
      <right style="dotted">
        <color indexed="64"/>
      </right>
      <top style="dashed">
        <color indexed="64"/>
      </top>
      <bottom/>
      <diagonal/>
    </border>
    <border>
      <left style="dotted">
        <color indexed="64"/>
      </left>
      <right style="thin">
        <color indexed="64"/>
      </right>
      <top style="dashed">
        <color indexed="64"/>
      </top>
      <bottom/>
      <diagonal/>
    </border>
    <border>
      <left style="hair">
        <color indexed="64"/>
      </left>
      <right style="thin">
        <color indexed="64"/>
      </right>
      <top/>
      <bottom/>
      <diagonal/>
    </border>
    <border>
      <left style="dotted">
        <color indexed="64"/>
      </left>
      <right style="dotted">
        <color indexed="64"/>
      </right>
      <top style="hair">
        <color indexed="64"/>
      </top>
      <bottom style="hair">
        <color indexed="64"/>
      </bottom>
      <diagonal/>
    </border>
    <border>
      <left style="thin">
        <color indexed="64"/>
      </left>
      <right style="dotted">
        <color indexed="64"/>
      </right>
      <top/>
      <bottom/>
      <diagonal/>
    </border>
    <border>
      <left style="dotted">
        <color indexed="64"/>
      </left>
      <right style="thin">
        <color indexed="64"/>
      </right>
      <top/>
      <bottom/>
      <diagonal/>
    </border>
    <border>
      <left style="double">
        <color indexed="64"/>
      </left>
      <right style="double">
        <color indexed="64"/>
      </right>
      <top/>
      <bottom/>
      <diagonal/>
    </border>
    <border>
      <left style="dotted">
        <color indexed="64"/>
      </left>
      <right style="dotted">
        <color indexed="64"/>
      </right>
      <top style="hair">
        <color indexed="64"/>
      </top>
      <bottom style="dashed">
        <color indexed="64"/>
      </bottom>
      <diagonal/>
    </border>
    <border>
      <left style="dotted">
        <color indexed="64"/>
      </left>
      <right/>
      <top style="hair">
        <color indexed="64"/>
      </top>
      <bottom style="dashed">
        <color indexed="64"/>
      </bottom>
      <diagonal/>
    </border>
    <border>
      <left style="dotted">
        <color indexed="64"/>
      </left>
      <right style="thin">
        <color indexed="64"/>
      </right>
      <top/>
      <bottom style="dashed">
        <color indexed="64"/>
      </bottom>
      <diagonal/>
    </border>
    <border>
      <left style="hair">
        <color indexed="64"/>
      </left>
      <right style="thin">
        <color indexed="64"/>
      </right>
      <top style="dashed">
        <color indexed="64"/>
      </top>
      <bottom style="hair">
        <color indexed="64"/>
      </bottom>
      <diagonal/>
    </border>
    <border>
      <left style="thin">
        <color indexed="64"/>
      </left>
      <right/>
      <top style="dashed">
        <color indexed="64"/>
      </top>
      <bottom/>
      <diagonal/>
    </border>
    <border>
      <left/>
      <right style="hair">
        <color indexed="64"/>
      </right>
      <top style="dashed">
        <color indexed="64"/>
      </top>
      <bottom/>
      <diagonal/>
    </border>
    <border>
      <left style="hair">
        <color indexed="64"/>
      </left>
      <right/>
      <top/>
      <bottom style="thin">
        <color indexed="64"/>
      </bottom>
      <diagonal/>
    </border>
    <border>
      <left style="dotted">
        <color indexed="64"/>
      </left>
      <right/>
      <top style="hair">
        <color indexed="64"/>
      </top>
      <bottom/>
      <diagonal/>
    </border>
    <border>
      <left style="hair">
        <color indexed="64"/>
      </left>
      <right/>
      <top style="thin">
        <color indexed="64"/>
      </top>
      <bottom/>
      <diagonal/>
    </border>
    <border>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right style="hair">
        <color indexed="64"/>
      </right>
      <top style="thin">
        <color indexed="64"/>
      </top>
      <bottom/>
      <diagonal/>
    </border>
    <border diagonalUp="1">
      <left style="double">
        <color indexed="64"/>
      </left>
      <right style="double">
        <color indexed="64"/>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dotted">
        <color indexed="64"/>
      </right>
      <top style="thin">
        <color indexed="64"/>
      </top>
      <bottom style="hair">
        <color indexed="64"/>
      </bottom>
      <diagonal/>
    </border>
    <border>
      <left style="dotted">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dotted">
        <color indexed="64"/>
      </left>
      <right/>
      <top style="dashed">
        <color indexed="64"/>
      </top>
      <bottom style="thin">
        <color indexed="64"/>
      </bottom>
      <diagonal/>
    </border>
    <border>
      <left style="hair">
        <color indexed="64"/>
      </left>
      <right style="medium">
        <color indexed="64"/>
      </right>
      <top/>
      <bottom/>
      <diagonal/>
    </border>
    <border>
      <left style="hair">
        <color indexed="64"/>
      </left>
      <right/>
      <top style="hair">
        <color indexed="64"/>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hair">
        <color indexed="64"/>
      </left>
      <right style="thin">
        <color indexed="64"/>
      </right>
      <top style="medium">
        <color indexed="64"/>
      </top>
      <bottom style="dotted">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diagonalUp="1">
      <left style="medium">
        <color indexed="64"/>
      </left>
      <right style="medium">
        <color indexed="64"/>
      </right>
      <top style="medium">
        <color indexed="64"/>
      </top>
      <bottom style="thin">
        <color indexed="64"/>
      </bottom>
      <diagonal style="thin">
        <color indexed="64"/>
      </diagonal>
    </border>
    <border>
      <left style="thin">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top style="dotted">
        <color indexed="64"/>
      </top>
      <bottom style="dotted">
        <color indexed="64"/>
      </bottom>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diagonal/>
    </border>
    <border diagonalUp="1">
      <left style="medium">
        <color indexed="64"/>
      </left>
      <right style="medium">
        <color indexed="64"/>
      </right>
      <top style="thin">
        <color indexed="64"/>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hair">
        <color indexed="64"/>
      </left>
      <right/>
      <top style="dotted">
        <color indexed="64"/>
      </top>
      <bottom style="thin">
        <color indexed="64"/>
      </bottom>
      <diagonal/>
    </border>
    <border diagonalUp="1">
      <left style="medium">
        <color indexed="64"/>
      </left>
      <right style="medium">
        <color indexed="64"/>
      </right>
      <top/>
      <bottom/>
      <diagonal style="thin">
        <color indexed="64"/>
      </diagonal>
    </border>
    <border diagonalUp="1">
      <left style="medium">
        <color indexed="64"/>
      </left>
      <right style="medium">
        <color indexed="64"/>
      </right>
      <top/>
      <bottom style="medium">
        <color indexed="64"/>
      </bottom>
      <diagonal style="thin">
        <color indexed="64"/>
      </diagonal>
    </border>
    <border>
      <left style="medium">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dashed">
        <color indexed="64"/>
      </top>
      <bottom/>
      <diagonal/>
    </border>
    <border>
      <left style="hair">
        <color indexed="64"/>
      </left>
      <right/>
      <top style="dotted">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dashed">
        <color indexed="64"/>
      </bottom>
      <diagonal/>
    </border>
    <border>
      <left style="hair">
        <color indexed="64"/>
      </left>
      <right style="thin">
        <color indexed="64"/>
      </right>
      <top style="thin">
        <color indexed="64"/>
      </top>
      <bottom style="dashed">
        <color indexed="64"/>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style="thin">
        <color indexed="64"/>
      </right>
      <top style="hair">
        <color indexed="64"/>
      </top>
      <bottom style="dashed">
        <color indexed="64"/>
      </bottom>
      <diagonal/>
    </border>
    <border>
      <left style="hair">
        <color indexed="64"/>
      </left>
      <right/>
      <top style="thin">
        <color indexed="64"/>
      </top>
      <bottom style="dashed">
        <color indexed="64"/>
      </bottom>
      <diagonal/>
    </border>
    <border>
      <left style="hair">
        <color indexed="64"/>
      </left>
      <right style="hair">
        <color indexed="64"/>
      </right>
      <top style="hair">
        <color indexed="64"/>
      </top>
      <bottom style="dashed">
        <color indexed="64"/>
      </bottom>
      <diagonal/>
    </border>
    <border>
      <left style="hair">
        <color indexed="64"/>
      </left>
      <right/>
      <top style="hair">
        <color indexed="64"/>
      </top>
      <bottom style="dashed">
        <color indexed="64"/>
      </bottom>
      <diagonal/>
    </border>
    <border>
      <left style="thin">
        <color indexed="64"/>
      </left>
      <right/>
      <top/>
      <bottom style="hair">
        <color indexed="64"/>
      </bottom>
      <diagonal/>
    </border>
    <border>
      <left style="hair">
        <color indexed="64"/>
      </left>
      <right style="dotted">
        <color indexed="64"/>
      </right>
      <top style="hair">
        <color indexed="64"/>
      </top>
      <bottom style="hair">
        <color indexed="64"/>
      </bottom>
      <diagonal/>
    </border>
    <border>
      <left/>
      <right style="hair">
        <color indexed="64"/>
      </right>
      <top style="thin">
        <color indexed="64"/>
      </top>
      <bottom style="thin">
        <color indexed="64"/>
      </bottom>
      <diagonal/>
    </border>
    <border>
      <left style="dotted">
        <color indexed="64"/>
      </left>
      <right style="thin">
        <color indexed="64"/>
      </right>
      <top style="medium">
        <color indexed="64"/>
      </top>
      <bottom/>
      <diagonal/>
    </border>
    <border>
      <left style="dotted">
        <color indexed="64"/>
      </left>
      <right style="thin">
        <color indexed="64"/>
      </right>
      <top style="dashed">
        <color indexed="64"/>
      </top>
      <bottom style="hair">
        <color indexed="64"/>
      </bottom>
      <diagonal/>
    </border>
    <border>
      <left style="dotted">
        <color indexed="64"/>
      </left>
      <right style="thin">
        <color indexed="64"/>
      </right>
      <top style="hair">
        <color indexed="64"/>
      </top>
      <bottom/>
      <diagonal/>
    </border>
    <border>
      <left style="dotted">
        <color indexed="64"/>
      </left>
      <right style="thin">
        <color indexed="64"/>
      </right>
      <top/>
      <bottom style="hair">
        <color indexed="64"/>
      </bottom>
      <diagonal/>
    </border>
    <border>
      <left style="dotted">
        <color indexed="64"/>
      </left>
      <right style="thin">
        <color indexed="64"/>
      </right>
      <top style="hair">
        <color indexed="64"/>
      </top>
      <bottom style="dash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hair">
        <color indexed="64"/>
      </bottom>
      <diagonal/>
    </border>
    <border>
      <left style="dotted">
        <color indexed="64"/>
      </left>
      <right style="dotted">
        <color indexed="64"/>
      </right>
      <top style="dashed">
        <color indexed="64"/>
      </top>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dotted">
        <color indexed="64"/>
      </left>
      <right style="thin">
        <color indexed="64"/>
      </right>
      <top style="medium">
        <color indexed="64"/>
      </top>
      <bottom style="dashed">
        <color indexed="64"/>
      </bottom>
      <diagonal/>
    </border>
    <border>
      <left style="dotted">
        <color indexed="64"/>
      </left>
      <right/>
      <top/>
      <bottom style="medium">
        <color indexed="64"/>
      </bottom>
      <diagonal/>
    </border>
    <border>
      <left style="hair">
        <color auto="1"/>
      </left>
      <right style="hair">
        <color auto="1"/>
      </right>
      <top style="dotted">
        <color indexed="64"/>
      </top>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hair">
        <color indexed="64"/>
      </top>
      <bottom style="thin">
        <color indexed="64"/>
      </bottom>
      <diagonal/>
    </border>
    <border>
      <left style="hair">
        <color indexed="64"/>
      </left>
      <right style="dotted">
        <color indexed="64"/>
      </right>
      <top style="dotted">
        <color indexed="64"/>
      </top>
      <bottom style="dashed">
        <color indexed="64"/>
      </bottom>
      <diagonal/>
    </border>
    <border>
      <left style="hair">
        <color indexed="64"/>
      </left>
      <right style="dotted">
        <color indexed="64"/>
      </right>
      <top style="thin">
        <color indexed="64"/>
      </top>
      <bottom style="medium">
        <color indexed="64"/>
      </bottom>
      <diagonal/>
    </border>
    <border>
      <left style="hair">
        <color indexed="64"/>
      </left>
      <right style="dotted">
        <color indexed="64"/>
      </right>
      <top style="thin">
        <color indexed="64"/>
      </top>
      <bottom style="hair">
        <color indexed="64"/>
      </bottom>
      <diagonal/>
    </border>
    <border>
      <left style="hair">
        <color indexed="64"/>
      </left>
      <right style="dotted">
        <color indexed="64"/>
      </right>
      <top style="medium">
        <color indexed="64"/>
      </top>
      <bottom style="hair">
        <color indexed="64"/>
      </bottom>
      <diagonal/>
    </border>
    <border>
      <left style="hair">
        <color indexed="64"/>
      </left>
      <right style="dotted">
        <color indexed="64"/>
      </right>
      <top style="hair">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top style="dotted">
        <color indexed="64"/>
      </top>
      <bottom/>
      <diagonal/>
    </border>
    <border>
      <left style="hair">
        <color indexed="64"/>
      </left>
      <right style="hair">
        <color indexed="64"/>
      </right>
      <top style="dashed">
        <color indexed="64"/>
      </top>
      <bottom style="hair">
        <color indexed="64"/>
      </bottom>
      <diagonal/>
    </border>
    <border>
      <left style="hair">
        <color indexed="64"/>
      </left>
      <right style="dotted">
        <color indexed="64"/>
      </right>
      <top style="dashed">
        <color indexed="64"/>
      </top>
      <bottom style="hair">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uble">
        <color indexed="64"/>
      </left>
      <right/>
      <top style="thin">
        <color indexed="64"/>
      </top>
      <bottom style="double">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diagonalUp="1">
      <left style="thin">
        <color indexed="64"/>
      </left>
      <right style="thin">
        <color indexed="64"/>
      </right>
      <top style="dotted">
        <color indexed="64"/>
      </top>
      <bottom style="thin">
        <color indexed="64"/>
      </bottom>
      <diagonal style="thin">
        <color indexed="64"/>
      </diagonal>
    </border>
    <border>
      <left/>
      <right style="dotted">
        <color indexed="64"/>
      </right>
      <top style="dotted">
        <color indexed="64"/>
      </top>
      <bottom style="dotted">
        <color indexed="64"/>
      </bottom>
      <diagonal/>
    </border>
    <border>
      <left style="medium">
        <color indexed="64"/>
      </left>
      <right/>
      <top style="thin">
        <color indexed="64"/>
      </top>
      <bottom style="medium">
        <color indexed="64"/>
      </bottom>
      <diagonal/>
    </border>
    <border>
      <left style="hair">
        <color indexed="64"/>
      </left>
      <right/>
      <top style="hair">
        <color indexed="64"/>
      </top>
      <bottom style="dotted">
        <color indexed="64"/>
      </bottom>
      <diagonal/>
    </border>
    <border>
      <left style="hair">
        <color indexed="64"/>
      </left>
      <right/>
      <top style="dotted">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dotted">
        <color indexed="64"/>
      </bottom>
      <diagonal/>
    </border>
    <border>
      <left/>
      <right style="hair">
        <color indexed="64"/>
      </right>
      <top style="thin">
        <color indexed="64"/>
      </top>
      <bottom style="dotted">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dotted">
        <color indexed="64"/>
      </bottom>
      <diagonal/>
    </border>
    <border>
      <left/>
      <right style="hair">
        <color indexed="64"/>
      </right>
      <top style="hair">
        <color indexed="64"/>
      </top>
      <bottom style="dotted">
        <color indexed="64"/>
      </bottom>
      <diagonal/>
    </border>
    <border>
      <left/>
      <right style="hair">
        <color indexed="64"/>
      </right>
      <top style="dotted">
        <color indexed="64"/>
      </top>
      <bottom/>
      <diagonal/>
    </border>
    <border>
      <left/>
      <right style="hair">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diagonalUp="1">
      <left/>
      <right style="thin">
        <color indexed="64"/>
      </right>
      <top style="medium">
        <color indexed="64"/>
      </top>
      <bottom style="dashed">
        <color indexed="64"/>
      </bottom>
      <diagonal style="thin">
        <color indexed="64"/>
      </diagonal>
    </border>
    <border diagonalUp="1">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medium">
        <color indexed="64"/>
      </bottom>
      <diagonal style="thin">
        <color indexed="64"/>
      </diagonal>
    </border>
    <border diagonalUp="1">
      <left/>
      <right style="thin">
        <color indexed="64"/>
      </right>
      <top style="dashed">
        <color indexed="64"/>
      </top>
      <bottom style="medium">
        <color indexed="64"/>
      </bottom>
      <diagonal style="thin">
        <color indexed="64"/>
      </diagonal>
    </border>
    <border diagonalUp="1">
      <left style="double">
        <color auto="1"/>
      </left>
      <right/>
      <top style="medium">
        <color indexed="64"/>
      </top>
      <bottom/>
      <diagonal style="thin">
        <color indexed="64"/>
      </diagonal>
    </border>
    <border diagonalUp="1">
      <left style="double">
        <color auto="1"/>
      </left>
      <right/>
      <top/>
      <bottom/>
      <diagonal style="thin">
        <color indexed="64"/>
      </diagonal>
    </border>
    <border diagonalUp="1">
      <left style="double">
        <color auto="1"/>
      </left>
      <right/>
      <top/>
      <bottom style="medium">
        <color indexed="64"/>
      </bottom>
      <diagonal style="thin">
        <color indexed="64"/>
      </diagonal>
    </border>
    <border diagonalUp="1">
      <left style="dotted">
        <color indexed="64"/>
      </left>
      <right style="thin">
        <color indexed="64"/>
      </right>
      <top style="medium">
        <color indexed="64"/>
      </top>
      <bottom/>
      <diagonal style="thin">
        <color indexed="64"/>
      </diagonal>
    </border>
    <border diagonalUp="1">
      <left style="dotted">
        <color indexed="64"/>
      </left>
      <right style="thin">
        <color indexed="64"/>
      </right>
      <top/>
      <bottom/>
      <diagonal style="thin">
        <color indexed="64"/>
      </diagonal>
    </border>
    <border diagonalUp="1">
      <left style="dotted">
        <color indexed="64"/>
      </left>
      <right style="thin">
        <color auto="1"/>
      </right>
      <top/>
      <bottom style="medium">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s>
  <cellStyleXfs count="16">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10" fillId="0" borderId="0"/>
    <xf numFmtId="0" fontId="11" fillId="0" borderId="0">
      <alignment vertical="center"/>
    </xf>
    <xf numFmtId="0" fontId="2" fillId="0" borderId="0">
      <alignment vertical="center"/>
    </xf>
    <xf numFmtId="0" fontId="17" fillId="0" borderId="0">
      <alignment vertical="center"/>
    </xf>
    <xf numFmtId="0" fontId="7" fillId="0" borderId="0">
      <alignment vertical="center"/>
    </xf>
    <xf numFmtId="0" fontId="66" fillId="0" borderId="0"/>
    <xf numFmtId="0" fontId="72" fillId="0" borderId="0" applyNumberFormat="0" applyFill="0" applyBorder="0" applyAlignment="0" applyProtection="0">
      <alignment vertical="center"/>
    </xf>
    <xf numFmtId="0" fontId="66" fillId="0" borderId="0"/>
    <xf numFmtId="0" fontId="11" fillId="0" borderId="0">
      <alignment vertical="center"/>
    </xf>
    <xf numFmtId="0" fontId="77" fillId="0" borderId="0"/>
  </cellStyleXfs>
  <cellXfs count="2272">
    <xf numFmtId="0" fontId="0" fillId="0" borderId="0" xfId="0">
      <alignment vertical="center"/>
    </xf>
    <xf numFmtId="0" fontId="15" fillId="5" borderId="15" xfId="3" applyFont="1" applyFill="1" applyBorder="1" applyAlignment="1">
      <alignment horizontal="center" vertical="center"/>
    </xf>
    <xf numFmtId="0" fontId="16" fillId="5" borderId="6" xfId="3" applyFont="1" applyFill="1" applyBorder="1" applyAlignment="1">
      <alignment horizontal="center" vertical="center"/>
    </xf>
    <xf numFmtId="0" fontId="16" fillId="5" borderId="17" xfId="3" applyFont="1" applyFill="1" applyBorder="1" applyAlignment="1">
      <alignment horizontal="center" vertical="center"/>
    </xf>
    <xf numFmtId="0" fontId="16" fillId="5" borderId="18" xfId="3" applyFont="1" applyFill="1" applyBorder="1" applyAlignment="1">
      <alignment horizontal="center" vertical="center"/>
    </xf>
    <xf numFmtId="0" fontId="16" fillId="5" borderId="14" xfId="3" applyFont="1" applyFill="1" applyBorder="1" applyAlignment="1">
      <alignment horizontal="center" vertical="center"/>
    </xf>
    <xf numFmtId="0" fontId="15" fillId="5" borderId="19" xfId="3" applyFont="1" applyFill="1" applyBorder="1" applyAlignment="1">
      <alignment horizontal="center" vertical="center"/>
    </xf>
    <xf numFmtId="0" fontId="15" fillId="5" borderId="33" xfId="3" applyFont="1" applyFill="1" applyBorder="1" applyAlignment="1">
      <alignment horizontal="center" vertical="center"/>
    </xf>
    <xf numFmtId="0" fontId="15" fillId="5" borderId="16" xfId="3" applyFont="1" applyFill="1" applyBorder="1" applyAlignment="1">
      <alignment horizontal="center" vertical="center"/>
    </xf>
    <xf numFmtId="0" fontId="15" fillId="5" borderId="0" xfId="3" applyFont="1" applyFill="1" applyAlignment="1">
      <alignment horizontal="center" vertical="center"/>
    </xf>
    <xf numFmtId="0" fontId="15" fillId="0" borderId="0" xfId="9" applyFont="1">
      <alignment vertical="center"/>
    </xf>
    <xf numFmtId="0" fontId="15" fillId="0" borderId="0" xfId="9" applyFont="1" applyAlignment="1">
      <alignment horizontal="center" vertical="center"/>
    </xf>
    <xf numFmtId="0" fontId="2" fillId="0" borderId="0" xfId="3"/>
    <xf numFmtId="0" fontId="16" fillId="5" borderId="8" xfId="3" applyFont="1" applyFill="1" applyBorder="1" applyAlignment="1">
      <alignment horizontal="center" vertical="center"/>
    </xf>
    <xf numFmtId="0" fontId="16" fillId="5" borderId="4" xfId="3" applyFont="1" applyFill="1" applyBorder="1" applyAlignment="1">
      <alignment horizontal="center" vertical="center"/>
    </xf>
    <xf numFmtId="0" fontId="16" fillId="5" borderId="8" xfId="3" applyFont="1" applyFill="1" applyBorder="1" applyAlignment="1">
      <alignment horizontal="center" vertical="center" wrapText="1"/>
    </xf>
    <xf numFmtId="0" fontId="18" fillId="0" borderId="0" xfId="3" applyFont="1" applyAlignment="1">
      <alignment horizontal="center" vertical="center"/>
    </xf>
    <xf numFmtId="0" fontId="18" fillId="0" borderId="21" xfId="3" applyFont="1" applyBorder="1" applyAlignment="1">
      <alignment horizontal="center" vertical="center"/>
    </xf>
    <xf numFmtId="0" fontId="15" fillId="0" borderId="0" xfId="3" applyFont="1" applyAlignment="1">
      <alignment horizontal="center" vertical="center"/>
    </xf>
    <xf numFmtId="0" fontId="16" fillId="8" borderId="19" xfId="9" applyFont="1" applyFill="1" applyBorder="1" applyAlignment="1">
      <alignment vertical="center" wrapText="1"/>
    </xf>
    <xf numFmtId="0" fontId="16" fillId="0" borderId="33" xfId="9" applyFont="1" applyBorder="1" applyAlignment="1">
      <alignment vertical="center" wrapText="1"/>
    </xf>
    <xf numFmtId="0" fontId="2" fillId="0" borderId="33" xfId="3" applyBorder="1" applyAlignment="1">
      <alignment wrapText="1"/>
    </xf>
    <xf numFmtId="0" fontId="2" fillId="0" borderId="33" xfId="3" applyBorder="1"/>
    <xf numFmtId="0" fontId="2" fillId="0" borderId="16" xfId="3" applyBorder="1"/>
    <xf numFmtId="0" fontId="16" fillId="0" borderId="19" xfId="3" applyFont="1" applyBorder="1" applyAlignment="1">
      <alignment horizontal="center" vertical="center"/>
    </xf>
    <xf numFmtId="0" fontId="15" fillId="0" borderId="0" xfId="3" applyFont="1" applyAlignment="1">
      <alignment vertical="center"/>
    </xf>
    <xf numFmtId="0" fontId="16" fillId="0" borderId="0" xfId="9" applyFont="1">
      <alignment vertical="center"/>
    </xf>
    <xf numFmtId="0" fontId="16" fillId="0" borderId="0" xfId="9" applyFont="1" applyAlignment="1">
      <alignment horizontal="center" vertical="center"/>
    </xf>
    <xf numFmtId="0" fontId="16" fillId="0" borderId="21" xfId="9" applyFont="1" applyBorder="1">
      <alignment vertical="center"/>
    </xf>
    <xf numFmtId="0" fontId="2" fillId="0" borderId="15" xfId="3" applyBorder="1"/>
    <xf numFmtId="0" fontId="16" fillId="0" borderId="0" xfId="3" applyFont="1" applyAlignment="1">
      <alignment horizontal="center" vertical="center"/>
    </xf>
    <xf numFmtId="0" fontId="16" fillId="9" borderId="21" xfId="9" applyFont="1" applyFill="1" applyBorder="1">
      <alignment vertical="center"/>
    </xf>
    <xf numFmtId="0" fontId="19" fillId="0" borderId="19" xfId="3" applyFont="1" applyBorder="1" applyAlignment="1">
      <alignment horizontal="center" vertical="center"/>
    </xf>
    <xf numFmtId="0" fontId="16" fillId="0" borderId="20" xfId="9" applyFont="1" applyBorder="1">
      <alignment vertical="center"/>
    </xf>
    <xf numFmtId="0" fontId="16" fillId="0" borderId="10" xfId="9" applyFont="1" applyBorder="1">
      <alignment vertical="center"/>
    </xf>
    <xf numFmtId="0" fontId="15" fillId="0" borderId="10" xfId="9" applyFont="1" applyBorder="1">
      <alignment vertical="center"/>
    </xf>
    <xf numFmtId="0" fontId="2" fillId="0" borderId="10" xfId="3" applyBorder="1"/>
    <xf numFmtId="0" fontId="2" fillId="0" borderId="13" xfId="3" applyBorder="1"/>
    <xf numFmtId="0" fontId="19" fillId="0" borderId="0" xfId="9" applyFont="1">
      <alignment vertical="center"/>
    </xf>
    <xf numFmtId="0" fontId="16" fillId="0" borderId="19" xfId="3" applyFont="1" applyBorder="1" applyAlignment="1">
      <alignment horizontal="center" vertical="center" shrinkToFit="1"/>
    </xf>
    <xf numFmtId="0" fontId="15" fillId="0" borderId="19" xfId="3" applyFont="1" applyBorder="1" applyAlignment="1">
      <alignment horizontal="center" vertical="center"/>
    </xf>
    <xf numFmtId="0" fontId="15" fillId="0" borderId="19" xfId="3" applyFont="1" applyBorder="1" applyAlignment="1">
      <alignment vertical="center"/>
    </xf>
    <xf numFmtId="0" fontId="16" fillId="0" borderId="19" xfId="3" applyFont="1" applyBorder="1" applyAlignment="1">
      <alignment vertical="center"/>
    </xf>
    <xf numFmtId="0" fontId="19" fillId="0" borderId="19" xfId="3" applyFont="1" applyBorder="1" applyAlignment="1">
      <alignment vertical="center"/>
    </xf>
    <xf numFmtId="0" fontId="15" fillId="0" borderId="33" xfId="3" applyFont="1" applyBorder="1" applyAlignment="1">
      <alignment horizontal="center" vertical="center"/>
    </xf>
    <xf numFmtId="0" fontId="20" fillId="0" borderId="19" xfId="3" applyFont="1" applyBorder="1" applyAlignment="1">
      <alignment horizontal="center" vertical="center" shrinkToFit="1"/>
    </xf>
    <xf numFmtId="0" fontId="20" fillId="0" borderId="19" xfId="3" applyFont="1" applyBorder="1" applyAlignment="1">
      <alignment horizontal="center" vertical="center"/>
    </xf>
    <xf numFmtId="0" fontId="15" fillId="0" borderId="19" xfId="3" applyFont="1" applyBorder="1" applyAlignment="1">
      <alignment horizontal="center" vertical="center" shrinkToFit="1"/>
    </xf>
    <xf numFmtId="0" fontId="15" fillId="0" borderId="19" xfId="3" applyFont="1" applyBorder="1" applyAlignment="1">
      <alignment horizontal="right" vertical="center"/>
    </xf>
    <xf numFmtId="0" fontId="18" fillId="10" borderId="98" xfId="3" applyFont="1" applyFill="1" applyBorder="1" applyAlignment="1">
      <alignment vertical="center"/>
    </xf>
    <xf numFmtId="0" fontId="18" fillId="0" borderId="19" xfId="3" applyFont="1" applyBorder="1" applyAlignment="1">
      <alignment horizontal="center" vertical="center"/>
    </xf>
    <xf numFmtId="0" fontId="18" fillId="0" borderId="19" xfId="3" applyFont="1" applyBorder="1" applyAlignment="1">
      <alignment vertical="center"/>
    </xf>
    <xf numFmtId="1" fontId="15" fillId="0" borderId="0" xfId="3" applyNumberFormat="1" applyFont="1" applyAlignment="1">
      <alignment vertical="center"/>
    </xf>
    <xf numFmtId="0" fontId="15" fillId="0" borderId="19" xfId="0" applyFont="1" applyBorder="1" applyAlignment="1">
      <alignment horizontal="center" vertical="center"/>
    </xf>
    <xf numFmtId="0" fontId="15" fillId="0" borderId="19" xfId="0" applyFont="1" applyBorder="1">
      <alignment vertical="center"/>
    </xf>
    <xf numFmtId="0" fontId="15" fillId="0" borderId="0" xfId="0" applyFont="1" applyAlignment="1">
      <alignment horizontal="center" vertical="center"/>
    </xf>
    <xf numFmtId="0" fontId="16" fillId="0" borderId="19" xfId="3" applyFont="1" applyBorder="1" applyAlignment="1">
      <alignment horizontal="right" vertical="center"/>
    </xf>
    <xf numFmtId="0" fontId="4" fillId="2" borderId="112" xfId="3" applyFont="1" applyFill="1" applyBorder="1" applyAlignment="1">
      <alignment horizontal="center" vertical="center" shrinkToFit="1"/>
    </xf>
    <xf numFmtId="0" fontId="4" fillId="2" borderId="125" xfId="3" applyFont="1" applyFill="1" applyBorder="1" applyAlignment="1">
      <alignment horizontal="center" vertical="center" shrinkToFit="1"/>
    </xf>
    <xf numFmtId="0" fontId="4" fillId="0" borderId="0" xfId="3" applyFont="1" applyAlignment="1">
      <alignment shrinkToFit="1"/>
    </xf>
    <xf numFmtId="0" fontId="26" fillId="0" borderId="0" xfId="3" applyFont="1" applyAlignment="1">
      <alignment horizontal="left"/>
    </xf>
    <xf numFmtId="0" fontId="2" fillId="0" borderId="0" xfId="3" applyAlignment="1">
      <alignment horizontal="left"/>
    </xf>
    <xf numFmtId="0" fontId="6" fillId="0" borderId="0" xfId="3" applyFont="1" applyAlignment="1">
      <alignment horizontal="left" vertical="center"/>
    </xf>
    <xf numFmtId="0" fontId="5" fillId="10" borderId="137" xfId="3" applyFont="1" applyFill="1" applyBorder="1" applyAlignment="1">
      <alignment horizontal="center" vertical="center"/>
    </xf>
    <xf numFmtId="0" fontId="5" fillId="10" borderId="138" xfId="3" applyFont="1" applyFill="1" applyBorder="1" applyAlignment="1">
      <alignment horizontal="center" vertical="center"/>
    </xf>
    <xf numFmtId="0" fontId="5" fillId="3" borderId="119" xfId="3" applyFont="1" applyFill="1" applyBorder="1" applyAlignment="1">
      <alignment horizontal="center" vertical="center"/>
    </xf>
    <xf numFmtId="0" fontId="5" fillId="3" borderId="138" xfId="3" applyFont="1" applyFill="1" applyBorder="1" applyAlignment="1">
      <alignment horizontal="center" vertical="center"/>
    </xf>
    <xf numFmtId="196" fontId="2" fillId="11" borderId="119" xfId="3" applyNumberFormat="1" applyFill="1" applyBorder="1" applyAlignment="1" applyProtection="1">
      <alignment horizontal="left" shrinkToFit="1"/>
      <protection locked="0"/>
    </xf>
    <xf numFmtId="196" fontId="2" fillId="11" borderId="138" xfId="3" applyNumberFormat="1" applyFill="1" applyBorder="1" applyAlignment="1" applyProtection="1">
      <alignment horizontal="left" shrinkToFit="1"/>
      <protection locked="0"/>
    </xf>
    <xf numFmtId="14" fontId="2" fillId="0" borderId="0" xfId="3" applyNumberFormat="1"/>
    <xf numFmtId="0" fontId="9" fillId="0" borderId="0" xfId="0" applyFont="1">
      <alignment vertical="center"/>
    </xf>
    <xf numFmtId="0" fontId="9" fillId="0" borderId="0" xfId="0" applyFont="1" applyAlignment="1">
      <alignment vertical="center" wrapText="1"/>
    </xf>
    <xf numFmtId="0" fontId="9" fillId="0" borderId="0" xfId="0" applyFont="1" applyAlignment="1">
      <alignment horizontal="center" vertical="center"/>
    </xf>
    <xf numFmtId="14" fontId="9" fillId="0" borderId="4" xfId="0" applyNumberFormat="1" applyFont="1" applyBorder="1" applyAlignment="1">
      <alignment horizontal="center" vertical="center"/>
    </xf>
    <xf numFmtId="0" fontId="9" fillId="0" borderId="4" xfId="0" applyFont="1" applyBorder="1">
      <alignment vertical="center"/>
    </xf>
    <xf numFmtId="0" fontId="9" fillId="0" borderId="17" xfId="0" applyFont="1" applyBorder="1">
      <alignment vertical="center"/>
    </xf>
    <xf numFmtId="0" fontId="9" fillId="0" borderId="64" xfId="0" applyFont="1" applyBorder="1">
      <alignment vertical="center"/>
    </xf>
    <xf numFmtId="0" fontId="21" fillId="0" borderId="0" xfId="0" applyFont="1">
      <alignment vertical="center"/>
    </xf>
    <xf numFmtId="0" fontId="21" fillId="0" borderId="4" xfId="0" applyFont="1" applyBorder="1">
      <alignment vertical="center"/>
    </xf>
    <xf numFmtId="0" fontId="21" fillId="0" borderId="4" xfId="0" applyFont="1" applyBorder="1" applyAlignment="1">
      <alignment horizontal="center" vertical="center"/>
    </xf>
    <xf numFmtId="0" fontId="4" fillId="0" borderId="4" xfId="3" applyFont="1" applyBorder="1" applyAlignment="1">
      <alignment horizontal="center" vertical="center" shrinkToFit="1"/>
    </xf>
    <xf numFmtId="0" fontId="21" fillId="0" borderId="17" xfId="0" applyFont="1" applyBorder="1">
      <alignment vertical="center"/>
    </xf>
    <xf numFmtId="0" fontId="21" fillId="0" borderId="36" xfId="0" applyFont="1" applyBorder="1">
      <alignment vertical="center"/>
    </xf>
    <xf numFmtId="0" fontId="36" fillId="0" borderId="0" xfId="3" applyFont="1" applyAlignment="1">
      <alignment horizontal="right" vertical="center" textRotation="180" shrinkToFit="1"/>
    </xf>
    <xf numFmtId="0" fontId="36" fillId="2" borderId="0" xfId="3" applyFont="1" applyFill="1" applyAlignment="1">
      <alignment horizontal="left" vertical="center"/>
    </xf>
    <xf numFmtId="0" fontId="36" fillId="2" borderId="0" xfId="3" applyFont="1" applyFill="1" applyAlignment="1">
      <alignment vertical="center" shrinkToFit="1"/>
    </xf>
    <xf numFmtId="0" fontId="4" fillId="2" borderId="4" xfId="3" applyFont="1" applyFill="1" applyBorder="1" applyAlignment="1">
      <alignment horizontal="center" vertical="center" shrinkToFit="1"/>
    </xf>
    <xf numFmtId="0" fontId="36" fillId="0" borderId="21" xfId="3" applyFont="1" applyBorder="1" applyAlignment="1">
      <alignment vertical="center" shrinkToFit="1"/>
    </xf>
    <xf numFmtId="0" fontId="4" fillId="0" borderId="4" xfId="3" applyFont="1" applyBorder="1" applyAlignment="1">
      <alignment shrinkToFit="1"/>
    </xf>
    <xf numFmtId="0" fontId="36" fillId="0" borderId="0" xfId="3" applyFont="1" applyAlignment="1">
      <alignment vertical="center" shrinkToFit="1"/>
    </xf>
    <xf numFmtId="0" fontId="4" fillId="0" borderId="0" xfId="3" applyFont="1" applyAlignment="1">
      <alignment horizontal="right" vertical="center" textRotation="180" shrinkToFit="1"/>
    </xf>
    <xf numFmtId="0" fontId="36" fillId="2" borderId="41" xfId="3" applyFont="1" applyFill="1" applyBorder="1" applyAlignment="1">
      <alignment horizontal="right" vertical="center" shrinkToFit="1"/>
    </xf>
    <xf numFmtId="0" fontId="4" fillId="2" borderId="0" xfId="3" applyFont="1" applyFill="1" applyAlignment="1">
      <alignment vertical="center" shrinkToFit="1"/>
    </xf>
    <xf numFmtId="0" fontId="36" fillId="0" borderId="21" xfId="3" applyFont="1" applyBorder="1" applyAlignment="1">
      <alignment shrinkToFit="1"/>
    </xf>
    <xf numFmtId="0" fontId="4" fillId="0" borderId="0" xfId="3" applyFont="1" applyAlignment="1">
      <alignment vertical="top" textRotation="180" shrinkToFit="1"/>
    </xf>
    <xf numFmtId="0" fontId="4" fillId="2" borderId="0" xfId="3" applyFont="1" applyFill="1" applyAlignment="1">
      <alignment horizontal="right" vertical="center"/>
    </xf>
    <xf numFmtId="0" fontId="4" fillId="2" borderId="0" xfId="3" applyFont="1" applyFill="1" applyAlignment="1">
      <alignment shrinkToFit="1"/>
    </xf>
    <xf numFmtId="0" fontId="4" fillId="0" borderId="33" xfId="3" applyFont="1" applyBorder="1" applyAlignment="1">
      <alignment shrinkToFit="1"/>
    </xf>
    <xf numFmtId="194" fontId="4" fillId="0" borderId="0" xfId="3" applyNumberFormat="1" applyFont="1" applyAlignment="1">
      <alignment horizontal="center" vertical="center" shrinkToFit="1"/>
    </xf>
    <xf numFmtId="194" fontId="4" fillId="0" borderId="0" xfId="3" applyNumberFormat="1" applyFont="1" applyAlignment="1">
      <alignment shrinkToFit="1"/>
    </xf>
    <xf numFmtId="0" fontId="8" fillId="2" borderId="0" xfId="3" applyFont="1" applyFill="1" applyAlignment="1">
      <alignment vertical="center" shrinkToFit="1"/>
    </xf>
    <xf numFmtId="0" fontId="22" fillId="0" borderId="0" xfId="0" applyFont="1">
      <alignment vertical="center"/>
    </xf>
    <xf numFmtId="0" fontId="9" fillId="0" borderId="18" xfId="0" applyFont="1" applyBorder="1">
      <alignment vertical="center"/>
    </xf>
    <xf numFmtId="0" fontId="9" fillId="0" borderId="14" xfId="0" applyFont="1" applyBorder="1">
      <alignment vertical="center"/>
    </xf>
    <xf numFmtId="0" fontId="37" fillId="0" borderId="4" xfId="0" applyFont="1" applyBorder="1">
      <alignment vertical="center"/>
    </xf>
    <xf numFmtId="0" fontId="21" fillId="0" borderId="4" xfId="0" applyFont="1" applyBorder="1" applyAlignment="1"/>
    <xf numFmtId="49" fontId="22" fillId="0" borderId="4" xfId="10" applyNumberFormat="1" applyFont="1" applyBorder="1" applyAlignment="1">
      <alignment horizontal="center" vertical="center" shrinkToFit="1"/>
    </xf>
    <xf numFmtId="49" fontId="23" fillId="0" borderId="4" xfId="10" applyNumberFormat="1" applyFont="1" applyBorder="1" applyAlignment="1">
      <alignment vertical="center" shrinkToFit="1"/>
    </xf>
    <xf numFmtId="49" fontId="22" fillId="0" borderId="4" xfId="10" applyNumberFormat="1" applyFont="1" applyBorder="1" applyAlignment="1">
      <alignment vertical="center" shrinkToFit="1"/>
    </xf>
    <xf numFmtId="49" fontId="24" fillId="0" borderId="4" xfId="10" applyNumberFormat="1" applyFont="1" applyBorder="1" applyAlignment="1">
      <alignment vertical="center" shrinkToFit="1"/>
    </xf>
    <xf numFmtId="0" fontId="22" fillId="0" borderId="0" xfId="10" applyFont="1">
      <alignment vertical="center"/>
    </xf>
    <xf numFmtId="49" fontId="25" fillId="0" borderId="0" xfId="2" applyNumberFormat="1" applyFont="1" applyFill="1" applyBorder="1" applyAlignment="1" applyProtection="1">
      <alignment horizontal="right" vertical="center" shrinkToFit="1"/>
    </xf>
    <xf numFmtId="0" fontId="30" fillId="0" borderId="4" xfId="0" applyFont="1" applyBorder="1" applyAlignment="1">
      <alignment horizontal="center" vertical="center"/>
    </xf>
    <xf numFmtId="0" fontId="11" fillId="0" borderId="4" xfId="3" applyFont="1" applyBorder="1" applyAlignment="1">
      <alignment horizontal="center" vertical="center"/>
    </xf>
    <xf numFmtId="0" fontId="9" fillId="0" borderId="0" xfId="0" applyFont="1" applyAlignment="1">
      <alignment vertical="center" shrinkToFit="1"/>
    </xf>
    <xf numFmtId="0" fontId="22" fillId="0" borderId="4" xfId="0" applyFont="1" applyBorder="1" applyAlignment="1">
      <alignment vertical="center" shrinkToFit="1"/>
    </xf>
    <xf numFmtId="0" fontId="16" fillId="0" borderId="98" xfId="3" applyFont="1" applyBorder="1" applyAlignment="1">
      <alignment horizontal="center" vertical="center"/>
    </xf>
    <xf numFmtId="0" fontId="9" fillId="0" borderId="45" xfId="0" applyFont="1" applyBorder="1" applyAlignment="1">
      <alignment horizontal="center" vertical="center"/>
    </xf>
    <xf numFmtId="0" fontId="9" fillId="0" borderId="3" xfId="0" applyFont="1" applyBorder="1" applyAlignment="1">
      <alignment vertical="center" shrinkToFit="1"/>
    </xf>
    <xf numFmtId="0" fontId="22" fillId="0" borderId="32" xfId="0" applyFont="1" applyBorder="1" applyAlignment="1">
      <alignment horizontal="center" vertical="center"/>
    </xf>
    <xf numFmtId="0" fontId="21" fillId="0" borderId="5" xfId="0" applyFont="1" applyBorder="1" applyAlignment="1">
      <alignment vertical="center" shrinkToFit="1"/>
    </xf>
    <xf numFmtId="0" fontId="22" fillId="2" borderId="147" xfId="0" applyFont="1" applyFill="1" applyBorder="1" applyAlignment="1">
      <alignment vertical="center" shrinkToFit="1"/>
    </xf>
    <xf numFmtId="0" fontId="22" fillId="4" borderId="147" xfId="0" applyFont="1" applyFill="1" applyBorder="1" applyAlignment="1" applyProtection="1">
      <alignment vertical="center" shrinkToFit="1"/>
      <protection locked="0"/>
    </xf>
    <xf numFmtId="0" fontId="22" fillId="4" borderId="148" xfId="0" applyFont="1" applyFill="1" applyBorder="1" applyAlignment="1" applyProtection="1">
      <alignment vertical="center" shrinkToFit="1"/>
      <protection locked="0"/>
    </xf>
    <xf numFmtId="0" fontId="22" fillId="4" borderId="149" xfId="0" applyFont="1" applyFill="1" applyBorder="1" applyAlignment="1" applyProtection="1">
      <alignment vertical="center" shrinkToFit="1"/>
      <protection locked="0"/>
    </xf>
    <xf numFmtId="14" fontId="9" fillId="4" borderId="153" xfId="3" applyNumberFormat="1" applyFont="1" applyFill="1" applyBorder="1" applyAlignment="1" applyProtection="1">
      <alignment vertical="center" shrinkToFit="1"/>
      <protection locked="0"/>
    </xf>
    <xf numFmtId="0" fontId="4" fillId="2" borderId="166" xfId="3" applyFont="1" applyFill="1" applyBorder="1" applyAlignment="1">
      <alignment horizontal="center" vertical="center" shrinkToFit="1"/>
    </xf>
    <xf numFmtId="195" fontId="25" fillId="4" borderId="167" xfId="3" applyNumberFormat="1" applyFont="1" applyFill="1" applyBorder="1" applyAlignment="1" applyProtection="1">
      <alignment horizontal="right" vertical="center" shrinkToFit="1"/>
      <protection locked="0"/>
    </xf>
    <xf numFmtId="0" fontId="4" fillId="2" borderId="160" xfId="3" applyFont="1" applyFill="1" applyBorder="1" applyAlignment="1">
      <alignment horizontal="center" vertical="center" shrinkToFit="1"/>
    </xf>
    <xf numFmtId="195" fontId="25" fillId="4" borderId="148" xfId="3" applyNumberFormat="1" applyFont="1" applyFill="1" applyBorder="1" applyAlignment="1" applyProtection="1">
      <alignment horizontal="right" vertical="center" shrinkToFit="1"/>
      <protection locked="0"/>
    </xf>
    <xf numFmtId="0" fontId="4" fillId="2" borderId="162" xfId="3" applyFont="1" applyFill="1" applyBorder="1" applyAlignment="1">
      <alignment horizontal="center" vertical="center" shrinkToFit="1"/>
    </xf>
    <xf numFmtId="195" fontId="25" fillId="4" borderId="163" xfId="3" applyNumberFormat="1" applyFont="1" applyFill="1" applyBorder="1" applyAlignment="1" applyProtection="1">
      <alignment horizontal="right" vertical="center" shrinkToFit="1"/>
      <protection locked="0"/>
    </xf>
    <xf numFmtId="0" fontId="21" fillId="0" borderId="172" xfId="0" applyFont="1" applyBorder="1" applyAlignment="1">
      <alignment horizontal="center" vertical="center"/>
    </xf>
    <xf numFmtId="0" fontId="21" fillId="0" borderId="173" xfId="0" applyFont="1" applyBorder="1" applyAlignment="1">
      <alignment horizontal="center" vertical="center"/>
    </xf>
    <xf numFmtId="0" fontId="21" fillId="0" borderId="174" xfId="0" applyFont="1" applyBorder="1" applyAlignment="1">
      <alignment horizontal="center" vertical="center"/>
    </xf>
    <xf numFmtId="0" fontId="21" fillId="6" borderId="167" xfId="0" applyFont="1" applyFill="1" applyBorder="1" applyAlignment="1" applyProtection="1">
      <alignment horizontal="center" vertical="center" shrinkToFit="1"/>
      <protection locked="0"/>
    </xf>
    <xf numFmtId="0" fontId="21" fillId="6" borderId="169" xfId="0" applyFont="1" applyFill="1" applyBorder="1" applyAlignment="1" applyProtection="1">
      <alignment horizontal="center" vertical="center" shrinkToFit="1"/>
      <protection locked="0"/>
    </xf>
    <xf numFmtId="0" fontId="21" fillId="6" borderId="148" xfId="0" applyFont="1" applyFill="1" applyBorder="1" applyAlignment="1" applyProtection="1">
      <alignment horizontal="center" vertical="center" shrinkToFit="1"/>
      <protection locked="0"/>
    </xf>
    <xf numFmtId="0" fontId="21" fillId="6" borderId="155" xfId="0" applyFont="1" applyFill="1" applyBorder="1" applyAlignment="1" applyProtection="1">
      <alignment horizontal="center" vertical="center" shrinkToFit="1"/>
      <protection locked="0"/>
    </xf>
    <xf numFmtId="0" fontId="21" fillId="6" borderId="163" xfId="0" applyFont="1" applyFill="1" applyBorder="1" applyAlignment="1" applyProtection="1">
      <alignment horizontal="center" vertical="center" shrinkToFit="1"/>
      <protection locked="0"/>
    </xf>
    <xf numFmtId="0" fontId="21" fillId="6" borderId="171" xfId="0" applyFont="1" applyFill="1" applyBorder="1" applyAlignment="1" applyProtection="1">
      <alignment horizontal="center" vertical="center" shrinkToFit="1"/>
      <protection locked="0"/>
    </xf>
    <xf numFmtId="0" fontId="0" fillId="0" borderId="4" xfId="0" applyBorder="1">
      <alignment vertical="center"/>
    </xf>
    <xf numFmtId="0" fontId="0" fillId="0" borderId="4" xfId="0" applyBorder="1" applyAlignment="1">
      <alignment horizontal="center" vertical="center"/>
    </xf>
    <xf numFmtId="14" fontId="0" fillId="0" borderId="4" xfId="0" applyNumberFormat="1" applyBorder="1">
      <alignment vertical="center"/>
    </xf>
    <xf numFmtId="0" fontId="0" fillId="0" borderId="6" xfId="0" applyBorder="1" applyAlignment="1">
      <alignment horizontal="center" vertical="center"/>
    </xf>
    <xf numFmtId="0" fontId="0" fillId="0" borderId="24" xfId="0" applyBorder="1">
      <alignment vertical="center"/>
    </xf>
    <xf numFmtId="0" fontId="0" fillId="0" borderId="26" xfId="0" applyBorder="1">
      <alignment vertical="center"/>
    </xf>
    <xf numFmtId="0" fontId="9" fillId="0" borderId="14" xfId="0" applyFont="1" applyBorder="1" applyAlignment="1">
      <alignment horizontal="center" vertical="center"/>
    </xf>
    <xf numFmtId="0" fontId="9" fillId="0" borderId="73" xfId="0" applyFont="1" applyBorder="1" applyAlignment="1">
      <alignment horizontal="center" vertical="center" shrinkToFit="1"/>
    </xf>
    <xf numFmtId="0" fontId="9" fillId="0" borderId="4" xfId="0" applyFont="1" applyBorder="1" applyAlignment="1">
      <alignment horizontal="center" vertical="center"/>
    </xf>
    <xf numFmtId="0" fontId="22" fillId="0" borderId="0" xfId="0" applyFont="1" applyAlignment="1">
      <alignment horizontal="center" vertical="center"/>
    </xf>
    <xf numFmtId="187" fontId="9" fillId="0" borderId="0" xfId="1" applyNumberFormat="1" applyFont="1" applyAlignment="1">
      <alignment horizontal="center" vertical="center" shrinkToFit="1"/>
    </xf>
    <xf numFmtId="0" fontId="21" fillId="0" borderId="0" xfId="0" applyFont="1" applyAlignment="1">
      <alignment horizontal="center" vertical="center"/>
    </xf>
    <xf numFmtId="0" fontId="44" fillId="2" borderId="0" xfId="0" applyFont="1" applyFill="1">
      <alignment vertical="center"/>
    </xf>
    <xf numFmtId="0" fontId="22" fillId="2" borderId="0" xfId="0" applyFont="1" applyFill="1">
      <alignment vertical="center"/>
    </xf>
    <xf numFmtId="0" fontId="22" fillId="0" borderId="4" xfId="0" applyFont="1" applyBorder="1" applyAlignment="1">
      <alignment horizontal="center" vertical="center"/>
    </xf>
    <xf numFmtId="0" fontId="22" fillId="0" borderId="0" xfId="0" applyFont="1" applyAlignment="1">
      <alignment vertical="center" shrinkToFit="1"/>
    </xf>
    <xf numFmtId="0" fontId="23" fillId="2" borderId="0" xfId="0" applyFont="1" applyFill="1">
      <alignment vertical="center"/>
    </xf>
    <xf numFmtId="0" fontId="22" fillId="2" borderId="0" xfId="0" applyFont="1" applyFill="1" applyAlignment="1">
      <alignment vertical="center" shrinkToFit="1"/>
    </xf>
    <xf numFmtId="0" fontId="46" fillId="2" borderId="0" xfId="0" applyFont="1" applyFill="1">
      <alignment vertical="center"/>
    </xf>
    <xf numFmtId="191" fontId="46" fillId="2" borderId="10" xfId="0" applyNumberFormat="1" applyFont="1" applyFill="1" applyBorder="1" applyAlignment="1">
      <alignment horizontal="center" vertical="center"/>
    </xf>
    <xf numFmtId="0" fontId="9" fillId="2" borderId="0" xfId="3" applyFont="1" applyFill="1" applyAlignment="1">
      <alignment horizontal="center" vertical="center"/>
    </xf>
    <xf numFmtId="0" fontId="12" fillId="2" borderId="0" xfId="3" applyFont="1" applyFill="1" applyAlignment="1">
      <alignment horizontal="center" vertical="center" shrinkToFit="1"/>
    </xf>
    <xf numFmtId="0" fontId="22" fillId="0" borderId="56" xfId="0" applyFont="1" applyBorder="1" applyAlignment="1">
      <alignment vertical="center" shrinkToFit="1"/>
    </xf>
    <xf numFmtId="0" fontId="46" fillId="12" borderId="119" xfId="0" applyFont="1" applyFill="1" applyBorder="1" applyAlignment="1">
      <alignment horizontal="center" vertical="center" shrinkToFit="1"/>
    </xf>
    <xf numFmtId="0" fontId="46" fillId="12" borderId="175" xfId="0" applyFont="1" applyFill="1" applyBorder="1" applyAlignment="1">
      <alignment horizontal="center" vertical="center"/>
    </xf>
    <xf numFmtId="0" fontId="46" fillId="12" borderId="138" xfId="0" applyFont="1" applyFill="1" applyBorder="1" applyAlignment="1">
      <alignment horizontal="center" vertical="center"/>
    </xf>
    <xf numFmtId="0" fontId="46" fillId="12" borderId="119" xfId="0" applyFont="1" applyFill="1" applyBorder="1" applyAlignment="1">
      <alignment horizontal="center" vertical="center"/>
    </xf>
    <xf numFmtId="0" fontId="22" fillId="0" borderId="41" xfId="0" applyFont="1" applyBorder="1" applyAlignment="1">
      <alignment horizontal="center" vertical="center" shrinkToFit="1"/>
    </xf>
    <xf numFmtId="0" fontId="22" fillId="0" borderId="42" xfId="0" applyFont="1" applyBorder="1" applyAlignment="1">
      <alignment horizontal="center" vertical="center" shrinkToFit="1"/>
    </xf>
    <xf numFmtId="0" fontId="22" fillId="0" borderId="43" xfId="0" applyFont="1" applyBorder="1" applyAlignment="1">
      <alignment horizontal="center" vertical="center" shrinkToFit="1"/>
    </xf>
    <xf numFmtId="192" fontId="22" fillId="2" borderId="177" xfId="0" applyNumberFormat="1" applyFont="1" applyFill="1" applyBorder="1" applyAlignment="1">
      <alignment horizontal="center" vertical="center"/>
    </xf>
    <xf numFmtId="193" fontId="22" fillId="2" borderId="177" xfId="0" applyNumberFormat="1" applyFont="1" applyFill="1" applyBorder="1" applyAlignment="1">
      <alignment horizontal="center" vertical="center"/>
    </xf>
    <xf numFmtId="193" fontId="22" fillId="2" borderId="178" xfId="0" applyNumberFormat="1" applyFont="1" applyFill="1" applyBorder="1" applyAlignment="1">
      <alignment horizontal="center" vertical="center"/>
    </xf>
    <xf numFmtId="38" fontId="22" fillId="4" borderId="176" xfId="4" applyFont="1" applyFill="1" applyBorder="1" applyAlignment="1" applyProtection="1">
      <alignment horizontal="center" vertical="center"/>
      <protection locked="0"/>
    </xf>
    <xf numFmtId="0" fontId="22" fillId="2" borderId="178" xfId="0" applyFont="1" applyFill="1" applyBorder="1" applyAlignment="1">
      <alignment horizontal="center" vertical="center"/>
    </xf>
    <xf numFmtId="0" fontId="9" fillId="0" borderId="6" xfId="3" applyFont="1" applyBorder="1" applyAlignment="1">
      <alignment horizontal="center" vertical="center" shrinkToFit="1"/>
    </xf>
    <xf numFmtId="192" fontId="22" fillId="2" borderId="180" xfId="0" applyNumberFormat="1" applyFont="1" applyFill="1" applyBorder="1" applyAlignment="1">
      <alignment horizontal="center" vertical="center"/>
    </xf>
    <xf numFmtId="193" fontId="22" fillId="2" borderId="180" xfId="0" applyNumberFormat="1" applyFont="1" applyFill="1" applyBorder="1" applyAlignment="1">
      <alignment horizontal="center" vertical="center"/>
    </xf>
    <xf numFmtId="193" fontId="22" fillId="2" borderId="181" xfId="0" applyNumberFormat="1" applyFont="1" applyFill="1" applyBorder="1" applyAlignment="1">
      <alignment horizontal="center" vertical="center"/>
    </xf>
    <xf numFmtId="38" fontId="22" fillId="4" borderId="179" xfId="4" applyFont="1" applyFill="1" applyBorder="1" applyAlignment="1" applyProtection="1">
      <alignment horizontal="center" vertical="center"/>
      <protection locked="0"/>
    </xf>
    <xf numFmtId="0" fontId="22" fillId="2" borderId="181" xfId="0" applyFont="1" applyFill="1" applyBorder="1" applyAlignment="1">
      <alignment horizontal="center" vertical="center"/>
    </xf>
    <xf numFmtId="0" fontId="22" fillId="0" borderId="6" xfId="0" applyFont="1" applyBorder="1" applyAlignment="1">
      <alignment horizontal="center" vertical="center" shrinkToFit="1"/>
    </xf>
    <xf numFmtId="0" fontId="9" fillId="0" borderId="4" xfId="3" applyFont="1" applyBorder="1" applyAlignment="1">
      <alignment horizontal="center" vertical="center" shrinkToFit="1"/>
    </xf>
    <xf numFmtId="0" fontId="22" fillId="0" borderId="4" xfId="0" applyFont="1" applyBorder="1" applyAlignment="1">
      <alignment horizontal="center" vertical="center" shrinkToFit="1"/>
    </xf>
    <xf numFmtId="192" fontId="22" fillId="2" borderId="183" xfId="0" applyNumberFormat="1" applyFont="1" applyFill="1" applyBorder="1" applyAlignment="1">
      <alignment horizontal="center" vertical="center"/>
    </xf>
    <xf numFmtId="193" fontId="22" fillId="2" borderId="183" xfId="0" applyNumberFormat="1" applyFont="1" applyFill="1" applyBorder="1" applyAlignment="1">
      <alignment horizontal="center" vertical="center"/>
    </xf>
    <xf numFmtId="193" fontId="22" fillId="2" borderId="184" xfId="0" applyNumberFormat="1" applyFont="1" applyFill="1" applyBorder="1" applyAlignment="1">
      <alignment horizontal="center" vertical="center"/>
    </xf>
    <xf numFmtId="0" fontId="22" fillId="4" borderId="182" xfId="0" applyFont="1" applyFill="1" applyBorder="1" applyAlignment="1" applyProtection="1">
      <alignment horizontal="center" vertical="center"/>
      <protection locked="0"/>
    </xf>
    <xf numFmtId="0" fontId="22" fillId="2" borderId="184" xfId="0" applyFont="1" applyFill="1" applyBorder="1" applyAlignment="1">
      <alignment horizontal="center" vertical="center"/>
    </xf>
    <xf numFmtId="193" fontId="22" fillId="2" borderId="138" xfId="0" applyNumberFormat="1" applyFont="1" applyFill="1" applyBorder="1" applyAlignment="1">
      <alignment horizontal="center" vertical="center"/>
    </xf>
    <xf numFmtId="0" fontId="22" fillId="2" borderId="185" xfId="0" applyFont="1" applyFill="1" applyBorder="1">
      <alignment vertical="center"/>
    </xf>
    <xf numFmtId="0" fontId="46" fillId="2" borderId="135" xfId="0" applyFont="1" applyFill="1" applyBorder="1" applyAlignment="1">
      <alignment horizontal="center" vertical="center"/>
    </xf>
    <xf numFmtId="193" fontId="22" fillId="2" borderId="0" xfId="0" applyNumberFormat="1" applyFont="1" applyFill="1" applyAlignment="1">
      <alignment horizontal="center" vertical="center"/>
    </xf>
    <xf numFmtId="0" fontId="46" fillId="2" borderId="136" xfId="0" applyFont="1" applyFill="1" applyBorder="1" applyAlignment="1">
      <alignment horizontal="center" vertical="center"/>
    </xf>
    <xf numFmtId="0" fontId="22" fillId="2" borderId="0" xfId="0" applyFont="1" applyFill="1" applyAlignment="1">
      <alignment horizontal="center" vertical="center"/>
    </xf>
    <xf numFmtId="0" fontId="12" fillId="2" borderId="136" xfId="3" applyFont="1" applyFill="1" applyBorder="1" applyAlignment="1">
      <alignment horizontal="center" vertical="center"/>
    </xf>
    <xf numFmtId="0" fontId="9" fillId="2" borderId="0" xfId="0" applyFont="1" applyFill="1" applyAlignment="1">
      <alignment horizontal="left" vertical="center"/>
    </xf>
    <xf numFmtId="0" fontId="47" fillId="2" borderId="0" xfId="3" applyFont="1" applyFill="1" applyAlignment="1">
      <alignment horizontal="left" vertical="center"/>
    </xf>
    <xf numFmtId="0" fontId="48" fillId="2" borderId="0" xfId="0" applyFont="1" applyFill="1">
      <alignment vertical="center"/>
    </xf>
    <xf numFmtId="0" fontId="41" fillId="0" borderId="0" xfId="0" applyFont="1">
      <alignment vertical="center"/>
    </xf>
    <xf numFmtId="0" fontId="41" fillId="0" borderId="4" xfId="0" applyFont="1" applyBorder="1">
      <alignment vertical="center"/>
    </xf>
    <xf numFmtId="0" fontId="41" fillId="0" borderId="14" xfId="0" applyFont="1" applyBorder="1">
      <alignment vertical="center"/>
    </xf>
    <xf numFmtId="0" fontId="48" fillId="2" borderId="119" xfId="0" applyFont="1" applyFill="1" applyBorder="1" applyAlignment="1">
      <alignment horizontal="center" vertical="center"/>
    </xf>
    <xf numFmtId="0" fontId="48" fillId="2" borderId="175" xfId="0" applyFont="1" applyFill="1" applyBorder="1" applyAlignment="1">
      <alignment horizontal="center" vertical="center"/>
    </xf>
    <xf numFmtId="0" fontId="48" fillId="2" borderId="118" xfId="0" applyFont="1" applyFill="1" applyBorder="1" applyAlignment="1">
      <alignment horizontal="center" vertical="center"/>
    </xf>
    <xf numFmtId="0" fontId="48" fillId="2" borderId="120" xfId="0" applyFont="1" applyFill="1" applyBorder="1" applyAlignment="1">
      <alignment horizontal="center" vertical="center"/>
    </xf>
    <xf numFmtId="0" fontId="48" fillId="2" borderId="193" xfId="0" applyFont="1" applyFill="1" applyBorder="1" applyAlignment="1">
      <alignment horizontal="right" vertical="center" shrinkToFit="1"/>
    </xf>
    <xf numFmtId="0" fontId="48" fillId="2" borderId="194" xfId="0" applyFont="1" applyFill="1" applyBorder="1" applyAlignment="1">
      <alignment horizontal="right" vertical="center" shrinkToFit="1"/>
    </xf>
    <xf numFmtId="0" fontId="48" fillId="2" borderId="195" xfId="0" applyFont="1" applyFill="1" applyBorder="1" applyAlignment="1">
      <alignment horizontal="right" vertical="center" shrinkToFit="1"/>
    </xf>
    <xf numFmtId="38" fontId="48" fillId="2" borderId="196" xfId="4" applyFont="1" applyFill="1" applyBorder="1" applyAlignment="1" applyProtection="1">
      <alignment horizontal="right" vertical="center" shrinkToFit="1"/>
    </xf>
    <xf numFmtId="0" fontId="48" fillId="4" borderId="198" xfId="0" applyFont="1" applyFill="1" applyBorder="1" applyAlignment="1" applyProtection="1">
      <alignment horizontal="right" vertical="center" shrinkToFit="1"/>
      <protection locked="0"/>
    </xf>
    <xf numFmtId="0" fontId="48" fillId="4" borderId="199" xfId="0" applyFont="1" applyFill="1" applyBorder="1" applyAlignment="1" applyProtection="1">
      <alignment horizontal="right" vertical="center" shrinkToFit="1"/>
      <protection locked="0"/>
    </xf>
    <xf numFmtId="0" fontId="48" fillId="4" borderId="200" xfId="0" applyFont="1" applyFill="1" applyBorder="1" applyAlignment="1" applyProtection="1">
      <alignment horizontal="right" vertical="center" shrinkToFit="1"/>
      <protection locked="0"/>
    </xf>
    <xf numFmtId="38" fontId="48" fillId="0" borderId="201" xfId="4" applyFont="1" applyFill="1" applyBorder="1" applyAlignment="1" applyProtection="1">
      <alignment horizontal="right" vertical="center" shrinkToFit="1"/>
    </xf>
    <xf numFmtId="0" fontId="48" fillId="0" borderId="198" xfId="0" applyFont="1" applyBorder="1" applyAlignment="1">
      <alignment horizontal="center" vertical="center" shrinkToFit="1"/>
    </xf>
    <xf numFmtId="0" fontId="48" fillId="0" borderId="199" xfId="0" applyFont="1" applyBorder="1" applyAlignment="1">
      <alignment horizontal="center" vertical="center" shrinkToFit="1"/>
    </xf>
    <xf numFmtId="0" fontId="48" fillId="0" borderId="202" xfId="0" applyFont="1" applyBorder="1" applyAlignment="1">
      <alignment horizontal="center" vertical="center" shrinkToFit="1"/>
    </xf>
    <xf numFmtId="0" fontId="48" fillId="0" borderId="203" xfId="0" applyFont="1" applyBorder="1" applyAlignment="1">
      <alignment horizontal="center" vertical="center" shrinkToFit="1"/>
    </xf>
    <xf numFmtId="199" fontId="48" fillId="0" borderId="204" xfId="0" applyNumberFormat="1" applyFont="1" applyBorder="1" applyAlignment="1">
      <alignment horizontal="center" vertical="center" shrinkToFit="1"/>
    </xf>
    <xf numFmtId="0" fontId="52" fillId="2" borderId="0" xfId="0" applyFont="1" applyFill="1" applyAlignment="1">
      <alignment horizontal="left" vertical="center"/>
    </xf>
    <xf numFmtId="0" fontId="41" fillId="2" borderId="0" xfId="0" applyFont="1" applyFill="1">
      <alignment vertical="center"/>
    </xf>
    <xf numFmtId="0" fontId="12" fillId="2" borderId="0" xfId="3" applyFont="1" applyFill="1" applyAlignment="1">
      <alignment vertical="center"/>
    </xf>
    <xf numFmtId="0" fontId="9" fillId="2" borderId="0" xfId="3" applyFont="1" applyFill="1" applyAlignment="1">
      <alignment vertical="center"/>
    </xf>
    <xf numFmtId="0" fontId="53" fillId="2" borderId="0" xfId="3" applyFont="1" applyFill="1" applyAlignment="1">
      <alignment vertical="center"/>
    </xf>
    <xf numFmtId="0" fontId="9" fillId="2" borderId="0" xfId="0" applyFont="1" applyFill="1" applyAlignment="1">
      <alignment vertical="center" shrinkToFit="1"/>
    </xf>
    <xf numFmtId="0" fontId="54" fillId="2" borderId="0" xfId="3" applyFont="1" applyFill="1" applyAlignment="1">
      <alignment vertical="center"/>
    </xf>
    <xf numFmtId="0" fontId="9" fillId="2" borderId="0" xfId="3" applyFont="1" applyFill="1" applyAlignment="1">
      <alignment horizontal="right" vertical="center"/>
    </xf>
    <xf numFmtId="0" fontId="9" fillId="2" borderId="1" xfId="3" applyFont="1" applyFill="1" applyBorder="1" applyAlignment="1">
      <alignment horizontal="center" vertical="center" wrapText="1"/>
    </xf>
    <xf numFmtId="0" fontId="9" fillId="3" borderId="209" xfId="3" applyFont="1" applyFill="1" applyBorder="1" applyAlignment="1">
      <alignment horizontal="center" vertical="center"/>
    </xf>
    <xf numFmtId="0" fontId="9" fillId="3" borderId="210" xfId="3" applyFont="1" applyFill="1" applyBorder="1" applyAlignment="1">
      <alignment horizontal="center" vertical="center"/>
    </xf>
    <xf numFmtId="0" fontId="9" fillId="3" borderId="211" xfId="3" applyFont="1" applyFill="1" applyBorder="1" applyAlignment="1">
      <alignment horizontal="center" vertical="center"/>
    </xf>
    <xf numFmtId="0" fontId="9" fillId="3" borderId="212" xfId="3" applyFont="1" applyFill="1" applyBorder="1" applyAlignment="1">
      <alignment horizontal="center" vertical="center"/>
    </xf>
    <xf numFmtId="0" fontId="9" fillId="2" borderId="168" xfId="3" applyFont="1" applyFill="1" applyBorder="1" applyAlignment="1">
      <alignment vertical="center" shrinkToFit="1"/>
    </xf>
    <xf numFmtId="0" fontId="41" fillId="2" borderId="213" xfId="0" applyFont="1" applyFill="1" applyBorder="1">
      <alignment vertical="center"/>
    </xf>
    <xf numFmtId="0" fontId="41" fillId="2" borderId="214" xfId="0" applyFont="1" applyFill="1" applyBorder="1">
      <alignment vertical="center"/>
    </xf>
    <xf numFmtId="2" fontId="55" fillId="2" borderId="169" xfId="3" applyNumberFormat="1" applyFont="1" applyFill="1" applyBorder="1" applyAlignment="1">
      <alignment vertical="center"/>
    </xf>
    <xf numFmtId="0" fontId="9" fillId="2" borderId="153" xfId="3" applyFont="1" applyFill="1" applyBorder="1" applyAlignment="1">
      <alignment vertical="center" shrinkToFit="1"/>
    </xf>
    <xf numFmtId="0" fontId="41" fillId="2" borderId="217" xfId="0" applyFont="1" applyFill="1" applyBorder="1">
      <alignment vertical="center"/>
    </xf>
    <xf numFmtId="0" fontId="41" fillId="2" borderId="218" xfId="0" applyFont="1" applyFill="1" applyBorder="1">
      <alignment vertical="center"/>
    </xf>
    <xf numFmtId="2" fontId="55" fillId="2" borderId="155" xfId="3" applyNumberFormat="1" applyFont="1" applyFill="1" applyBorder="1" applyAlignment="1">
      <alignment vertical="center"/>
    </xf>
    <xf numFmtId="0" fontId="9" fillId="2" borderId="156" xfId="3" applyFont="1" applyFill="1" applyBorder="1" applyAlignment="1">
      <alignment vertical="center" shrinkToFit="1"/>
    </xf>
    <xf numFmtId="0" fontId="41" fillId="2" borderId="221" xfId="0" applyFont="1" applyFill="1" applyBorder="1">
      <alignment vertical="center"/>
    </xf>
    <xf numFmtId="0" fontId="41" fillId="2" borderId="222" xfId="0" applyFont="1" applyFill="1" applyBorder="1">
      <alignment vertical="center"/>
    </xf>
    <xf numFmtId="2" fontId="55" fillId="2" borderId="158" xfId="3" applyNumberFormat="1" applyFont="1" applyFill="1" applyBorder="1" applyAlignment="1">
      <alignment vertical="center"/>
    </xf>
    <xf numFmtId="0" fontId="9" fillId="2" borderId="0" xfId="3" applyFont="1" applyFill="1" applyAlignment="1">
      <alignment vertical="center" shrinkToFit="1"/>
    </xf>
    <xf numFmtId="0" fontId="41" fillId="2" borderId="0" xfId="0" applyFont="1" applyFill="1" applyAlignment="1">
      <alignment horizontal="right" vertical="center"/>
    </xf>
    <xf numFmtId="0" fontId="55" fillId="2" borderId="0" xfId="3" applyFont="1" applyFill="1" applyAlignment="1">
      <alignment horizontal="right" vertical="center" shrinkToFit="1"/>
    </xf>
    <xf numFmtId="2" fontId="55" fillId="0" borderId="0" xfId="3" applyNumberFormat="1" applyFont="1" applyAlignment="1">
      <alignment vertical="center"/>
    </xf>
    <xf numFmtId="2" fontId="55" fillId="0" borderId="0" xfId="3" applyNumberFormat="1" applyFont="1" applyAlignment="1">
      <alignment horizontal="center" vertical="center"/>
    </xf>
    <xf numFmtId="0" fontId="9" fillId="0" borderId="0" xfId="3" applyFont="1" applyAlignment="1">
      <alignment horizontal="left" vertical="center"/>
    </xf>
    <xf numFmtId="0" fontId="9" fillId="0" borderId="0" xfId="3" applyFont="1" applyAlignment="1">
      <alignment vertical="center"/>
    </xf>
    <xf numFmtId="2" fontId="55" fillId="2" borderId="0" xfId="3" applyNumberFormat="1" applyFont="1" applyFill="1" applyAlignment="1">
      <alignment vertical="center"/>
    </xf>
    <xf numFmtId="2" fontId="55" fillId="2" borderId="0" xfId="3" applyNumberFormat="1" applyFont="1" applyFill="1" applyAlignment="1">
      <alignment horizontal="center" vertical="center"/>
    </xf>
    <xf numFmtId="0" fontId="22" fillId="0" borderId="225" xfId="0" applyFont="1" applyBorder="1" applyAlignment="1">
      <alignment horizontal="center" vertical="center" shrinkToFit="1"/>
    </xf>
    <xf numFmtId="0" fontId="22" fillId="0" borderId="225" xfId="0" applyFont="1" applyBorder="1" applyAlignment="1">
      <alignment horizontal="center" vertical="center"/>
    </xf>
    <xf numFmtId="0" fontId="22" fillId="0" borderId="226" xfId="0" applyFont="1" applyBorder="1" applyAlignment="1">
      <alignment horizontal="center" vertical="center"/>
    </xf>
    <xf numFmtId="0" fontId="22" fillId="0" borderId="227" xfId="0" applyFont="1" applyBorder="1" applyAlignment="1">
      <alignment horizontal="center" vertical="center"/>
    </xf>
    <xf numFmtId="0" fontId="22" fillId="0" borderId="45" xfId="0" applyFont="1" applyBorder="1" applyAlignment="1">
      <alignment horizontal="center" vertical="center" shrinkToFit="1"/>
    </xf>
    <xf numFmtId="0" fontId="22" fillId="0" borderId="74" xfId="0" applyFont="1" applyBorder="1" applyAlignment="1">
      <alignment horizontal="center" vertical="center" shrinkToFit="1"/>
    </xf>
    <xf numFmtId="0" fontId="22" fillId="0" borderId="3" xfId="0" applyFont="1" applyBorder="1" applyAlignment="1">
      <alignment horizontal="center" vertical="center" shrinkToFit="1"/>
    </xf>
    <xf numFmtId="0" fontId="22" fillId="0" borderId="46" xfId="0" applyFont="1" applyBorder="1" applyAlignment="1">
      <alignment horizontal="center" vertical="center" shrinkToFit="1"/>
    </xf>
    <xf numFmtId="0" fontId="22" fillId="0" borderId="229" xfId="0" applyFont="1" applyBorder="1">
      <alignment vertical="center"/>
    </xf>
    <xf numFmtId="0" fontId="22" fillId="0" borderId="49" xfId="0" applyFont="1" applyBorder="1">
      <alignment vertical="center"/>
    </xf>
    <xf numFmtId="0" fontId="22" fillId="0" borderId="139" xfId="0" applyFont="1" applyBorder="1" applyAlignment="1">
      <alignment horizontal="center" vertical="center" shrinkToFit="1"/>
    </xf>
    <xf numFmtId="0" fontId="22" fillId="0" borderId="230" xfId="0" applyFont="1" applyBorder="1" applyAlignment="1">
      <alignment horizontal="center" vertical="center" shrinkToFit="1"/>
    </xf>
    <xf numFmtId="0" fontId="22" fillId="0" borderId="231" xfId="0" applyFont="1" applyBorder="1">
      <alignment vertical="center"/>
    </xf>
    <xf numFmtId="0" fontId="22" fillId="0" borderId="95" xfId="0" applyFont="1" applyBorder="1" applyAlignment="1">
      <alignment vertical="center" shrinkToFit="1"/>
    </xf>
    <xf numFmtId="0" fontId="22" fillId="0" borderId="20" xfId="0" applyFont="1" applyBorder="1" applyAlignment="1">
      <alignment vertical="center" shrinkToFit="1"/>
    </xf>
    <xf numFmtId="0" fontId="22" fillId="0" borderId="232" xfId="0" applyFont="1" applyBorder="1" applyAlignment="1">
      <alignment vertical="center" shrinkToFit="1"/>
    </xf>
    <xf numFmtId="0" fontId="22" fillId="0" borderId="97" xfId="0" applyFont="1" applyBorder="1" applyAlignment="1">
      <alignment vertical="center" shrinkToFit="1"/>
    </xf>
    <xf numFmtId="0" fontId="22" fillId="0" borderId="73" xfId="0" applyFont="1" applyBorder="1" applyAlignment="1">
      <alignment horizontal="center" vertical="center" shrinkToFit="1"/>
    </xf>
    <xf numFmtId="0" fontId="22" fillId="0" borderId="14" xfId="0" applyFont="1" applyBorder="1" applyAlignment="1">
      <alignment horizontal="center" vertical="center" shrinkToFit="1"/>
    </xf>
    <xf numFmtId="0" fontId="22" fillId="0" borderId="68" xfId="0" applyFont="1" applyBorder="1" applyAlignment="1">
      <alignment horizontal="center" vertical="center" shrinkToFit="1"/>
    </xf>
    <xf numFmtId="0" fontId="22" fillId="0" borderId="140" xfId="0" applyFont="1" applyBorder="1" applyAlignment="1">
      <alignment horizontal="center" vertical="center" shrinkToFit="1"/>
    </xf>
    <xf numFmtId="0" fontId="22" fillId="0" borderId="140" xfId="0" applyFont="1" applyBorder="1">
      <alignment vertical="center"/>
    </xf>
    <xf numFmtId="0" fontId="22" fillId="0" borderId="64" xfId="0" applyFont="1" applyBorder="1">
      <alignment vertical="center"/>
    </xf>
    <xf numFmtId="0" fontId="22" fillId="0" borderId="237" xfId="0" applyFont="1" applyBorder="1">
      <alignment vertical="center"/>
    </xf>
    <xf numFmtId="0" fontId="22" fillId="0" borderId="17" xfId="0" applyFont="1" applyBorder="1" applyAlignment="1">
      <alignment vertical="center" shrinkToFit="1"/>
    </xf>
    <xf numFmtId="0" fontId="22" fillId="0" borderId="238" xfId="0" applyFont="1" applyBorder="1">
      <alignment vertical="center"/>
    </xf>
    <xf numFmtId="14" fontId="22" fillId="0" borderId="27" xfId="0" applyNumberFormat="1" applyFont="1" applyBorder="1" applyAlignment="1">
      <alignment vertical="center" shrinkToFit="1"/>
    </xf>
    <xf numFmtId="0" fontId="22" fillId="0" borderId="32" xfId="0" applyFont="1" applyBorder="1" applyAlignment="1">
      <alignment horizontal="center" vertical="center" shrinkToFit="1"/>
    </xf>
    <xf numFmtId="0" fontId="22" fillId="0" borderId="55"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69" xfId="0" applyFont="1" applyBorder="1" applyAlignment="1">
      <alignment horizontal="center" vertical="center" shrinkToFit="1"/>
    </xf>
    <xf numFmtId="0" fontId="22" fillId="0" borderId="141" xfId="0" applyFont="1" applyBorder="1" applyAlignment="1">
      <alignment horizontal="center" vertical="center" shrinkToFit="1"/>
    </xf>
    <xf numFmtId="0" fontId="9" fillId="0" borderId="141" xfId="3" applyFont="1" applyBorder="1" applyAlignment="1">
      <alignment vertical="center" shrinkToFit="1"/>
    </xf>
    <xf numFmtId="0" fontId="9" fillId="0" borderId="243" xfId="3" applyFont="1" applyBorder="1" applyAlignment="1">
      <alignment vertical="center" shrinkToFit="1"/>
    </xf>
    <xf numFmtId="0" fontId="9" fillId="0" borderId="244" xfId="3" applyFont="1" applyBorder="1" applyAlignment="1">
      <alignment vertical="center" shrinkToFit="1"/>
    </xf>
    <xf numFmtId="0" fontId="22" fillId="0" borderId="94" xfId="0" applyFont="1" applyBorder="1" applyAlignment="1">
      <alignment vertical="center" shrinkToFit="1"/>
    </xf>
    <xf numFmtId="0" fontId="22" fillId="0" borderId="4" xfId="0" applyFont="1" applyBorder="1">
      <alignment vertical="center"/>
    </xf>
    <xf numFmtId="0" fontId="22" fillId="0" borderId="35" xfId="0" applyFont="1" applyBorder="1" applyAlignment="1">
      <alignment vertical="center" shrinkToFit="1"/>
    </xf>
    <xf numFmtId="0" fontId="9" fillId="2" borderId="213" xfId="3" applyFont="1" applyFill="1" applyBorder="1" applyAlignment="1">
      <alignment horizontal="center" vertical="center" shrinkToFit="1"/>
    </xf>
    <xf numFmtId="0" fontId="9" fillId="4" borderId="245" xfId="3" applyFont="1" applyFill="1" applyBorder="1" applyAlignment="1" applyProtection="1">
      <alignment horizontal="center" vertical="center" shrinkToFit="1"/>
      <protection locked="0"/>
    </xf>
    <xf numFmtId="0" fontId="9" fillId="6" borderId="247" xfId="3" applyFont="1" applyFill="1" applyBorder="1" applyAlignment="1" applyProtection="1">
      <alignment horizontal="center" vertical="center" shrinkToFit="1"/>
      <protection locked="0"/>
    </xf>
    <xf numFmtId="14" fontId="9" fillId="4" borderId="246" xfId="3" applyNumberFormat="1" applyFont="1" applyFill="1" applyBorder="1" applyAlignment="1" applyProtection="1">
      <alignment vertical="center" shrinkToFit="1"/>
      <protection locked="0"/>
    </xf>
    <xf numFmtId="0" fontId="9" fillId="4" borderId="246" xfId="3" applyFont="1" applyFill="1" applyBorder="1" applyAlignment="1" applyProtection="1">
      <alignment vertical="center" shrinkToFit="1"/>
      <protection locked="0"/>
    </xf>
    <xf numFmtId="188" fontId="22" fillId="0" borderId="45" xfId="0" applyNumberFormat="1" applyFont="1" applyBorder="1" applyAlignment="1">
      <alignment horizontal="right" vertical="center" shrinkToFit="1"/>
    </xf>
    <xf numFmtId="188" fontId="22" fillId="0" borderId="230" xfId="0" applyNumberFormat="1" applyFont="1" applyBorder="1" applyAlignment="1">
      <alignment horizontal="right" vertical="center" shrinkToFit="1"/>
    </xf>
    <xf numFmtId="188" fontId="22" fillId="0" borderId="3" xfId="0" applyNumberFormat="1" applyFont="1" applyBorder="1" applyAlignment="1">
      <alignment horizontal="right" vertical="center" shrinkToFit="1"/>
    </xf>
    <xf numFmtId="188" fontId="22" fillId="0" borderId="46" xfId="0" applyNumberFormat="1" applyFont="1" applyBorder="1" applyAlignment="1">
      <alignment horizontal="right" vertical="center" shrinkToFit="1"/>
    </xf>
    <xf numFmtId="0" fontId="22" fillId="0" borderId="139" xfId="0" applyFont="1" applyBorder="1" applyAlignment="1">
      <alignment horizontal="right" vertical="center" shrinkToFit="1"/>
    </xf>
    <xf numFmtId="0" fontId="22" fillId="0" borderId="46" xfId="0" applyFont="1" applyBorder="1" applyAlignment="1">
      <alignment horizontal="right" vertical="center" shrinkToFit="1"/>
    </xf>
    <xf numFmtId="0" fontId="22" fillId="0" borderId="230" xfId="0" applyFont="1" applyBorder="1" applyAlignment="1">
      <alignment horizontal="right" vertical="center" shrinkToFit="1"/>
    </xf>
    <xf numFmtId="0" fontId="22" fillId="0" borderId="231" xfId="0" applyFont="1" applyBorder="1" applyAlignment="1">
      <alignment horizontal="right" vertical="center" shrinkToFit="1"/>
    </xf>
    <xf numFmtId="0" fontId="9" fillId="2" borderId="217" xfId="3" applyFont="1" applyFill="1" applyBorder="1" applyAlignment="1">
      <alignment horizontal="center" vertical="center" shrinkToFit="1"/>
    </xf>
    <xf numFmtId="0" fontId="9" fillId="4" borderId="155" xfId="3" applyFont="1" applyFill="1" applyBorder="1" applyAlignment="1" applyProtection="1">
      <alignment horizontal="center" vertical="center" shrinkToFit="1"/>
      <protection locked="0"/>
    </xf>
    <xf numFmtId="0" fontId="9" fillId="6" borderId="250" xfId="3" applyFont="1" applyFill="1" applyBorder="1" applyAlignment="1" applyProtection="1">
      <alignment horizontal="center" vertical="center" shrinkToFit="1"/>
      <protection locked="0"/>
    </xf>
    <xf numFmtId="0" fontId="9" fillId="2" borderId="218" xfId="3" applyFont="1" applyFill="1" applyBorder="1" applyAlignment="1" applyProtection="1">
      <alignment horizontal="center" vertical="center" shrinkToFit="1"/>
      <protection locked="0"/>
    </xf>
    <xf numFmtId="0" fontId="9" fillId="4" borderId="153" xfId="3" applyFont="1" applyFill="1" applyBorder="1" applyAlignment="1" applyProtection="1">
      <alignment vertical="center" shrinkToFit="1"/>
      <protection locked="0"/>
    </xf>
    <xf numFmtId="188" fontId="22" fillId="0" borderId="73" xfId="0" applyNumberFormat="1" applyFont="1" applyBorder="1" applyAlignment="1">
      <alignment horizontal="right" vertical="center" shrinkToFit="1"/>
    </xf>
    <xf numFmtId="188" fontId="22" fillId="0" borderId="64" xfId="0" applyNumberFormat="1" applyFont="1" applyBorder="1" applyAlignment="1">
      <alignment horizontal="right" vertical="center" shrinkToFit="1"/>
    </xf>
    <xf numFmtId="188" fontId="22" fillId="0" borderId="4" xfId="0" applyNumberFormat="1" applyFont="1" applyBorder="1" applyAlignment="1">
      <alignment horizontal="right" vertical="center" shrinkToFit="1"/>
    </xf>
    <xf numFmtId="188" fontId="22" fillId="0" borderId="68" xfId="0" applyNumberFormat="1" applyFont="1" applyBorder="1" applyAlignment="1">
      <alignment horizontal="right" vertical="center" shrinkToFit="1"/>
    </xf>
    <xf numFmtId="0" fontId="22" fillId="0" borderId="140" xfId="0" applyFont="1" applyBorder="1" applyAlignment="1">
      <alignment horizontal="right" vertical="center" shrinkToFit="1"/>
    </xf>
    <xf numFmtId="0" fontId="22" fillId="0" borderId="4" xfId="0" applyFont="1" applyBorder="1" applyAlignment="1">
      <alignment horizontal="right" vertical="center" shrinkToFit="1"/>
    </xf>
    <xf numFmtId="0" fontId="22" fillId="0" borderId="64" xfId="0" applyFont="1" applyBorder="1" applyAlignment="1">
      <alignment horizontal="right" vertical="center" shrinkToFit="1"/>
    </xf>
    <xf numFmtId="0" fontId="22" fillId="0" borderId="251" xfId="0" applyFont="1" applyBorder="1" applyAlignment="1">
      <alignment horizontal="right" vertical="center" shrinkToFit="1"/>
    </xf>
    <xf numFmtId="0" fontId="22" fillId="0" borderId="252" xfId="0" applyFont="1" applyBorder="1" applyAlignment="1">
      <alignment horizontal="right" vertical="center" shrinkToFit="1"/>
    </xf>
    <xf numFmtId="0" fontId="22" fillId="0" borderId="253" xfId="0" applyFont="1" applyBorder="1">
      <alignment vertical="center"/>
    </xf>
    <xf numFmtId="0" fontId="22" fillId="0" borderId="47" xfId="0" applyFont="1" applyBorder="1" applyAlignment="1">
      <alignment vertical="center" shrinkToFit="1"/>
    </xf>
    <xf numFmtId="0" fontId="9" fillId="2" borderId="221" xfId="3" applyFont="1" applyFill="1" applyBorder="1" applyAlignment="1">
      <alignment horizontal="center" vertical="center" shrinkToFit="1"/>
    </xf>
    <xf numFmtId="0" fontId="9" fillId="4" borderId="158" xfId="3" applyFont="1" applyFill="1" applyBorder="1" applyAlignment="1" applyProtection="1">
      <alignment horizontal="center" vertical="center" shrinkToFit="1"/>
      <protection locked="0"/>
    </xf>
    <xf numFmtId="0" fontId="9" fillId="6" borderId="255" xfId="3" applyFont="1" applyFill="1" applyBorder="1" applyAlignment="1" applyProtection="1">
      <alignment horizontal="center" vertical="center" shrinkToFit="1"/>
      <protection locked="0"/>
    </xf>
    <xf numFmtId="0" fontId="9" fillId="2" borderId="222" xfId="3" applyFont="1" applyFill="1" applyBorder="1" applyAlignment="1" applyProtection="1">
      <alignment horizontal="center" vertical="center" shrinkToFit="1"/>
      <protection locked="0"/>
    </xf>
    <xf numFmtId="14" fontId="9" fillId="4" borderId="156" xfId="3" applyNumberFormat="1" applyFont="1" applyFill="1" applyBorder="1" applyAlignment="1" applyProtection="1">
      <alignment vertical="center" shrinkToFit="1"/>
      <protection locked="0"/>
    </xf>
    <xf numFmtId="0" fontId="9" fillId="4" borderId="156" xfId="3" applyFont="1" applyFill="1" applyBorder="1" applyAlignment="1" applyProtection="1">
      <alignment vertical="center" shrinkToFit="1"/>
      <protection locked="0"/>
    </xf>
    <xf numFmtId="188" fontId="22" fillId="0" borderId="32" xfId="0" applyNumberFormat="1" applyFont="1" applyBorder="1" applyAlignment="1">
      <alignment horizontal="right" vertical="center" shrinkToFit="1"/>
    </xf>
    <xf numFmtId="188" fontId="22" fillId="0" borderId="243" xfId="0" applyNumberFormat="1" applyFont="1" applyBorder="1" applyAlignment="1">
      <alignment horizontal="right" vertical="center" shrinkToFit="1"/>
    </xf>
    <xf numFmtId="188" fontId="22" fillId="0" borderId="5" xfId="0" applyNumberFormat="1" applyFont="1" applyBorder="1" applyAlignment="1">
      <alignment horizontal="right" vertical="center" shrinkToFit="1"/>
    </xf>
    <xf numFmtId="188" fontId="22" fillId="0" borderId="69" xfId="0" applyNumberFormat="1" applyFont="1" applyBorder="1" applyAlignment="1">
      <alignment horizontal="right" vertical="center" shrinkToFit="1"/>
    </xf>
    <xf numFmtId="0" fontId="22" fillId="0" borderId="141" xfId="0" applyFont="1" applyBorder="1" applyAlignment="1">
      <alignment horizontal="right" vertical="center" shrinkToFit="1"/>
    </xf>
    <xf numFmtId="0" fontId="22" fillId="0" borderId="5" xfId="0" applyFont="1" applyBorder="1" applyAlignment="1">
      <alignment horizontal="right" vertical="center" shrinkToFit="1"/>
    </xf>
    <xf numFmtId="0" fontId="22" fillId="0" borderId="243" xfId="0" applyFont="1" applyBorder="1" applyAlignment="1">
      <alignment horizontal="right" vertical="center" shrinkToFit="1"/>
    </xf>
    <xf numFmtId="0" fontId="22" fillId="0" borderId="143" xfId="0" applyFont="1" applyBorder="1" applyAlignment="1">
      <alignment horizontal="right" vertical="center" shrinkToFit="1"/>
    </xf>
    <xf numFmtId="0" fontId="22" fillId="0" borderId="256" xfId="0" applyFont="1" applyBorder="1" applyAlignment="1">
      <alignment horizontal="right" vertical="center" shrinkToFit="1"/>
    </xf>
    <xf numFmtId="0" fontId="22" fillId="0" borderId="73" xfId="0" applyFont="1" applyBorder="1">
      <alignment vertical="center"/>
    </xf>
    <xf numFmtId="0" fontId="22" fillId="0" borderId="0" xfId="0" applyFont="1" applyAlignment="1">
      <alignment horizontal="center" vertical="center" shrinkToFit="1"/>
    </xf>
    <xf numFmtId="0" fontId="22" fillId="0" borderId="32" xfId="0" applyFont="1" applyBorder="1">
      <alignment vertical="center"/>
    </xf>
    <xf numFmtId="0" fontId="22" fillId="0" borderId="39" xfId="0" applyFont="1" applyBorder="1" applyAlignment="1">
      <alignment vertical="center" shrinkToFit="1"/>
    </xf>
    <xf numFmtId="0" fontId="22" fillId="0" borderId="40" xfId="0" applyFont="1" applyBorder="1" applyAlignment="1">
      <alignment vertical="center" shrinkToFit="1"/>
    </xf>
    <xf numFmtId="0" fontId="9" fillId="2" borderId="0" xfId="0" applyFont="1" applyFill="1">
      <alignment vertical="center"/>
    </xf>
    <xf numFmtId="0" fontId="23" fillId="0" borderId="24" xfId="0" applyFont="1" applyBorder="1" applyAlignment="1">
      <alignment horizontal="center" vertical="center" shrinkToFit="1"/>
    </xf>
    <xf numFmtId="0" fontId="23" fillId="0" borderId="26" xfId="0" applyFont="1" applyBorder="1" applyAlignment="1">
      <alignment horizontal="center" vertical="center" shrinkToFit="1"/>
    </xf>
    <xf numFmtId="0" fontId="23" fillId="0" borderId="115" xfId="0" applyFont="1" applyBorder="1" applyAlignment="1">
      <alignment horizontal="center" vertical="center"/>
    </xf>
    <xf numFmtId="0" fontId="23" fillId="0" borderId="25" xfId="0" applyFont="1" applyBorder="1" applyAlignment="1">
      <alignment horizontal="center" vertical="center"/>
    </xf>
    <xf numFmtId="0" fontId="23" fillId="0" borderId="26" xfId="0" applyFont="1" applyBorder="1" applyAlignment="1">
      <alignment horizontal="center" vertical="center"/>
    </xf>
    <xf numFmtId="0" fontId="22" fillId="0" borderId="7" xfId="0" applyFont="1" applyBorder="1">
      <alignment vertical="center"/>
    </xf>
    <xf numFmtId="0" fontId="23" fillId="0" borderId="74" xfId="0" applyFont="1" applyBorder="1" applyAlignment="1">
      <alignment horizontal="center" vertical="center" shrinkToFit="1"/>
    </xf>
    <xf numFmtId="0" fontId="23" fillId="0" borderId="3" xfId="0" applyFont="1" applyBorder="1" applyAlignment="1">
      <alignment horizontal="center" vertical="center" shrinkToFit="1"/>
    </xf>
    <xf numFmtId="0" fontId="22" fillId="0" borderId="46" xfId="0" applyFont="1" applyBorder="1">
      <alignment vertical="center"/>
    </xf>
    <xf numFmtId="188" fontId="22" fillId="0" borderId="4" xfId="0" applyNumberFormat="1" applyFont="1" applyBorder="1" applyAlignment="1">
      <alignment horizontal="center" vertical="center" shrinkToFit="1"/>
    </xf>
    <xf numFmtId="0" fontId="22" fillId="0" borderId="14" xfId="0" applyFont="1" applyBorder="1">
      <alignment vertical="center"/>
    </xf>
    <xf numFmtId="0" fontId="22" fillId="0" borderId="68" xfId="0" applyFont="1" applyBorder="1">
      <alignment vertical="center"/>
    </xf>
    <xf numFmtId="0" fontId="9" fillId="0" borderId="55" xfId="3" applyFont="1" applyBorder="1" applyAlignment="1">
      <alignment vertical="center" shrinkToFit="1"/>
    </xf>
    <xf numFmtId="0" fontId="9" fillId="0" borderId="5" xfId="3" applyFont="1" applyBorder="1" applyAlignment="1">
      <alignment vertical="center" shrinkToFit="1"/>
    </xf>
    <xf numFmtId="0" fontId="9" fillId="0" borderId="69" xfId="3" applyFont="1" applyBorder="1" applyAlignment="1">
      <alignment vertical="center" shrinkToFit="1"/>
    </xf>
    <xf numFmtId="0" fontId="9" fillId="0" borderId="213" xfId="3" applyFont="1" applyBorder="1" applyAlignment="1">
      <alignment horizontal="center" vertical="center" shrinkToFit="1"/>
    </xf>
    <xf numFmtId="0" fontId="9" fillId="4" borderId="169" xfId="3" applyFont="1" applyFill="1" applyBorder="1" applyAlignment="1" applyProtection="1">
      <alignment horizontal="center" vertical="center" shrinkToFit="1"/>
      <protection locked="0"/>
    </xf>
    <xf numFmtId="0" fontId="9" fillId="6" borderId="168" xfId="3" applyFont="1" applyFill="1" applyBorder="1" applyAlignment="1" applyProtection="1">
      <alignment horizontal="center" vertical="center" shrinkToFit="1"/>
      <protection locked="0"/>
    </xf>
    <xf numFmtId="0" fontId="9" fillId="6" borderId="257" xfId="3" applyFont="1" applyFill="1" applyBorder="1" applyAlignment="1" applyProtection="1">
      <alignment horizontal="center" vertical="center" shrinkToFit="1"/>
      <protection locked="0"/>
    </xf>
    <xf numFmtId="0" fontId="9" fillId="2" borderId="214" xfId="3" applyFont="1" applyFill="1" applyBorder="1" applyAlignment="1" applyProtection="1">
      <alignment horizontal="center" vertical="center" shrinkToFit="1"/>
      <protection locked="0"/>
    </xf>
    <xf numFmtId="201" fontId="9" fillId="2" borderId="169" xfId="3" applyNumberFormat="1" applyFont="1" applyFill="1" applyBorder="1" applyAlignment="1">
      <alignment horizontal="right" vertical="center" shrinkToFit="1"/>
    </xf>
    <xf numFmtId="14" fontId="9" fillId="4" borderId="168" xfId="3" applyNumberFormat="1" applyFont="1" applyFill="1" applyBorder="1" applyAlignment="1" applyProtection="1">
      <alignment vertical="center" shrinkToFit="1"/>
      <protection locked="0"/>
    </xf>
    <xf numFmtId="0" fontId="9" fillId="4" borderId="168" xfId="3" applyFont="1" applyFill="1" applyBorder="1" applyAlignment="1" applyProtection="1">
      <alignment vertical="center" shrinkToFit="1"/>
      <protection locked="0"/>
    </xf>
    <xf numFmtId="0" fontId="22" fillId="2" borderId="167" xfId="0" applyFont="1" applyFill="1" applyBorder="1" applyAlignment="1">
      <alignment horizontal="center" vertical="center" shrinkToFit="1"/>
    </xf>
    <xf numFmtId="188" fontId="22" fillId="0" borderId="74" xfId="0" applyNumberFormat="1" applyFont="1" applyBorder="1" applyAlignment="1">
      <alignment horizontal="right" vertical="center" shrinkToFit="1"/>
    </xf>
    <xf numFmtId="0" fontId="22" fillId="0" borderId="45" xfId="0" applyFont="1" applyBorder="1" applyAlignment="1">
      <alignment horizontal="right" vertical="center" shrinkToFit="1"/>
    </xf>
    <xf numFmtId="0" fontId="22" fillId="0" borderId="3" xfId="0" applyFont="1" applyBorder="1" applyAlignment="1">
      <alignment horizontal="right" vertical="center" shrinkToFit="1"/>
    </xf>
    <xf numFmtId="0" fontId="22" fillId="0" borderId="28" xfId="0" applyFont="1" applyBorder="1" applyAlignment="1">
      <alignment horizontal="right" vertical="center" shrinkToFit="1"/>
    </xf>
    <xf numFmtId="0" fontId="9" fillId="0" borderId="217" xfId="3" applyFont="1" applyBorder="1" applyAlignment="1">
      <alignment horizontal="center" vertical="center" shrinkToFit="1"/>
    </xf>
    <xf numFmtId="0" fontId="9" fillId="6" borderId="153" xfId="3" applyFont="1" applyFill="1" applyBorder="1" applyAlignment="1" applyProtection="1">
      <alignment horizontal="center" vertical="center" shrinkToFit="1"/>
      <protection locked="0"/>
    </xf>
    <xf numFmtId="201" fontId="9" fillId="2" borderId="155" xfId="3" applyNumberFormat="1" applyFont="1" applyFill="1" applyBorder="1" applyAlignment="1">
      <alignment horizontal="right" vertical="center" shrinkToFit="1"/>
    </xf>
    <xf numFmtId="0" fontId="22" fillId="2" borderId="148" xfId="0" applyFont="1" applyFill="1" applyBorder="1" applyAlignment="1">
      <alignment horizontal="center" vertical="center" shrinkToFit="1"/>
    </xf>
    <xf numFmtId="188" fontId="22" fillId="0" borderId="14" xfId="0" applyNumberFormat="1" applyFont="1" applyBorder="1" applyAlignment="1">
      <alignment horizontal="right" vertical="center" shrinkToFit="1"/>
    </xf>
    <xf numFmtId="0" fontId="22" fillId="0" borderId="73" xfId="0" applyFont="1" applyBorder="1" applyAlignment="1">
      <alignment horizontal="right" vertical="center" shrinkToFit="1"/>
    </xf>
    <xf numFmtId="0" fontId="22" fillId="0" borderId="20" xfId="0" applyFont="1" applyBorder="1" applyAlignment="1">
      <alignment horizontal="right" vertical="center" shrinkToFit="1"/>
    </xf>
    <xf numFmtId="0" fontId="22" fillId="0" borderId="49" xfId="0" applyFont="1" applyBorder="1" applyAlignment="1">
      <alignment horizontal="right" vertical="center" shrinkToFit="1"/>
    </xf>
    <xf numFmtId="0" fontId="9" fillId="0" borderId="221" xfId="3" applyFont="1" applyBorder="1" applyAlignment="1">
      <alignment horizontal="center" vertical="center" shrinkToFit="1"/>
    </xf>
    <xf numFmtId="0" fontId="9" fillId="6" borderId="156" xfId="3" applyFont="1" applyFill="1" applyBorder="1" applyAlignment="1" applyProtection="1">
      <alignment horizontal="center" vertical="center" shrinkToFit="1"/>
      <protection locked="0"/>
    </xf>
    <xf numFmtId="201" fontId="9" fillId="2" borderId="158" xfId="3" applyNumberFormat="1" applyFont="1" applyFill="1" applyBorder="1" applyAlignment="1">
      <alignment horizontal="right" vertical="center" shrinkToFit="1"/>
    </xf>
    <xf numFmtId="0" fontId="22" fillId="2" borderId="149" xfId="0" applyFont="1" applyFill="1" applyBorder="1" applyAlignment="1">
      <alignment horizontal="center" vertical="center" shrinkToFit="1"/>
    </xf>
    <xf numFmtId="188" fontId="22" fillId="0" borderId="55" xfId="0" applyNumberFormat="1" applyFont="1" applyBorder="1" applyAlignment="1">
      <alignment horizontal="right" vertical="center" shrinkToFit="1"/>
    </xf>
    <xf numFmtId="0" fontId="22" fillId="0" borderId="32" xfId="0" applyFont="1" applyBorder="1" applyAlignment="1">
      <alignment horizontal="right" vertical="center" shrinkToFit="1"/>
    </xf>
    <xf numFmtId="0" fontId="22" fillId="0" borderId="56" xfId="0" applyFont="1" applyBorder="1" applyAlignment="1">
      <alignment horizontal="right" vertical="center" shrinkToFit="1"/>
    </xf>
    <xf numFmtId="0" fontId="22" fillId="0" borderId="69" xfId="0" applyFont="1" applyBorder="1" applyAlignment="1">
      <alignment horizontal="right" vertical="center" shrinkToFit="1"/>
    </xf>
    <xf numFmtId="0" fontId="22" fillId="0" borderId="120" xfId="0" applyFont="1" applyBorder="1" applyAlignment="1">
      <alignment horizontal="right" vertical="center" shrinkToFit="1"/>
    </xf>
    <xf numFmtId="0" fontId="22" fillId="0" borderId="74" xfId="0" applyFont="1" applyBorder="1" applyAlignment="1">
      <alignment horizontal="right" vertical="center" shrinkToFit="1"/>
    </xf>
    <xf numFmtId="0" fontId="22" fillId="0" borderId="75" xfId="0" applyFont="1" applyBorder="1" applyAlignment="1">
      <alignment horizontal="right" vertical="center" shrinkToFit="1"/>
    </xf>
    <xf numFmtId="0" fontId="22" fillId="0" borderId="57" xfId="0" applyFont="1" applyBorder="1" applyAlignment="1">
      <alignment horizontal="right" vertical="center" shrinkToFit="1"/>
    </xf>
    <xf numFmtId="0" fontId="22" fillId="0" borderId="18" xfId="0" applyFont="1" applyBorder="1" applyAlignment="1">
      <alignment horizontal="right" vertical="center" shrinkToFit="1"/>
    </xf>
    <xf numFmtId="0" fontId="23" fillId="0" borderId="22" xfId="0" applyFont="1" applyBorder="1" applyAlignment="1">
      <alignment horizontal="right" vertical="center" shrinkToFit="1"/>
    </xf>
    <xf numFmtId="0" fontId="22" fillId="0" borderId="68" xfId="0" applyFont="1" applyBorder="1" applyAlignment="1">
      <alignment horizontal="right" vertical="center" shrinkToFit="1"/>
    </xf>
    <xf numFmtId="0" fontId="22" fillId="0" borderId="14" xfId="0" applyFont="1" applyBorder="1" applyAlignment="1">
      <alignment horizontal="right" vertical="center" shrinkToFit="1"/>
    </xf>
    <xf numFmtId="0" fontId="22" fillId="0" borderId="23" xfId="0" applyFont="1" applyBorder="1" applyAlignment="1">
      <alignment horizontal="right" vertical="center" shrinkToFit="1"/>
    </xf>
    <xf numFmtId="0" fontId="22" fillId="0" borderId="55" xfId="0" applyFont="1" applyBorder="1" applyAlignment="1">
      <alignment horizontal="right" vertical="center" shrinkToFit="1"/>
    </xf>
    <xf numFmtId="0" fontId="4" fillId="2" borderId="39" xfId="3" applyFont="1" applyFill="1" applyBorder="1" applyAlignment="1">
      <alignment horizontal="center" vertical="center"/>
    </xf>
    <xf numFmtId="0" fontId="36" fillId="2" borderId="3" xfId="3" applyFont="1" applyFill="1" applyBorder="1" applyAlignment="1">
      <alignment horizontal="center" vertical="center" shrinkToFit="1"/>
    </xf>
    <xf numFmtId="0" fontId="36" fillId="2" borderId="9" xfId="3" applyFont="1" applyFill="1" applyBorder="1" applyAlignment="1">
      <alignment horizontal="center" vertical="center" shrinkToFit="1"/>
    </xf>
    <xf numFmtId="0" fontId="4" fillId="2" borderId="258" xfId="3" applyFont="1" applyFill="1" applyBorder="1" applyAlignment="1">
      <alignment horizontal="center" vertical="center" shrinkToFit="1"/>
    </xf>
    <xf numFmtId="4" fontId="25" fillId="2" borderId="170" xfId="2" applyNumberFormat="1" applyFont="1" applyFill="1" applyBorder="1" applyAlignment="1" applyProtection="1">
      <alignment horizontal="right" vertical="center" shrinkToFit="1"/>
    </xf>
    <xf numFmtId="0" fontId="4" fillId="2" borderId="259" xfId="3" applyFont="1" applyFill="1" applyBorder="1" applyAlignment="1">
      <alignment horizontal="center" vertical="center" shrinkToFit="1"/>
    </xf>
    <xf numFmtId="4" fontId="25" fillId="2" borderId="161" xfId="2" applyNumberFormat="1" applyFont="1" applyFill="1" applyBorder="1" applyAlignment="1" applyProtection="1">
      <alignment horizontal="right" vertical="center" shrinkToFit="1"/>
    </xf>
    <xf numFmtId="0" fontId="4" fillId="2" borderId="260" xfId="3" applyFont="1" applyFill="1" applyBorder="1" applyAlignment="1">
      <alignment horizontal="center" vertical="center" shrinkToFit="1"/>
    </xf>
    <xf numFmtId="4" fontId="25" fillId="2" borderId="165" xfId="2" applyNumberFormat="1" applyFont="1" applyFill="1" applyBorder="1" applyAlignment="1" applyProtection="1">
      <alignment horizontal="right" vertical="center" shrinkToFit="1"/>
    </xf>
    <xf numFmtId="195" fontId="4" fillId="2" borderId="25" xfId="3" applyNumberFormat="1" applyFont="1" applyFill="1" applyBorder="1" applyAlignment="1">
      <alignment shrinkToFit="1"/>
    </xf>
    <xf numFmtId="0" fontId="4" fillId="0" borderId="0" xfId="3" applyFont="1" applyAlignment="1">
      <alignment vertical="center" shrinkToFit="1"/>
    </xf>
    <xf numFmtId="0" fontId="22" fillId="0" borderId="68" xfId="0" applyFont="1" applyBorder="1" applyAlignment="1">
      <alignment vertical="center" shrinkToFit="1"/>
    </xf>
    <xf numFmtId="0" fontId="22" fillId="0" borderId="6" xfId="0" applyFont="1" applyBorder="1" applyAlignment="1">
      <alignment vertical="center" shrinkToFit="1"/>
    </xf>
    <xf numFmtId="0" fontId="56" fillId="2" borderId="0" xfId="0" applyFont="1" applyFill="1">
      <alignment vertical="center"/>
    </xf>
    <xf numFmtId="0" fontId="56" fillId="0" borderId="0" xfId="0" applyFont="1" applyAlignment="1">
      <alignment horizontal="center" vertical="center"/>
    </xf>
    <xf numFmtId="0" fontId="22" fillId="0" borderId="0" xfId="0" applyFont="1" applyAlignment="1">
      <alignment horizontal="right" vertical="center"/>
    </xf>
    <xf numFmtId="0" fontId="23" fillId="0" borderId="261" xfId="0" applyFont="1" applyBorder="1" applyAlignment="1">
      <alignment vertical="center" shrinkToFit="1"/>
    </xf>
    <xf numFmtId="0" fontId="22" fillId="0" borderId="17" xfId="0" applyFont="1" applyBorder="1" applyAlignment="1">
      <alignment horizontal="center" vertical="center" shrinkToFit="1"/>
    </xf>
    <xf numFmtId="0" fontId="22" fillId="0" borderId="73" xfId="0" applyFont="1" applyBorder="1" applyAlignment="1">
      <alignment horizontal="center" vertical="center" wrapText="1" shrinkToFit="1"/>
    </xf>
    <xf numFmtId="0" fontId="22" fillId="0" borderId="4" xfId="0" applyFont="1" applyBorder="1" applyAlignment="1">
      <alignment horizontal="center" vertical="center" wrapText="1" shrinkToFit="1"/>
    </xf>
    <xf numFmtId="0" fontId="46" fillId="2" borderId="0" xfId="0" applyFont="1" applyFill="1" applyAlignment="1">
      <alignment horizontal="right" vertical="center"/>
    </xf>
    <xf numFmtId="0" fontId="46" fillId="2" borderId="0" xfId="0" applyFont="1" applyFill="1" applyAlignment="1">
      <alignment horizontal="center" vertical="center"/>
    </xf>
    <xf numFmtId="0" fontId="46" fillId="2" borderId="0" xfId="0" applyFont="1" applyFill="1" applyAlignment="1">
      <alignment horizontal="left" vertical="center"/>
    </xf>
    <xf numFmtId="0" fontId="22" fillId="0" borderId="38" xfId="0" applyFont="1" applyBorder="1">
      <alignment vertical="center"/>
    </xf>
    <xf numFmtId="0" fontId="22" fillId="0" borderId="47" xfId="0" applyFont="1" applyBorder="1" applyAlignment="1">
      <alignment horizontal="center" vertical="center" shrinkToFit="1"/>
    </xf>
    <xf numFmtId="0" fontId="22" fillId="0" borderId="47" xfId="0" applyFont="1" applyBorder="1" applyAlignment="1">
      <alignment horizontal="center" vertical="center" wrapText="1" shrinkToFit="1"/>
    </xf>
    <xf numFmtId="0" fontId="22" fillId="0" borderId="6" xfId="0" applyFont="1" applyBorder="1" applyAlignment="1">
      <alignment horizontal="center" vertical="center" wrapText="1" shrinkToFit="1"/>
    </xf>
    <xf numFmtId="0" fontId="22" fillId="0" borderId="48" xfId="0" applyFont="1" applyBorder="1">
      <alignment vertical="center"/>
    </xf>
    <xf numFmtId="0" fontId="22" fillId="0" borderId="24" xfId="0" applyFont="1" applyBorder="1" applyAlignment="1">
      <alignment horizontal="center" vertical="center" shrinkToFit="1"/>
    </xf>
    <xf numFmtId="0" fontId="22" fillId="0" borderId="25" xfId="0" applyFont="1" applyBorder="1" applyAlignment="1">
      <alignment horizontal="center" vertical="center" shrinkToFit="1"/>
    </xf>
    <xf numFmtId="0" fontId="23" fillId="0" borderId="228" xfId="0" applyFont="1" applyBorder="1" applyAlignment="1">
      <alignment horizontal="center" vertical="center" shrinkToFit="1"/>
    </xf>
    <xf numFmtId="0" fontId="22" fillId="0" borderId="115" xfId="0" applyFont="1" applyBorder="1" applyAlignment="1">
      <alignment horizontal="center" vertical="center" shrinkToFit="1"/>
    </xf>
    <xf numFmtId="0" fontId="22" fillId="0" borderId="262" xfId="0" applyFont="1" applyBorder="1" applyAlignment="1">
      <alignment horizontal="center" vertical="center" shrinkToFit="1"/>
    </xf>
    <xf numFmtId="0" fontId="22" fillId="0" borderId="43" xfId="0" applyFont="1" applyBorder="1">
      <alignment vertical="center"/>
    </xf>
    <xf numFmtId="0" fontId="22" fillId="2" borderId="5" xfId="0" applyFont="1" applyFill="1" applyBorder="1" applyAlignment="1">
      <alignment horizontal="center" vertical="center" shrinkToFit="1"/>
    </xf>
    <xf numFmtId="0" fontId="22" fillId="2" borderId="5" xfId="0" applyFont="1" applyFill="1" applyBorder="1" applyAlignment="1">
      <alignment horizontal="center" vertical="center"/>
    </xf>
    <xf numFmtId="0" fontId="22" fillId="0" borderId="53" xfId="0" applyFont="1" applyBorder="1" applyAlignment="1">
      <alignment horizontal="center" vertical="center" shrinkToFit="1"/>
    </xf>
    <xf numFmtId="0" fontId="22" fillId="0" borderId="116" xfId="0" applyFont="1" applyBorder="1" applyAlignment="1">
      <alignment horizontal="center" vertical="center" shrinkToFit="1"/>
    </xf>
    <xf numFmtId="0" fontId="22" fillId="0" borderId="263" xfId="0" applyFont="1" applyBorder="1" applyAlignment="1">
      <alignment horizontal="center" vertical="center" shrinkToFit="1"/>
    </xf>
    <xf numFmtId="0" fontId="22" fillId="0" borderId="232" xfId="0" applyFont="1" applyBorder="1" applyAlignment="1">
      <alignment horizontal="center" vertical="center" shrinkToFit="1"/>
    </xf>
    <xf numFmtId="38" fontId="22" fillId="0" borderId="13" xfId="4" applyFont="1" applyFill="1" applyBorder="1" applyAlignment="1" applyProtection="1">
      <alignment vertical="center"/>
    </xf>
    <xf numFmtId="203" fontId="22" fillId="2" borderId="245" xfId="0" applyNumberFormat="1" applyFont="1" applyFill="1" applyBorder="1" applyAlignment="1">
      <alignment vertical="center" shrinkToFit="1"/>
    </xf>
    <xf numFmtId="203" fontId="22" fillId="2" borderId="249" xfId="0" applyNumberFormat="1" applyFont="1" applyFill="1" applyBorder="1" applyAlignment="1">
      <alignment horizontal="right" vertical="center" shrinkToFit="1"/>
    </xf>
    <xf numFmtId="0" fontId="22" fillId="0" borderId="51" xfId="0" applyFont="1" applyBorder="1">
      <alignment vertical="center"/>
    </xf>
    <xf numFmtId="0" fontId="22" fillId="0" borderId="94" xfId="0" applyFont="1" applyBorder="1" applyAlignment="1">
      <alignment horizontal="center" vertical="center" shrinkToFit="1"/>
    </xf>
    <xf numFmtId="0" fontId="22" fillId="0" borderId="238" xfId="0" applyFont="1" applyBorder="1" applyAlignment="1">
      <alignment horizontal="center" vertical="center" shrinkToFit="1"/>
    </xf>
    <xf numFmtId="0" fontId="22" fillId="0" borderId="18" xfId="0" applyFont="1" applyBorder="1" applyAlignment="1">
      <alignment horizontal="center" vertical="center" shrinkToFit="1"/>
    </xf>
    <xf numFmtId="38" fontId="22" fillId="0" borderId="14" xfId="4" applyFont="1" applyFill="1" applyBorder="1" applyAlignment="1" applyProtection="1">
      <alignment vertical="center"/>
    </xf>
    <xf numFmtId="203" fontId="22" fillId="2" borderId="265" xfId="0" applyNumberFormat="1" applyFont="1" applyFill="1" applyBorder="1" applyAlignment="1">
      <alignment vertical="center" shrinkToFit="1"/>
    </xf>
    <xf numFmtId="203" fontId="22" fillId="2" borderId="264" xfId="0" applyNumberFormat="1" applyFont="1" applyFill="1" applyBorder="1" applyAlignment="1">
      <alignment horizontal="right" vertical="center" shrinkToFit="1"/>
    </xf>
    <xf numFmtId="203" fontId="22" fillId="2" borderId="152" xfId="0" applyNumberFormat="1" applyFont="1" applyFill="1" applyBorder="1" applyAlignment="1">
      <alignment vertical="center" shrinkToFit="1"/>
    </xf>
    <xf numFmtId="203" fontId="22" fillId="2" borderId="147" xfId="0" applyNumberFormat="1" applyFont="1" applyFill="1" applyBorder="1" applyAlignment="1">
      <alignment horizontal="right" vertical="center" shrinkToFit="1"/>
    </xf>
    <xf numFmtId="0" fontId="22" fillId="0" borderId="253" xfId="0" applyFont="1" applyBorder="1" applyAlignment="1">
      <alignment horizontal="center" vertical="center" shrinkToFit="1"/>
    </xf>
    <xf numFmtId="203" fontId="9" fillId="2" borderId="4" xfId="1" applyNumberFormat="1" applyFont="1" applyFill="1" applyBorder="1" applyAlignment="1">
      <alignment horizontal="right" vertical="center" shrinkToFit="1"/>
    </xf>
    <xf numFmtId="0" fontId="38" fillId="0" borderId="39" xfId="0" applyFont="1" applyBorder="1" applyAlignment="1">
      <alignment vertical="center" wrapText="1"/>
    </xf>
    <xf numFmtId="0" fontId="22" fillId="0" borderId="39" xfId="0" applyFont="1" applyBorder="1">
      <alignment vertical="center"/>
    </xf>
    <xf numFmtId="0" fontId="46" fillId="0" borderId="47" xfId="0" applyFont="1" applyBorder="1" applyAlignment="1">
      <alignment horizontal="center" vertical="center"/>
    </xf>
    <xf numFmtId="0" fontId="46" fillId="0" borderId="5" xfId="0" applyFont="1" applyBorder="1" applyAlignment="1">
      <alignment horizontal="center" vertical="center" shrinkToFit="1"/>
    </xf>
    <xf numFmtId="0" fontId="46" fillId="0" borderId="19" xfId="0" applyFont="1" applyBorder="1" applyAlignment="1">
      <alignment horizontal="center" vertical="center" shrinkToFit="1"/>
    </xf>
    <xf numFmtId="0" fontId="22" fillId="0" borderId="120" xfId="0" applyFont="1" applyBorder="1" applyAlignment="1">
      <alignment horizontal="center" vertical="center" shrinkToFit="1"/>
    </xf>
    <xf numFmtId="0" fontId="46" fillId="0" borderId="19" xfId="0" applyFont="1" applyBorder="1" applyAlignment="1">
      <alignment horizontal="center" vertical="center"/>
    </xf>
    <xf numFmtId="0" fontId="22" fillId="2" borderId="280" xfId="0" applyFont="1" applyFill="1" applyBorder="1" applyAlignment="1">
      <alignment horizontal="center" vertical="center" shrinkToFit="1"/>
    </xf>
    <xf numFmtId="2" fontId="22" fillId="2" borderId="36" xfId="0" applyNumberFormat="1" applyFont="1" applyFill="1" applyBorder="1" applyAlignment="1">
      <alignment horizontal="center" vertical="center" shrinkToFit="1"/>
    </xf>
    <xf numFmtId="0" fontId="22" fillId="2" borderId="281" xfId="0" applyFont="1" applyFill="1" applyBorder="1" applyAlignment="1">
      <alignment horizontal="center" vertical="center" shrinkToFit="1"/>
    </xf>
    <xf numFmtId="0" fontId="46" fillId="0" borderId="0" xfId="0" applyFont="1" applyAlignment="1">
      <alignment horizontal="center" vertical="center"/>
    </xf>
    <xf numFmtId="0" fontId="23" fillId="0" borderId="282" xfId="0" applyFont="1" applyBorder="1" applyAlignment="1">
      <alignment horizontal="center" vertical="center" shrinkToFit="1"/>
    </xf>
    <xf numFmtId="0" fontId="23" fillId="0" borderId="283"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20" xfId="0" applyFont="1" applyBorder="1" applyAlignment="1">
      <alignment horizontal="center" vertical="center" shrinkToFit="1"/>
    </xf>
    <xf numFmtId="0" fontId="22" fillId="2" borderId="290" xfId="0" applyFont="1" applyFill="1" applyBorder="1" applyAlignment="1">
      <alignment horizontal="center" vertical="center" shrinkToFit="1"/>
    </xf>
    <xf numFmtId="0" fontId="22" fillId="2" borderId="291" xfId="0" applyFont="1" applyFill="1" applyBorder="1" applyAlignment="1">
      <alignment horizontal="center" vertical="center" shrinkToFit="1"/>
    </xf>
    <xf numFmtId="2" fontId="22" fillId="2" borderId="290" xfId="0" applyNumberFormat="1" applyFont="1" applyFill="1" applyBorder="1" applyAlignment="1">
      <alignment horizontal="center" vertical="center" shrinkToFit="1"/>
    </xf>
    <xf numFmtId="0" fontId="22" fillId="2" borderId="292" xfId="0" applyFont="1" applyFill="1" applyBorder="1" applyAlignment="1">
      <alignment horizontal="center" vertical="center" shrinkToFit="1"/>
    </xf>
    <xf numFmtId="0" fontId="23" fillId="0" borderId="294" xfId="0" applyFont="1" applyBorder="1" applyAlignment="1">
      <alignment horizontal="center" vertical="center" shrinkToFit="1"/>
    </xf>
    <xf numFmtId="0" fontId="23" fillId="0" borderId="238" xfId="0" applyFont="1" applyBorder="1" applyAlignment="1">
      <alignment horizontal="center" vertical="center" shrinkToFit="1"/>
    </xf>
    <xf numFmtId="0" fontId="22" fillId="2" borderId="88" xfId="0" applyFont="1" applyFill="1" applyBorder="1" applyAlignment="1">
      <alignment horizontal="center" vertical="center" shrinkToFit="1"/>
    </xf>
    <xf numFmtId="0" fontId="22" fillId="2" borderId="298" xfId="0" applyFont="1" applyFill="1" applyBorder="1" applyAlignment="1">
      <alignment horizontal="center" vertical="center" shrinkToFit="1"/>
    </xf>
    <xf numFmtId="2" fontId="22" fillId="2" borderId="88" xfId="0" applyNumberFormat="1" applyFont="1" applyFill="1" applyBorder="1" applyAlignment="1">
      <alignment horizontal="center" vertical="center" shrinkToFit="1"/>
    </xf>
    <xf numFmtId="0" fontId="22" fillId="2" borderId="299" xfId="0" applyFont="1" applyFill="1" applyBorder="1" applyAlignment="1">
      <alignment horizontal="center" vertical="center" shrinkToFit="1"/>
    </xf>
    <xf numFmtId="0" fontId="22" fillId="2" borderId="301" xfId="0" applyFont="1" applyFill="1" applyBorder="1" applyAlignment="1">
      <alignment horizontal="center" vertical="center" shrinkToFit="1"/>
    </xf>
    <xf numFmtId="2" fontId="22" fillId="2" borderId="302" xfId="0" applyNumberFormat="1" applyFont="1" applyFill="1" applyBorder="1" applyAlignment="1">
      <alignment horizontal="center" vertical="center" shrinkToFit="1"/>
    </xf>
    <xf numFmtId="2" fontId="22" fillId="2" borderId="0" xfId="0" applyNumberFormat="1" applyFont="1" applyFill="1" applyAlignment="1">
      <alignment horizontal="center" vertical="center" shrinkToFit="1"/>
    </xf>
    <xf numFmtId="0" fontId="22" fillId="0" borderId="27" xfId="0" applyFont="1" applyBorder="1" applyAlignment="1">
      <alignment horizontal="center" vertical="center" shrinkToFit="1"/>
    </xf>
    <xf numFmtId="38" fontId="22" fillId="0" borderId="14" xfId="0" applyNumberFormat="1" applyFont="1" applyBorder="1" applyAlignment="1">
      <alignment horizontal="center" vertical="center" shrinkToFit="1"/>
    </xf>
    <xf numFmtId="38" fontId="22" fillId="0" borderId="17" xfId="0" applyNumberFormat="1" applyFont="1" applyBorder="1" applyAlignment="1">
      <alignment horizontal="center" vertical="center" shrinkToFit="1"/>
    </xf>
    <xf numFmtId="0" fontId="22" fillId="2" borderId="304" xfId="0" applyFont="1" applyFill="1" applyBorder="1" applyAlignment="1">
      <alignment horizontal="center" vertical="center" shrinkToFit="1"/>
    </xf>
    <xf numFmtId="0" fontId="22" fillId="2" borderId="307" xfId="0" applyFont="1" applyFill="1" applyBorder="1" applyAlignment="1">
      <alignment horizontal="center" vertical="center" shrinkToFit="1"/>
    </xf>
    <xf numFmtId="2" fontId="22" fillId="2" borderId="308" xfId="0" applyNumberFormat="1" applyFont="1" applyFill="1" applyBorder="1" applyAlignment="1">
      <alignment horizontal="center" vertical="center" shrinkToFit="1"/>
    </xf>
    <xf numFmtId="2" fontId="22" fillId="2" borderId="309" xfId="0" applyNumberFormat="1" applyFont="1" applyFill="1" applyBorder="1" applyAlignment="1">
      <alignment horizontal="center" vertical="center" shrinkToFit="1"/>
    </xf>
    <xf numFmtId="0" fontId="22" fillId="2" borderId="310" xfId="0" applyFont="1" applyFill="1" applyBorder="1" applyAlignment="1">
      <alignment horizontal="center" vertical="center" shrinkToFit="1"/>
    </xf>
    <xf numFmtId="0" fontId="22" fillId="0" borderId="0" xfId="0" applyFont="1" applyAlignment="1">
      <alignment vertical="center" wrapText="1"/>
    </xf>
    <xf numFmtId="0" fontId="22" fillId="2" borderId="314" xfId="0" applyFont="1" applyFill="1" applyBorder="1" applyAlignment="1">
      <alignment horizontal="center" vertical="center" shrinkToFit="1"/>
    </xf>
    <xf numFmtId="0" fontId="23" fillId="0" borderId="238" xfId="0" applyFont="1" applyBorder="1" applyAlignment="1">
      <alignment vertical="center" shrinkToFit="1"/>
    </xf>
    <xf numFmtId="0" fontId="22" fillId="2" borderId="66" xfId="0" applyFont="1" applyFill="1" applyBorder="1" applyAlignment="1">
      <alignment horizontal="center" vertical="center" shrinkToFit="1"/>
    </xf>
    <xf numFmtId="2" fontId="22" fillId="2" borderId="316" xfId="0" applyNumberFormat="1" applyFont="1" applyFill="1" applyBorder="1" applyAlignment="1">
      <alignment horizontal="center" vertical="center" shrinkToFit="1"/>
    </xf>
    <xf numFmtId="2" fontId="22" fillId="2" borderId="67" xfId="0" applyNumberFormat="1" applyFont="1" applyFill="1" applyBorder="1" applyAlignment="1">
      <alignment horizontal="center" vertical="center" shrinkToFit="1"/>
    </xf>
    <xf numFmtId="0" fontId="22" fillId="2" borderId="198" xfId="0" applyFont="1" applyFill="1" applyBorder="1" applyAlignment="1">
      <alignment horizontal="center" vertical="center" shrinkToFit="1"/>
    </xf>
    <xf numFmtId="38" fontId="23" fillId="0" borderId="232" xfId="0" applyNumberFormat="1" applyFont="1" applyBorder="1" applyAlignment="1">
      <alignment vertical="center" shrinkToFit="1"/>
    </xf>
    <xf numFmtId="38" fontId="23" fillId="0" borderId="238" xfId="0" applyNumberFormat="1" applyFont="1" applyBorder="1" applyAlignment="1">
      <alignment horizontal="center" vertical="center" shrinkToFit="1"/>
    </xf>
    <xf numFmtId="2" fontId="22" fillId="2" borderId="286" xfId="0" applyNumberFormat="1" applyFont="1" applyFill="1" applyBorder="1" applyAlignment="1">
      <alignment horizontal="center" vertical="center" shrinkToFit="1"/>
    </xf>
    <xf numFmtId="0" fontId="23" fillId="0" borderId="293" xfId="0" applyFont="1" applyBorder="1" applyAlignment="1">
      <alignment vertical="center" shrinkToFit="1"/>
    </xf>
    <xf numFmtId="0" fontId="22" fillId="2" borderId="317" xfId="0" applyFont="1" applyFill="1" applyBorder="1" applyAlignment="1">
      <alignment horizontal="center" vertical="center" shrinkToFit="1"/>
    </xf>
    <xf numFmtId="0" fontId="22" fillId="2" borderId="316" xfId="0" applyFont="1" applyFill="1" applyBorder="1" applyAlignment="1">
      <alignment horizontal="center" vertical="center" shrinkToFit="1"/>
    </xf>
    <xf numFmtId="2" fontId="23" fillId="0" borderId="238" xfId="0" applyNumberFormat="1" applyFont="1" applyBorder="1" applyAlignment="1">
      <alignment horizontal="center" vertical="center" shrinkToFit="1"/>
    </xf>
    <xf numFmtId="0" fontId="22" fillId="2" borderId="319" xfId="0" applyFont="1" applyFill="1" applyBorder="1" applyAlignment="1">
      <alignment horizontal="center" vertical="center" shrinkToFit="1"/>
    </xf>
    <xf numFmtId="0" fontId="22" fillId="2" borderId="308" xfId="0" applyFont="1" applyFill="1" applyBorder="1" applyAlignment="1">
      <alignment horizontal="center" vertical="center" shrinkToFit="1"/>
    </xf>
    <xf numFmtId="38" fontId="22" fillId="0" borderId="18" xfId="0" applyNumberFormat="1" applyFont="1" applyBorder="1" applyAlignment="1">
      <alignment horizontal="center" vertical="center" shrinkToFit="1"/>
    </xf>
    <xf numFmtId="0" fontId="22" fillId="2" borderId="323" xfId="0" applyFont="1" applyFill="1" applyBorder="1" applyAlignment="1">
      <alignment horizontal="center" vertical="center" shrinkToFit="1"/>
    </xf>
    <xf numFmtId="2" fontId="22" fillId="2" borderId="158" xfId="0" applyNumberFormat="1" applyFont="1" applyFill="1" applyBorder="1" applyAlignment="1">
      <alignment horizontal="center" vertical="center" shrinkToFit="1"/>
    </xf>
    <xf numFmtId="0" fontId="22" fillId="2" borderId="182" xfId="0" applyFont="1" applyFill="1" applyBorder="1" applyAlignment="1">
      <alignment horizontal="center" vertical="center" shrinkToFit="1"/>
    </xf>
    <xf numFmtId="2" fontId="22" fillId="2" borderId="89" xfId="0" applyNumberFormat="1" applyFont="1" applyFill="1" applyBorder="1" applyAlignment="1">
      <alignment horizontal="center" vertical="center" shrinkToFit="1"/>
    </xf>
    <xf numFmtId="0" fontId="22" fillId="2" borderId="338" xfId="0" applyFont="1" applyFill="1" applyBorder="1" applyAlignment="1">
      <alignment horizontal="center" vertical="center" shrinkToFit="1"/>
    </xf>
    <xf numFmtId="2" fontId="22" fillId="2" borderId="347" xfId="0" applyNumberFormat="1" applyFont="1" applyFill="1" applyBorder="1" applyAlignment="1">
      <alignment horizontal="center" vertical="center" shrinkToFit="1"/>
    </xf>
    <xf numFmtId="2" fontId="22" fillId="2" borderId="33" xfId="0" applyNumberFormat="1" applyFont="1" applyFill="1" applyBorder="1" applyAlignment="1">
      <alignment horizontal="center" vertical="center" shrinkToFit="1"/>
    </xf>
    <xf numFmtId="0" fontId="22" fillId="2" borderId="137" xfId="0" applyFont="1" applyFill="1" applyBorder="1" applyAlignment="1">
      <alignment horizontal="center" vertical="center" shrinkToFit="1"/>
    </xf>
    <xf numFmtId="0" fontId="46" fillId="2" borderId="44" xfId="0" applyFont="1" applyFill="1" applyBorder="1" applyAlignment="1">
      <alignment horizontal="center" vertical="center" shrinkToFit="1"/>
    </xf>
    <xf numFmtId="0" fontId="22" fillId="0" borderId="33" xfId="0" applyFont="1" applyBorder="1" applyAlignment="1">
      <alignment horizontal="center" vertical="center" shrinkToFit="1"/>
    </xf>
    <xf numFmtId="0" fontId="22" fillId="0" borderId="16" xfId="0" applyFont="1" applyBorder="1" applyAlignment="1">
      <alignment horizontal="center" vertical="center" shrinkToFit="1"/>
    </xf>
    <xf numFmtId="0" fontId="22" fillId="0" borderId="19" xfId="0" applyFont="1" applyBorder="1" applyAlignment="1">
      <alignment horizontal="center" vertical="center" shrinkToFit="1"/>
    </xf>
    <xf numFmtId="0" fontId="22" fillId="2" borderId="0" xfId="0" applyFont="1" applyFill="1" applyAlignment="1">
      <alignment horizontal="center" vertical="center" shrinkToFit="1"/>
    </xf>
    <xf numFmtId="0" fontId="23" fillId="0" borderId="348" xfId="0" applyFont="1" applyBorder="1" applyAlignment="1">
      <alignment horizontal="center" vertical="center" shrinkToFit="1"/>
    </xf>
    <xf numFmtId="0" fontId="22" fillId="0" borderId="85" xfId="0" applyFont="1" applyBorder="1" applyAlignment="1">
      <alignment horizontal="center" vertical="center" shrinkToFit="1"/>
    </xf>
    <xf numFmtId="0" fontId="22" fillId="0" borderId="86" xfId="0" applyFont="1" applyBorder="1" applyAlignment="1">
      <alignment horizontal="center" vertical="center" shrinkToFit="1"/>
    </xf>
    <xf numFmtId="0" fontId="22" fillId="0" borderId="84" xfId="0" applyFont="1" applyBorder="1" applyAlignment="1">
      <alignment horizontal="center" vertical="center" shrinkToFit="1"/>
    </xf>
    <xf numFmtId="0" fontId="22" fillId="0" borderId="349" xfId="0" applyFont="1" applyBorder="1" applyAlignment="1">
      <alignment horizontal="center" vertical="center" shrinkToFit="1"/>
    </xf>
    <xf numFmtId="0" fontId="22" fillId="0" borderId="348" xfId="0" applyFont="1" applyBorder="1" applyAlignment="1">
      <alignment horizontal="center" vertical="center" shrinkToFit="1"/>
    </xf>
    <xf numFmtId="0" fontId="22" fillId="0" borderId="237" xfId="0" applyFont="1" applyBorder="1" applyAlignment="1">
      <alignment horizontal="center" vertical="center" shrinkToFit="1"/>
    </xf>
    <xf numFmtId="2" fontId="22" fillId="0" borderId="20" xfId="0" applyNumberFormat="1" applyFont="1" applyBorder="1" applyAlignment="1">
      <alignment horizontal="center" vertical="center" shrinkToFit="1"/>
    </xf>
    <xf numFmtId="2" fontId="23" fillId="0" borderId="232" xfId="0" applyNumberFormat="1" applyFont="1" applyBorder="1" applyAlignment="1">
      <alignment horizontal="center" vertical="center" shrinkToFit="1"/>
    </xf>
    <xf numFmtId="2" fontId="22" fillId="2" borderId="298" xfId="0" applyNumberFormat="1" applyFont="1" applyFill="1" applyBorder="1" applyAlignment="1">
      <alignment horizontal="center" vertical="center" shrinkToFit="1"/>
    </xf>
    <xf numFmtId="180" fontId="22" fillId="0" borderId="0" xfId="0" applyNumberFormat="1" applyFont="1">
      <alignment vertical="center"/>
    </xf>
    <xf numFmtId="2" fontId="22" fillId="2" borderId="352" xfId="0" applyNumberFormat="1" applyFont="1" applyFill="1" applyBorder="1" applyAlignment="1">
      <alignment horizontal="center" vertical="center" shrinkToFit="1"/>
    </xf>
    <xf numFmtId="2" fontId="22" fillId="2" borderId="92" xfId="0" applyNumberFormat="1" applyFont="1" applyFill="1" applyBorder="1" applyAlignment="1">
      <alignment horizontal="center" vertical="center" shrinkToFit="1"/>
    </xf>
    <xf numFmtId="2" fontId="22" fillId="2" borderId="355" xfId="0" applyNumberFormat="1" applyFont="1" applyFill="1" applyBorder="1" applyAlignment="1">
      <alignment horizontal="center" vertical="center" shrinkToFit="1"/>
    </xf>
    <xf numFmtId="2" fontId="22" fillId="2" borderId="63" xfId="0" applyNumberFormat="1" applyFont="1" applyFill="1" applyBorder="1" applyAlignment="1">
      <alignment horizontal="center" vertical="center" shrinkToFit="1"/>
    </xf>
    <xf numFmtId="0" fontId="42" fillId="2" borderId="20" xfId="0" applyFont="1" applyFill="1" applyBorder="1" applyAlignment="1">
      <alignment vertical="center" shrinkToFit="1"/>
    </xf>
    <xf numFmtId="2" fontId="22" fillId="2" borderId="323" xfId="0" applyNumberFormat="1" applyFont="1" applyFill="1" applyBorder="1" applyAlignment="1">
      <alignment horizontal="center" vertical="center" shrinkToFit="1"/>
    </xf>
    <xf numFmtId="2" fontId="22" fillId="0" borderId="17" xfId="0" applyNumberFormat="1" applyFont="1" applyBorder="1" applyAlignment="1">
      <alignment horizontal="center" vertical="center" shrinkToFit="1"/>
    </xf>
    <xf numFmtId="0" fontId="22" fillId="2" borderId="0" xfId="0" applyFont="1" applyFill="1" applyAlignment="1">
      <alignment horizontal="left" vertical="center"/>
    </xf>
    <xf numFmtId="0" fontId="22" fillId="0" borderId="2" xfId="0" applyFont="1" applyBorder="1" applyAlignment="1">
      <alignment horizontal="center" vertical="center" shrinkToFit="1"/>
    </xf>
    <xf numFmtId="0" fontId="22" fillId="3" borderId="31" xfId="0" applyFont="1" applyFill="1" applyBorder="1">
      <alignment vertical="center"/>
    </xf>
    <xf numFmtId="0" fontId="42" fillId="2" borderId="0" xfId="0" applyFont="1" applyFill="1" applyAlignment="1">
      <alignment vertical="center" wrapText="1"/>
    </xf>
    <xf numFmtId="0" fontId="22" fillId="3" borderId="210" xfId="0" applyFont="1" applyFill="1" applyBorder="1" applyAlignment="1">
      <alignment horizontal="center" vertical="center" shrinkToFit="1"/>
    </xf>
    <xf numFmtId="0" fontId="22" fillId="3" borderId="359" xfId="0" applyFont="1" applyFill="1" applyBorder="1" applyAlignment="1">
      <alignment horizontal="center" vertical="center" shrinkToFit="1"/>
    </xf>
    <xf numFmtId="0" fontId="23" fillId="0" borderId="11" xfId="0" applyFont="1" applyBorder="1">
      <alignment vertical="center"/>
    </xf>
    <xf numFmtId="0" fontId="22" fillId="0" borderId="36" xfId="0" applyFont="1" applyBorder="1" applyAlignment="1">
      <alignment horizontal="center" vertical="center"/>
    </xf>
    <xf numFmtId="0" fontId="22" fillId="0" borderId="36" xfId="0" applyFont="1" applyBorder="1">
      <alignment vertical="center"/>
    </xf>
    <xf numFmtId="0" fontId="22" fillId="0" borderId="31" xfId="0" applyFont="1" applyBorder="1" applyAlignment="1">
      <alignment horizontal="center" vertical="center"/>
    </xf>
    <xf numFmtId="0" fontId="22" fillId="2" borderId="142" xfId="0" applyFont="1" applyFill="1" applyBorder="1" applyAlignment="1">
      <alignment horizontal="center" vertical="center" shrinkToFit="1"/>
    </xf>
    <xf numFmtId="2" fontId="22" fillId="2" borderId="361" xfId="0" applyNumberFormat="1" applyFont="1" applyFill="1" applyBorder="1">
      <alignment vertical="center"/>
    </xf>
    <xf numFmtId="2" fontId="22" fillId="13" borderId="362" xfId="0" applyNumberFormat="1" applyFont="1" applyFill="1" applyBorder="1" applyAlignment="1">
      <alignment horizontal="center" vertical="center"/>
    </xf>
    <xf numFmtId="2" fontId="22" fillId="13" borderId="187" xfId="0" applyNumberFormat="1" applyFont="1" applyFill="1" applyBorder="1" applyAlignment="1">
      <alignment horizontal="center" vertical="center"/>
    </xf>
    <xf numFmtId="2" fontId="22" fillId="13" borderId="363" xfId="0" applyNumberFormat="1" applyFont="1" applyFill="1" applyBorder="1" applyAlignment="1">
      <alignment horizontal="center" vertical="center"/>
    </xf>
    <xf numFmtId="204" fontId="46" fillId="2" borderId="364" xfId="0" applyNumberFormat="1" applyFont="1" applyFill="1" applyBorder="1" applyAlignment="1">
      <alignment horizontal="right" vertical="center"/>
    </xf>
    <xf numFmtId="2" fontId="22" fillId="2" borderId="0" xfId="0" applyNumberFormat="1" applyFont="1" applyFill="1" applyAlignment="1">
      <alignment horizontal="center" vertical="center"/>
    </xf>
    <xf numFmtId="0" fontId="23" fillId="0" borderId="38" xfId="0" applyFont="1" applyBorder="1">
      <alignment vertical="center"/>
    </xf>
    <xf numFmtId="0" fontId="22" fillId="0" borderId="40" xfId="0" applyFont="1" applyBorder="1">
      <alignment vertical="center"/>
    </xf>
    <xf numFmtId="0" fontId="22" fillId="2" borderId="365" xfId="0" applyFont="1" applyFill="1" applyBorder="1" applyAlignment="1">
      <alignment horizontal="center" vertical="center" shrinkToFit="1"/>
    </xf>
    <xf numFmtId="2" fontId="22" fillId="2" borderId="366" xfId="0" applyNumberFormat="1" applyFont="1" applyFill="1" applyBorder="1">
      <alignment vertical="center"/>
    </xf>
    <xf numFmtId="2" fontId="22" fillId="2" borderId="367" xfId="0" applyNumberFormat="1" applyFont="1" applyFill="1" applyBorder="1" applyAlignment="1">
      <alignment horizontal="center" vertical="center"/>
    </xf>
    <xf numFmtId="2" fontId="22" fillId="2" borderId="146" xfId="0" applyNumberFormat="1" applyFont="1" applyFill="1" applyBorder="1" applyAlignment="1">
      <alignment horizontal="center" vertical="center"/>
    </xf>
    <xf numFmtId="204" fontId="46" fillId="2" borderId="369" xfId="0" applyNumberFormat="1" applyFont="1" applyFill="1" applyBorder="1" applyAlignment="1">
      <alignment horizontal="right" vertical="center"/>
    </xf>
    <xf numFmtId="2" fontId="22" fillId="2" borderId="0" xfId="0" applyNumberFormat="1" applyFont="1" applyFill="1" applyAlignment="1">
      <alignment horizontal="left" vertical="center"/>
    </xf>
    <xf numFmtId="0" fontId="12" fillId="0" borderId="114" xfId="0" applyFont="1" applyBorder="1" applyAlignment="1">
      <alignment horizontal="center" vertical="center"/>
    </xf>
    <xf numFmtId="0" fontId="22" fillId="2" borderId="111" xfId="0" applyFont="1" applyFill="1" applyBorder="1" applyAlignment="1">
      <alignment horizontal="center" vertical="center" shrinkToFit="1"/>
    </xf>
    <xf numFmtId="2" fontId="22" fillId="2" borderId="371" xfId="0" applyNumberFormat="1" applyFont="1" applyFill="1" applyBorder="1">
      <alignment vertical="center"/>
    </xf>
    <xf numFmtId="2" fontId="22" fillId="2" borderId="372" xfId="0" applyNumberFormat="1" applyFont="1" applyFill="1" applyBorder="1" applyAlignment="1">
      <alignment horizontal="center" vertical="center"/>
    </xf>
    <xf numFmtId="2" fontId="22" fillId="2" borderId="103" xfId="0" applyNumberFormat="1" applyFont="1" applyFill="1" applyBorder="1" applyAlignment="1">
      <alignment horizontal="center" vertical="center"/>
    </xf>
    <xf numFmtId="0" fontId="12" fillId="0" borderId="27" xfId="0" applyFont="1" applyBorder="1" applyAlignment="1">
      <alignment horizontal="center" vertical="center"/>
    </xf>
    <xf numFmtId="2" fontId="22" fillId="13" borderId="372" xfId="0" applyNumberFormat="1" applyFont="1" applyFill="1" applyBorder="1" applyAlignment="1">
      <alignment horizontal="center" vertical="center"/>
    </xf>
    <xf numFmtId="205" fontId="46" fillId="2" borderId="126" xfId="0" applyNumberFormat="1" applyFont="1" applyFill="1" applyBorder="1" applyAlignment="1">
      <alignment horizontal="right" vertical="center"/>
    </xf>
    <xf numFmtId="0" fontId="12" fillId="0" borderId="47" xfId="0" applyFont="1" applyBorder="1" applyAlignment="1">
      <alignment horizontal="center" vertical="center"/>
    </xf>
    <xf numFmtId="0" fontId="12" fillId="0" borderId="44" xfId="0" applyFont="1" applyBorder="1" applyAlignment="1">
      <alignment horizontal="center" vertical="center"/>
    </xf>
    <xf numFmtId="2" fontId="22" fillId="13" borderId="373" xfId="0" applyNumberFormat="1" applyFont="1" applyFill="1" applyBorder="1" applyAlignment="1">
      <alignment horizontal="center" vertical="center"/>
    </xf>
    <xf numFmtId="0" fontId="34" fillId="0" borderId="31" xfId="0" applyFont="1" applyBorder="1" applyAlignment="1">
      <alignment horizontal="center" vertical="center" wrapText="1"/>
    </xf>
    <xf numFmtId="0" fontId="9" fillId="0" borderId="3" xfId="0" applyFont="1" applyBorder="1" applyAlignment="1">
      <alignment horizontal="center" vertical="center"/>
    </xf>
    <xf numFmtId="0" fontId="9" fillId="0" borderId="46" xfId="0" applyFont="1" applyBorder="1" applyAlignment="1">
      <alignment horizontal="center" vertical="center"/>
    </xf>
    <xf numFmtId="0" fontId="9" fillId="0" borderId="45" xfId="0" applyFont="1" applyBorder="1" applyAlignment="1">
      <alignment horizontal="center" vertical="center" shrinkToFit="1"/>
    </xf>
    <xf numFmtId="0" fontId="22" fillId="2" borderId="113" xfId="0" applyFont="1" applyFill="1" applyBorder="1" applyAlignment="1">
      <alignment horizontal="center" vertical="center" shrinkToFit="1"/>
    </xf>
    <xf numFmtId="2" fontId="22" fillId="2" borderId="378" xfId="0" applyNumberFormat="1" applyFont="1" applyFill="1" applyBorder="1">
      <alignment vertical="center"/>
    </xf>
    <xf numFmtId="2" fontId="22" fillId="2" borderId="379" xfId="0" applyNumberFormat="1" applyFont="1" applyFill="1" applyBorder="1" applyAlignment="1">
      <alignment horizontal="center" vertical="center"/>
    </xf>
    <xf numFmtId="2" fontId="22" fillId="2" borderId="71" xfId="0" applyNumberFormat="1" applyFont="1" applyFill="1" applyBorder="1" applyAlignment="1">
      <alignment horizontal="center" vertical="center"/>
    </xf>
    <xf numFmtId="0" fontId="34" fillId="0" borderId="35" xfId="0" applyFont="1" applyBorder="1" applyAlignment="1">
      <alignment horizontal="center" vertical="center" wrapText="1"/>
    </xf>
    <xf numFmtId="0" fontId="9" fillId="0" borderId="73" xfId="0" applyFont="1" applyBorder="1" applyAlignment="1">
      <alignment horizontal="center" vertical="center"/>
    </xf>
    <xf numFmtId="0" fontId="9" fillId="0" borderId="68" xfId="0" applyFont="1" applyBorder="1" applyAlignment="1">
      <alignment horizontal="center" vertical="center"/>
    </xf>
    <xf numFmtId="0" fontId="22" fillId="2" borderId="0" xfId="0" applyFont="1" applyFill="1" applyAlignment="1">
      <alignment horizontal="right" vertical="center"/>
    </xf>
    <xf numFmtId="0" fontId="9" fillId="0" borderId="0" xfId="1" applyFont="1" applyAlignment="1">
      <alignment horizontal="center" vertical="center" wrapText="1" shrinkToFit="1"/>
    </xf>
    <xf numFmtId="0" fontId="34" fillId="0" borderId="40" xfId="0" applyFont="1" applyBorder="1" applyAlignment="1">
      <alignment horizontal="center" vertical="center" wrapText="1"/>
    </xf>
    <xf numFmtId="0" fontId="60" fillId="0" borderId="47" xfId="0" applyFont="1" applyBorder="1" applyAlignment="1">
      <alignment vertical="center" wrapText="1"/>
    </xf>
    <xf numFmtId="0" fontId="60" fillId="0" borderId="6" xfId="0" applyFont="1" applyBorder="1" applyAlignment="1">
      <alignment vertical="center" wrapText="1"/>
    </xf>
    <xf numFmtId="0" fontId="9" fillId="0" borderId="5" xfId="0" applyFont="1" applyBorder="1">
      <alignment vertical="center"/>
    </xf>
    <xf numFmtId="0" fontId="9" fillId="0" borderId="55" xfId="0" applyFont="1" applyBorder="1">
      <alignment vertical="center"/>
    </xf>
    <xf numFmtId="0" fontId="9" fillId="0" borderId="69" xfId="0" applyFont="1" applyBorder="1">
      <alignment vertical="center"/>
    </xf>
    <xf numFmtId="0" fontId="9" fillId="0" borderId="32" xfId="0" applyFont="1" applyBorder="1">
      <alignment vertical="center"/>
    </xf>
    <xf numFmtId="0" fontId="22" fillId="3" borderId="383" xfId="0" applyFont="1" applyFill="1" applyBorder="1" applyAlignment="1">
      <alignment horizontal="center" vertical="center"/>
    </xf>
    <xf numFmtId="0" fontId="9" fillId="3" borderId="385" xfId="1" applyFont="1" applyFill="1" applyBorder="1" applyAlignment="1">
      <alignment horizontal="center" vertical="center" wrapText="1" shrinkToFit="1"/>
    </xf>
    <xf numFmtId="206" fontId="9" fillId="2" borderId="386" xfId="1" applyNumberFormat="1" applyFont="1" applyFill="1" applyBorder="1" applyAlignment="1">
      <alignment horizontal="center" vertical="center" shrinkToFit="1"/>
    </xf>
    <xf numFmtId="206" fontId="9" fillId="2" borderId="387" xfId="1" applyNumberFormat="1" applyFont="1" applyFill="1" applyBorder="1" applyAlignment="1">
      <alignment horizontal="center" vertical="center" wrapText="1" shrinkToFit="1"/>
    </xf>
    <xf numFmtId="2" fontId="9" fillId="2" borderId="356" xfId="1" applyNumberFormat="1" applyFont="1" applyFill="1" applyBorder="1" applyAlignment="1">
      <alignment horizontal="right" vertical="center" shrinkToFit="1"/>
    </xf>
    <xf numFmtId="206" fontId="9" fillId="2" borderId="343" xfId="1" applyNumberFormat="1" applyFont="1" applyFill="1" applyBorder="1" applyAlignment="1">
      <alignment horizontal="center" vertical="center" wrapText="1" shrinkToFit="1"/>
    </xf>
    <xf numFmtId="177" fontId="9" fillId="0" borderId="0" xfId="1" applyNumberFormat="1" applyFont="1" applyAlignment="1">
      <alignment horizontal="right" vertical="center" shrinkToFit="1"/>
    </xf>
    <xf numFmtId="206" fontId="9" fillId="2" borderId="391" xfId="1" applyNumberFormat="1" applyFont="1" applyFill="1" applyBorder="1" applyAlignment="1">
      <alignment horizontal="center" vertical="center" shrinkToFit="1"/>
    </xf>
    <xf numFmtId="2" fontId="9" fillId="2" borderId="295" xfId="4" applyNumberFormat="1" applyFont="1" applyFill="1" applyBorder="1" applyAlignment="1" applyProtection="1">
      <alignment horizontal="right" vertical="center" shrinkToFit="1"/>
    </xf>
    <xf numFmtId="195" fontId="22" fillId="2" borderId="338" xfId="0" applyNumberFormat="1" applyFont="1" applyFill="1" applyBorder="1" applyAlignment="1">
      <alignment horizontal="right" vertical="center" shrinkToFit="1"/>
    </xf>
    <xf numFmtId="195" fontId="22" fillId="2" borderId="301" xfId="0" applyNumberFormat="1" applyFont="1" applyFill="1" applyBorder="1" applyAlignment="1">
      <alignment horizontal="right" vertical="center" shrinkToFit="1"/>
    </xf>
    <xf numFmtId="195" fontId="22" fillId="2" borderId="304" xfId="0" applyNumberFormat="1" applyFont="1" applyFill="1" applyBorder="1" applyAlignment="1">
      <alignment horizontal="right" vertical="center" shrinkToFit="1"/>
    </xf>
    <xf numFmtId="0" fontId="9" fillId="0" borderId="0" xfId="1" applyFont="1" applyAlignment="1">
      <alignment vertical="center" shrinkToFit="1"/>
    </xf>
    <xf numFmtId="195" fontId="22" fillId="2" borderId="330" xfId="4" applyNumberFormat="1" applyFont="1" applyFill="1" applyBorder="1" applyAlignment="1" applyProtection="1">
      <alignment vertical="center" shrinkToFit="1"/>
    </xf>
    <xf numFmtId="195" fontId="22" fillId="2" borderId="132" xfId="4" applyNumberFormat="1" applyFont="1" applyFill="1" applyBorder="1" applyAlignment="1" applyProtection="1">
      <alignment horizontal="right" vertical="center" shrinkToFit="1"/>
    </xf>
    <xf numFmtId="198" fontId="46" fillId="0" borderId="0" xfId="4" applyNumberFormat="1" applyFont="1" applyFill="1" applyBorder="1" applyAlignment="1" applyProtection="1">
      <alignment vertical="center" shrinkToFit="1"/>
    </xf>
    <xf numFmtId="195" fontId="9" fillId="2" borderId="396" xfId="1" applyNumberFormat="1" applyFont="1" applyFill="1" applyBorder="1" applyAlignment="1">
      <alignment horizontal="right" vertical="center" shrinkToFit="1"/>
    </xf>
    <xf numFmtId="198" fontId="9" fillId="0" borderId="0" xfId="1" applyNumberFormat="1" applyFont="1" applyAlignment="1">
      <alignment horizontal="right" vertical="center" shrinkToFit="1"/>
    </xf>
    <xf numFmtId="195" fontId="22" fillId="2" borderId="132" xfId="0" applyNumberFormat="1" applyFont="1" applyFill="1" applyBorder="1" applyAlignment="1">
      <alignment horizontal="right" vertical="center" shrinkToFit="1"/>
    </xf>
    <xf numFmtId="200" fontId="22" fillId="2" borderId="4" xfId="0" applyNumberFormat="1" applyFont="1" applyFill="1" applyBorder="1" applyAlignment="1">
      <alignment horizontal="right" vertical="center" shrinkToFit="1"/>
    </xf>
    <xf numFmtId="204" fontId="22" fillId="2" borderId="4" xfId="0" applyNumberFormat="1" applyFont="1" applyFill="1" applyBorder="1" applyAlignment="1">
      <alignment horizontal="right" vertical="center" shrinkToFit="1"/>
    </xf>
    <xf numFmtId="204" fontId="46" fillId="2" borderId="4" xfId="4" applyNumberFormat="1" applyFont="1" applyFill="1" applyBorder="1" applyAlignment="1" applyProtection="1">
      <alignment horizontal="right" vertical="center" shrinkToFit="1"/>
    </xf>
    <xf numFmtId="0" fontId="28" fillId="0" borderId="0" xfId="0" applyFont="1">
      <alignment vertical="center"/>
    </xf>
    <xf numFmtId="187" fontId="9" fillId="0" borderId="0" xfId="1" applyNumberFormat="1" applyFont="1" applyAlignment="1">
      <alignment vertical="center" shrinkToFit="1"/>
    </xf>
    <xf numFmtId="0" fontId="22" fillId="0" borderId="0" xfId="0" applyFont="1" applyAlignment="1">
      <alignment vertical="center" wrapText="1" shrinkToFit="1"/>
    </xf>
    <xf numFmtId="177" fontId="9" fillId="0" borderId="0" xfId="1" applyNumberFormat="1" applyFont="1" applyAlignment="1">
      <alignment wrapText="1"/>
    </xf>
    <xf numFmtId="0" fontId="35" fillId="2" borderId="0" xfId="0" applyFont="1" applyFill="1">
      <alignment vertical="center"/>
    </xf>
    <xf numFmtId="0" fontId="21" fillId="2" borderId="0" xfId="0" applyFont="1" applyFill="1">
      <alignment vertical="center"/>
    </xf>
    <xf numFmtId="0" fontId="21" fillId="2" borderId="0" xfId="0" applyFont="1" applyFill="1" applyAlignment="1">
      <alignment vertical="center" shrinkToFit="1"/>
    </xf>
    <xf numFmtId="0" fontId="4" fillId="2" borderId="0" xfId="3" applyFont="1" applyFill="1" applyAlignment="1">
      <alignment horizontal="center" vertical="center"/>
    </xf>
    <xf numFmtId="0" fontId="36" fillId="2" borderId="0" xfId="3" applyFont="1" applyFill="1" applyAlignment="1">
      <alignment horizontal="center" vertical="center" shrinkToFit="1"/>
    </xf>
    <xf numFmtId="0" fontId="35" fillId="2" borderId="4" xfId="0" applyFont="1" applyFill="1" applyBorder="1" applyAlignment="1">
      <alignment horizontal="center" vertical="center"/>
    </xf>
    <xf numFmtId="0" fontId="21" fillId="2" borderId="147" xfId="0" applyFont="1" applyFill="1" applyBorder="1" applyAlignment="1">
      <alignment horizontal="center" vertical="center"/>
    </xf>
    <xf numFmtId="0" fontId="21" fillId="2" borderId="148" xfId="0" applyFont="1" applyFill="1" applyBorder="1" applyAlignment="1">
      <alignment horizontal="center" vertical="center"/>
    </xf>
    <xf numFmtId="0" fontId="21" fillId="2" borderId="149"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147" xfId="0" applyFont="1" applyFill="1" applyBorder="1">
      <alignment vertical="center"/>
    </xf>
    <xf numFmtId="0" fontId="21" fillId="2" borderId="148" xfId="0" applyFont="1" applyFill="1" applyBorder="1">
      <alignment vertical="center"/>
    </xf>
    <xf numFmtId="0" fontId="21" fillId="2" borderId="149" xfId="0" applyFont="1" applyFill="1" applyBorder="1">
      <alignment vertical="center"/>
    </xf>
    <xf numFmtId="0" fontId="9" fillId="2" borderId="37" xfId="0" applyFont="1" applyFill="1" applyBorder="1">
      <alignment vertical="center"/>
    </xf>
    <xf numFmtId="0" fontId="12" fillId="2" borderId="0" xfId="0" applyFont="1" applyFill="1">
      <alignment vertical="center"/>
    </xf>
    <xf numFmtId="0" fontId="9" fillId="2" borderId="35" xfId="0" applyFont="1" applyFill="1" applyBorder="1" applyAlignment="1">
      <alignment vertical="center" shrinkToFit="1"/>
    </xf>
    <xf numFmtId="0" fontId="9" fillId="2" borderId="35" xfId="0" applyFont="1" applyFill="1" applyBorder="1">
      <alignment vertical="center"/>
    </xf>
    <xf numFmtId="0" fontId="14" fillId="2" borderId="0" xfId="0" applyFont="1" applyFill="1" applyAlignment="1">
      <alignment vertical="center" shrinkToFit="1"/>
    </xf>
    <xf numFmtId="0" fontId="9" fillId="2" borderId="14" xfId="0" applyFont="1" applyFill="1" applyBorder="1">
      <alignment vertical="center"/>
    </xf>
    <xf numFmtId="0" fontId="11" fillId="2" borderId="73" xfId="0" applyFont="1" applyFill="1" applyBorder="1" applyAlignment="1">
      <alignment vertical="center" shrinkToFit="1"/>
    </xf>
    <xf numFmtId="0" fontId="9" fillId="2" borderId="73" xfId="0" applyFont="1" applyFill="1" applyBorder="1" applyAlignment="1">
      <alignment vertical="center" shrinkToFit="1"/>
    </xf>
    <xf numFmtId="0" fontId="13" fillId="2" borderId="94" xfId="0" applyFont="1" applyFill="1" applyBorder="1">
      <alignment vertical="center"/>
    </xf>
    <xf numFmtId="0" fontId="9" fillId="2" borderId="73" xfId="0" applyFont="1" applyFill="1" applyBorder="1">
      <alignment vertical="center"/>
    </xf>
    <xf numFmtId="0" fontId="9" fillId="2" borderId="15" xfId="0" applyFont="1" applyFill="1" applyBorder="1">
      <alignment vertical="center"/>
    </xf>
    <xf numFmtId="0" fontId="9" fillId="2" borderId="40" xfId="0" applyFont="1" applyFill="1" applyBorder="1">
      <alignment vertical="center"/>
    </xf>
    <xf numFmtId="0" fontId="9" fillId="2" borderId="47" xfId="0" applyFont="1" applyFill="1" applyBorder="1">
      <alignment vertical="center"/>
    </xf>
    <xf numFmtId="0" fontId="13" fillId="2" borderId="73" xfId="0" applyFont="1" applyFill="1" applyBorder="1">
      <alignment vertical="center"/>
    </xf>
    <xf numFmtId="0" fontId="9" fillId="2" borderId="89" xfId="0" applyFont="1" applyFill="1" applyBorder="1">
      <alignment vertical="center"/>
    </xf>
    <xf numFmtId="0" fontId="9" fillId="2" borderId="13" xfId="0" applyFont="1" applyFill="1" applyBorder="1">
      <alignment vertical="center"/>
    </xf>
    <xf numFmtId="0" fontId="9" fillId="2" borderId="121" xfId="0" applyFont="1" applyFill="1" applyBorder="1" applyAlignment="1">
      <alignment horizontal="center" vertical="center"/>
    </xf>
    <xf numFmtId="0" fontId="9" fillId="2" borderId="122" xfId="0" applyFont="1" applyFill="1" applyBorder="1" applyAlignment="1">
      <alignment horizontal="center" vertical="center"/>
    </xf>
    <xf numFmtId="0" fontId="9" fillId="2" borderId="127" xfId="0" applyFont="1" applyFill="1" applyBorder="1" applyAlignment="1">
      <alignment horizontal="center" vertical="center"/>
    </xf>
    <xf numFmtId="0" fontId="9" fillId="2" borderId="130" xfId="0" applyFont="1" applyFill="1" applyBorder="1" applyAlignment="1">
      <alignment horizontal="center" vertical="center" wrapText="1"/>
    </xf>
    <xf numFmtId="0" fontId="9" fillId="2" borderId="0" xfId="0" applyFont="1" applyFill="1" applyAlignment="1">
      <alignment vertical="center" wrapText="1"/>
    </xf>
    <xf numFmtId="0" fontId="9" fillId="2" borderId="108" xfId="0" applyFont="1" applyFill="1" applyBorder="1" applyAlignment="1">
      <alignment horizontal="center" vertical="center"/>
    </xf>
    <xf numFmtId="0" fontId="9" fillId="2" borderId="91" xfId="0" applyFont="1" applyFill="1" applyBorder="1" applyAlignment="1">
      <alignment horizontal="left" vertical="center" wrapText="1"/>
    </xf>
    <xf numFmtId="0" fontId="9" fillId="2" borderId="91" xfId="0" applyFont="1" applyFill="1" applyBorder="1">
      <alignment vertical="center"/>
    </xf>
    <xf numFmtId="0" fontId="32" fillId="2" borderId="0" xfId="0" applyFont="1" applyFill="1">
      <alignment vertical="center"/>
    </xf>
    <xf numFmtId="0" fontId="13" fillId="2" borderId="0" xfId="0" applyFont="1" applyFill="1" applyAlignment="1">
      <alignment horizontal="center" vertical="center" shrinkToFit="1"/>
    </xf>
    <xf numFmtId="0" fontId="33" fillId="2" borderId="0" xfId="0" applyFont="1" applyFill="1">
      <alignment vertical="center"/>
    </xf>
    <xf numFmtId="0" fontId="9" fillId="2" borderId="21" xfId="0" applyFont="1" applyFill="1" applyBorder="1" applyAlignment="1">
      <alignment horizontal="left" vertical="center"/>
    </xf>
    <xf numFmtId="0" fontId="22" fillId="2" borderId="249" xfId="0" applyFont="1" applyFill="1" applyBorder="1" applyAlignment="1">
      <alignment horizontal="center" vertical="center" shrinkToFit="1"/>
    </xf>
    <xf numFmtId="0" fontId="22" fillId="3" borderId="3" xfId="0" applyFont="1" applyFill="1" applyBorder="1" applyAlignment="1">
      <alignment horizontal="center" vertical="center" shrinkToFit="1"/>
    </xf>
    <xf numFmtId="3" fontId="9" fillId="2" borderId="4" xfId="1" applyNumberFormat="1" applyFont="1" applyFill="1" applyBorder="1" applyAlignment="1">
      <alignment vertical="center" shrinkToFit="1"/>
    </xf>
    <xf numFmtId="176" fontId="9" fillId="2" borderId="4" xfId="1" applyNumberFormat="1" applyFont="1" applyFill="1" applyBorder="1" applyAlignment="1">
      <alignment horizontal="center" vertical="center" shrinkToFit="1"/>
    </xf>
    <xf numFmtId="203" fontId="22" fillId="2" borderId="92" xfId="0" applyNumberFormat="1" applyFont="1" applyFill="1" applyBorder="1" applyAlignment="1">
      <alignment vertical="center" shrinkToFit="1"/>
    </xf>
    <xf numFmtId="203" fontId="22" fillId="2" borderId="397" xfId="0" applyNumberFormat="1" applyFont="1" applyFill="1" applyBorder="1" applyAlignment="1">
      <alignment horizontal="right" vertical="center"/>
    </xf>
    <xf numFmtId="203" fontId="22" fillId="2" borderId="309" xfId="0" applyNumberFormat="1" applyFont="1" applyFill="1" applyBorder="1" applyAlignment="1">
      <alignment vertical="center" shrinkToFit="1"/>
    </xf>
    <xf numFmtId="3" fontId="9" fillId="2" borderId="192" xfId="1" applyNumberFormat="1" applyFont="1" applyFill="1" applyBorder="1" applyAlignment="1">
      <alignment horizontal="center" vertical="center" shrinkToFit="1"/>
    </xf>
    <xf numFmtId="3" fontId="9" fillId="2" borderId="399" xfId="1" applyNumberFormat="1" applyFont="1" applyFill="1" applyBorder="1" applyAlignment="1">
      <alignment horizontal="center" vertical="center" shrinkToFit="1"/>
    </xf>
    <xf numFmtId="3" fontId="9" fillId="2" borderId="264" xfId="1" applyNumberFormat="1" applyFont="1" applyFill="1" applyBorder="1" applyAlignment="1">
      <alignment horizontal="center" vertical="center" shrinkToFit="1"/>
    </xf>
    <xf numFmtId="3" fontId="9" fillId="2" borderId="397" xfId="1" applyNumberFormat="1" applyFont="1" applyFill="1" applyBorder="1" applyAlignment="1">
      <alignment horizontal="center" vertical="center" shrinkToFit="1"/>
    </xf>
    <xf numFmtId="203" fontId="22" fillId="2" borderId="264" xfId="0" applyNumberFormat="1" applyFont="1" applyFill="1" applyBorder="1" applyAlignment="1">
      <alignment horizontal="right" vertical="center"/>
    </xf>
    <xf numFmtId="203" fontId="22" fillId="2" borderId="63" xfId="0" applyNumberFormat="1" applyFont="1" applyFill="1" applyBorder="1" applyAlignment="1">
      <alignment vertical="center" shrinkToFit="1"/>
    </xf>
    <xf numFmtId="203" fontId="22" fillId="2" borderId="63" xfId="0" applyNumberFormat="1" applyFont="1" applyFill="1" applyBorder="1" applyAlignment="1">
      <alignment horizontal="right" vertical="center" shrinkToFit="1"/>
    </xf>
    <xf numFmtId="203" fontId="22" fillId="2" borderId="309" xfId="0" applyNumberFormat="1" applyFont="1" applyFill="1" applyBorder="1" applyAlignment="1">
      <alignment horizontal="right" vertical="center" shrinkToFit="1"/>
    </xf>
    <xf numFmtId="200" fontId="9" fillId="2" borderId="6" xfId="1" applyNumberFormat="1" applyFont="1" applyFill="1" applyBorder="1" applyAlignment="1">
      <alignment vertical="center" shrinkToFit="1"/>
    </xf>
    <xf numFmtId="204" fontId="9" fillId="2" borderId="6" xfId="1" applyNumberFormat="1" applyFont="1" applyFill="1" applyBorder="1" applyAlignment="1">
      <alignment vertical="center" shrinkToFit="1"/>
    </xf>
    <xf numFmtId="204" fontId="46" fillId="2" borderId="6" xfId="4" applyNumberFormat="1" applyFont="1" applyFill="1" applyBorder="1" applyAlignment="1" applyProtection="1">
      <alignment vertical="center" shrinkToFit="1"/>
    </xf>
    <xf numFmtId="2" fontId="23" fillId="0" borderId="293" xfId="0" applyNumberFormat="1" applyFont="1" applyBorder="1" applyAlignment="1">
      <alignment horizontal="center" vertical="center" shrinkToFit="1"/>
    </xf>
    <xf numFmtId="206" fontId="9" fillId="2" borderId="401" xfId="1" applyNumberFormat="1" applyFont="1" applyFill="1" applyBorder="1" applyAlignment="1">
      <alignment horizontal="center" vertical="center" shrinkToFit="1"/>
    </xf>
    <xf numFmtId="2" fontId="9" fillId="2" borderId="401" xfId="4" applyNumberFormat="1" applyFont="1" applyFill="1" applyBorder="1" applyAlignment="1" applyProtection="1">
      <alignment horizontal="right" vertical="center" shrinkToFit="1"/>
    </xf>
    <xf numFmtId="0" fontId="23" fillId="2" borderId="10" xfId="0" applyFont="1" applyFill="1" applyBorder="1">
      <alignment vertical="center"/>
    </xf>
    <xf numFmtId="0" fontId="32" fillId="2" borderId="10" xfId="0" applyFont="1" applyFill="1" applyBorder="1">
      <alignment vertical="center"/>
    </xf>
    <xf numFmtId="0" fontId="31" fillId="2" borderId="10" xfId="0" applyFont="1" applyFill="1" applyBorder="1" applyAlignment="1">
      <alignment horizontal="left" vertical="center" shrinkToFit="1"/>
    </xf>
    <xf numFmtId="207" fontId="22" fillId="2" borderId="0" xfId="0" applyNumberFormat="1" applyFont="1" applyFill="1" applyAlignment="1">
      <alignment horizontal="right" vertical="center"/>
    </xf>
    <xf numFmtId="200" fontId="22" fillId="2" borderId="0" xfId="0" applyNumberFormat="1" applyFont="1" applyFill="1" applyAlignment="1">
      <alignment horizontal="right" vertical="center"/>
    </xf>
    <xf numFmtId="200" fontId="46" fillId="2" borderId="0" xfId="4" applyNumberFormat="1" applyFont="1" applyFill="1" applyBorder="1" applyAlignment="1" applyProtection="1">
      <alignment horizontal="right" vertical="center" shrinkToFit="1"/>
    </xf>
    <xf numFmtId="14" fontId="21" fillId="0" borderId="0" xfId="0" applyNumberFormat="1" applyFont="1" applyAlignment="1">
      <alignment horizontal="center" vertical="center"/>
    </xf>
    <xf numFmtId="0" fontId="11" fillId="0" borderId="4" xfId="0" applyFont="1" applyBorder="1" applyAlignment="1">
      <alignment horizontal="center" vertical="center"/>
    </xf>
    <xf numFmtId="0" fontId="9" fillId="2" borderId="99" xfId="0" applyFont="1" applyFill="1" applyBorder="1">
      <alignment vertical="center"/>
    </xf>
    <xf numFmtId="0" fontId="22" fillId="2" borderId="100" xfId="0" applyFont="1" applyFill="1" applyBorder="1" applyAlignment="1">
      <alignment horizontal="left" vertical="center"/>
    </xf>
    <xf numFmtId="0" fontId="22" fillId="2" borderId="101" xfId="0" applyFont="1" applyFill="1" applyBorder="1" applyAlignment="1">
      <alignment horizontal="left" vertical="center"/>
    </xf>
    <xf numFmtId="14" fontId="21" fillId="0" borderId="6" xfId="0" applyNumberFormat="1" applyFont="1" applyBorder="1" applyAlignment="1">
      <alignment horizontal="center" vertical="center"/>
    </xf>
    <xf numFmtId="0" fontId="9" fillId="2" borderId="21" xfId="0" applyFont="1" applyFill="1" applyBorder="1">
      <alignment vertical="center"/>
    </xf>
    <xf numFmtId="0" fontId="9" fillId="0" borderId="33" xfId="0" applyFont="1" applyBorder="1" applyAlignment="1">
      <alignment horizontal="center" vertical="center"/>
    </xf>
    <xf numFmtId="0" fontId="22" fillId="2" borderId="10" xfId="0" applyFont="1" applyFill="1" applyBorder="1" applyAlignment="1">
      <alignment horizontal="left" vertical="center"/>
    </xf>
    <xf numFmtId="0" fontId="58" fillId="3" borderId="96" xfId="0" applyFont="1" applyFill="1" applyBorder="1" applyAlignment="1">
      <alignment horizontal="center" vertical="center" shrinkToFit="1"/>
    </xf>
    <xf numFmtId="2" fontId="22" fillId="2" borderId="340" xfId="0" applyNumberFormat="1" applyFont="1" applyFill="1" applyBorder="1" applyAlignment="1">
      <alignment horizontal="center" vertical="center" shrinkToFit="1"/>
    </xf>
    <xf numFmtId="2" fontId="22" fillId="2" borderId="313" xfId="0" applyNumberFormat="1" applyFont="1" applyFill="1" applyBorder="1" applyAlignment="1">
      <alignment horizontal="center" vertical="center" shrinkToFit="1"/>
    </xf>
    <xf numFmtId="0" fontId="22" fillId="2" borderId="404" xfId="0" applyFont="1" applyFill="1" applyBorder="1" applyAlignment="1">
      <alignment horizontal="center" vertical="center" shrinkToFit="1"/>
    </xf>
    <xf numFmtId="38" fontId="23" fillId="0" borderId="18" xfId="0" applyNumberFormat="1" applyFont="1" applyBorder="1" applyAlignment="1">
      <alignment horizontal="center" vertical="center" shrinkToFit="1"/>
    </xf>
    <xf numFmtId="38" fontId="23" fillId="0" borderId="238" xfId="0" applyNumberFormat="1" applyFont="1" applyBorder="1" applyAlignment="1">
      <alignment vertical="center" shrinkToFit="1"/>
    </xf>
    <xf numFmtId="0" fontId="46" fillId="2" borderId="406" xfId="0" applyFont="1" applyFill="1" applyBorder="1" applyAlignment="1">
      <alignment horizontal="center" vertical="center" shrinkToFit="1"/>
    </xf>
    <xf numFmtId="0" fontId="46" fillId="2" borderId="407" xfId="0" applyFont="1" applyFill="1" applyBorder="1" applyAlignment="1">
      <alignment horizontal="center" vertical="center" shrinkToFit="1"/>
    </xf>
    <xf numFmtId="0" fontId="46" fillId="2" borderId="410" xfId="0" applyFont="1" applyFill="1" applyBorder="1" applyAlignment="1">
      <alignment horizontal="center" vertical="center" shrinkToFit="1"/>
    </xf>
    <xf numFmtId="0" fontId="46" fillId="2" borderId="184" xfId="0" applyFont="1" applyFill="1" applyBorder="1" applyAlignment="1">
      <alignment horizontal="center" vertical="center" shrinkToFit="1"/>
    </xf>
    <xf numFmtId="0" fontId="13" fillId="2" borderId="41" xfId="0" applyFont="1" applyFill="1" applyBorder="1">
      <alignment vertical="center"/>
    </xf>
    <xf numFmtId="0" fontId="9" fillId="2" borderId="42" xfId="0" applyFont="1" applyFill="1" applyBorder="1">
      <alignment vertical="center"/>
    </xf>
    <xf numFmtId="0" fontId="12" fillId="2" borderId="42" xfId="0" applyFont="1" applyFill="1" applyBorder="1">
      <alignment vertical="center"/>
    </xf>
    <xf numFmtId="2" fontId="0" fillId="0" borderId="4" xfId="0" applyNumberFormat="1" applyBorder="1" applyAlignment="1">
      <alignment horizontal="center" vertical="center"/>
    </xf>
    <xf numFmtId="2" fontId="0" fillId="0" borderId="6" xfId="0" applyNumberFormat="1" applyBorder="1" applyAlignment="1">
      <alignment horizontal="center" vertical="center"/>
    </xf>
    <xf numFmtId="2" fontId="0" fillId="0" borderId="25" xfId="0" applyNumberFormat="1" applyBorder="1">
      <alignment vertical="center"/>
    </xf>
    <xf numFmtId="0" fontId="9" fillId="2" borderId="10" xfId="0" applyFont="1" applyFill="1" applyBorder="1">
      <alignment vertical="center"/>
    </xf>
    <xf numFmtId="0" fontId="22" fillId="2" borderId="83" xfId="0" applyFont="1" applyFill="1" applyBorder="1" applyAlignment="1">
      <alignment horizontal="center" vertical="center" shrinkToFit="1"/>
    </xf>
    <xf numFmtId="0" fontId="22" fillId="2" borderId="420" xfId="0" applyFont="1" applyFill="1" applyBorder="1" applyAlignment="1">
      <alignment horizontal="center" vertical="center" shrinkToFit="1"/>
    </xf>
    <xf numFmtId="0" fontId="9" fillId="2" borderId="420" xfId="0" applyFont="1" applyFill="1" applyBorder="1" applyAlignment="1">
      <alignment horizontal="center" vertical="center" shrinkToFit="1"/>
    </xf>
    <xf numFmtId="0" fontId="9" fillId="2" borderId="82" xfId="0" applyFont="1" applyFill="1" applyBorder="1" applyAlignment="1">
      <alignment horizontal="center" vertical="center" shrinkToFit="1"/>
    </xf>
    <xf numFmtId="203" fontId="9" fillId="2" borderId="194" xfId="1" applyNumberFormat="1" applyFont="1" applyFill="1" applyBorder="1" applyAlignment="1">
      <alignment horizontal="right" vertical="center" shrinkToFit="1"/>
    </xf>
    <xf numFmtId="203" fontId="9" fillId="4" borderId="194" xfId="1" applyNumberFormat="1" applyFont="1" applyFill="1" applyBorder="1" applyAlignment="1" applyProtection="1">
      <alignment horizontal="right" vertical="center" shrinkToFit="1"/>
      <protection locked="0"/>
    </xf>
    <xf numFmtId="203" fontId="9" fillId="4" borderId="421" xfId="1" applyNumberFormat="1" applyFont="1" applyFill="1" applyBorder="1" applyAlignment="1" applyProtection="1">
      <alignment horizontal="right" vertical="center" shrinkToFit="1"/>
      <protection locked="0"/>
    </xf>
    <xf numFmtId="203" fontId="9" fillId="2" borderId="335" xfId="1" applyNumberFormat="1" applyFont="1" applyFill="1" applyBorder="1" applyAlignment="1">
      <alignment horizontal="right" vertical="center" shrinkToFit="1"/>
    </xf>
    <xf numFmtId="203" fontId="9" fillId="4" borderId="335" xfId="1" applyNumberFormat="1" applyFont="1" applyFill="1" applyBorder="1" applyAlignment="1" applyProtection="1">
      <alignment horizontal="right" vertical="center" shrinkToFit="1"/>
      <protection locked="0"/>
    </xf>
    <xf numFmtId="203" fontId="9" fillId="4" borderId="410" xfId="1" applyNumberFormat="1" applyFont="1" applyFill="1" applyBorder="1" applyAlignment="1" applyProtection="1">
      <alignment horizontal="right" vertical="center" shrinkToFit="1"/>
      <protection locked="0"/>
    </xf>
    <xf numFmtId="203" fontId="9" fillId="2" borderId="422" xfId="1" applyNumberFormat="1" applyFont="1" applyFill="1" applyBorder="1" applyAlignment="1">
      <alignment horizontal="right" vertical="center" shrinkToFit="1"/>
    </xf>
    <xf numFmtId="203" fontId="9" fillId="4" borderId="422" xfId="1" applyNumberFormat="1" applyFont="1" applyFill="1" applyBorder="1" applyAlignment="1" applyProtection="1">
      <alignment horizontal="right" vertical="center" shrinkToFit="1"/>
      <protection locked="0"/>
    </xf>
    <xf numFmtId="203" fontId="9" fillId="4" borderId="329" xfId="1" applyNumberFormat="1" applyFont="1" applyFill="1" applyBorder="1" applyAlignment="1" applyProtection="1">
      <alignment horizontal="right" vertical="center" shrinkToFit="1"/>
      <protection locked="0"/>
    </xf>
    <xf numFmtId="203" fontId="9" fillId="2" borderId="202" xfId="1" applyNumberFormat="1" applyFont="1" applyFill="1" applyBorder="1" applyAlignment="1">
      <alignment horizontal="right" vertical="center" shrinkToFit="1"/>
    </xf>
    <xf numFmtId="203" fontId="9" fillId="4" borderId="202" xfId="1" applyNumberFormat="1" applyFont="1" applyFill="1" applyBorder="1" applyAlignment="1" applyProtection="1">
      <alignment horizontal="right" vertical="center" shrinkToFit="1"/>
      <protection locked="0"/>
    </xf>
    <xf numFmtId="203" fontId="9" fillId="4" borderId="424" xfId="1" applyNumberFormat="1" applyFont="1" applyFill="1" applyBorder="1" applyAlignment="1" applyProtection="1">
      <alignment horizontal="right" vertical="center" shrinkToFit="1"/>
      <protection locked="0"/>
    </xf>
    <xf numFmtId="203" fontId="9" fillId="2" borderId="119" xfId="1" applyNumberFormat="1" applyFont="1" applyFill="1" applyBorder="1" applyAlignment="1">
      <alignment horizontal="right" vertical="center" shrinkToFit="1"/>
    </xf>
    <xf numFmtId="203" fontId="9" fillId="2" borderId="175" xfId="1" applyNumberFormat="1" applyFont="1" applyFill="1" applyBorder="1" applyAlignment="1">
      <alignment horizontal="right" vertical="center" shrinkToFit="1"/>
    </xf>
    <xf numFmtId="203" fontId="9" fillId="2" borderId="138" xfId="1" applyNumberFormat="1" applyFont="1" applyFill="1" applyBorder="1" applyAlignment="1">
      <alignment horizontal="right" vertical="center" shrinkToFit="1"/>
    </xf>
    <xf numFmtId="0" fontId="9" fillId="3" borderId="100" xfId="3" applyFont="1" applyFill="1" applyBorder="1" applyAlignment="1">
      <alignment horizontal="center" vertical="center"/>
    </xf>
    <xf numFmtId="0" fontId="9" fillId="3" borderId="274" xfId="3" applyFont="1" applyFill="1" applyBorder="1" applyAlignment="1">
      <alignment horizontal="center" vertical="center"/>
    </xf>
    <xf numFmtId="0" fontId="55" fillId="2" borderId="279" xfId="3" applyFont="1" applyFill="1" applyBorder="1" applyAlignment="1">
      <alignment horizontal="right" vertical="center" shrinkToFit="1"/>
    </xf>
    <xf numFmtId="0" fontId="55" fillId="2" borderId="154" xfId="3" applyFont="1" applyFill="1" applyBorder="1" applyAlignment="1">
      <alignment horizontal="right" vertical="center" shrinkToFit="1"/>
    </xf>
    <xf numFmtId="0" fontId="55" fillId="2" borderId="157" xfId="3" applyFont="1" applyFill="1" applyBorder="1" applyAlignment="1">
      <alignment horizontal="right" vertical="center" shrinkToFit="1"/>
    </xf>
    <xf numFmtId="0" fontId="41" fillId="2" borderId="425" xfId="0" applyFont="1" applyFill="1" applyBorder="1">
      <alignment vertical="center"/>
    </xf>
    <xf numFmtId="0" fontId="41" fillId="2" borderId="181" xfId="0" applyFont="1" applyFill="1" applyBorder="1">
      <alignment vertical="center"/>
    </xf>
    <xf numFmtId="0" fontId="41" fillId="2" borderId="184" xfId="0" applyFont="1" applyFill="1" applyBorder="1">
      <alignment vertical="center"/>
    </xf>
    <xf numFmtId="0" fontId="55" fillId="2" borderId="0" xfId="3" applyFont="1" applyFill="1" applyAlignment="1">
      <alignment vertical="center"/>
    </xf>
    <xf numFmtId="0" fontId="22" fillId="3" borderId="426" xfId="0" applyFont="1" applyFill="1" applyBorder="1" applyAlignment="1">
      <alignment horizontal="center" vertical="center" shrinkToFit="1"/>
    </xf>
    <xf numFmtId="0" fontId="22" fillId="2" borderId="427" xfId="0" applyFont="1" applyFill="1" applyBorder="1" applyAlignment="1">
      <alignment horizontal="center" vertical="center" shrinkToFit="1"/>
    </xf>
    <xf numFmtId="0" fontId="22" fillId="2" borderId="389" xfId="0" applyFont="1" applyFill="1" applyBorder="1" applyAlignment="1">
      <alignment horizontal="center" vertical="center" shrinkToFit="1"/>
    </xf>
    <xf numFmtId="0" fontId="22" fillId="2" borderId="401" xfId="0" applyFont="1" applyFill="1" applyBorder="1" applyAlignment="1">
      <alignment horizontal="center" vertical="center" shrinkToFit="1"/>
    </xf>
    <xf numFmtId="0" fontId="22" fillId="2" borderId="236" xfId="0" applyFont="1" applyFill="1" applyBorder="1" applyAlignment="1">
      <alignment horizontal="center" vertical="center" shrinkToFit="1"/>
    </xf>
    <xf numFmtId="0" fontId="22" fillId="2" borderId="391" xfId="0" applyFont="1" applyFill="1" applyBorder="1" applyAlignment="1">
      <alignment horizontal="center" vertical="center" shrinkToFit="1"/>
    </xf>
    <xf numFmtId="0" fontId="22" fillId="2" borderId="248" xfId="0" applyFont="1" applyFill="1" applyBorder="1" applyAlignment="1">
      <alignment horizontal="center" vertical="center" shrinkToFit="1"/>
    </xf>
    <xf numFmtId="0" fontId="22" fillId="2" borderId="386" xfId="0" applyFont="1" applyFill="1" applyBorder="1" applyAlignment="1">
      <alignment horizontal="center" vertical="center" shrinkToFit="1"/>
    </xf>
    <xf numFmtId="0" fontId="22" fillId="2" borderId="428" xfId="0" applyFont="1" applyFill="1" applyBorder="1" applyAlignment="1">
      <alignment horizontal="center" vertical="center" shrinkToFit="1"/>
    </xf>
    <xf numFmtId="0" fontId="22" fillId="2" borderId="267" xfId="0" applyFont="1" applyFill="1" applyBorder="1" applyAlignment="1">
      <alignment horizontal="center" vertical="center" shrinkToFit="1"/>
    </xf>
    <xf numFmtId="0" fontId="22" fillId="2" borderId="429" xfId="0" applyFont="1" applyFill="1" applyBorder="1" applyAlignment="1">
      <alignment horizontal="center" vertical="center" shrinkToFit="1"/>
    </xf>
    <xf numFmtId="0" fontId="22" fillId="2" borderId="222" xfId="0" applyFont="1" applyFill="1" applyBorder="1" applyAlignment="1">
      <alignment horizontal="center" vertical="center" shrinkToFit="1"/>
    </xf>
    <xf numFmtId="0" fontId="22" fillId="2" borderId="36" xfId="0" applyFont="1" applyFill="1" applyBorder="1" applyAlignment="1">
      <alignment horizontal="center" vertical="center" shrinkToFit="1"/>
    </xf>
    <xf numFmtId="0" fontId="22" fillId="2" borderId="430" xfId="0" applyFont="1" applyFill="1" applyBorder="1" applyAlignment="1">
      <alignment horizontal="center" vertical="center" shrinkToFit="1"/>
    </xf>
    <xf numFmtId="0" fontId="22" fillId="2" borderId="431" xfId="0" applyFont="1" applyFill="1" applyBorder="1" applyAlignment="1">
      <alignment horizontal="center" vertical="center" shrinkToFit="1"/>
    </xf>
    <xf numFmtId="0" fontId="22" fillId="2" borderId="62" xfId="0" applyFont="1" applyFill="1" applyBorder="1" applyAlignment="1">
      <alignment horizontal="center" vertical="center" shrinkToFit="1"/>
    </xf>
    <xf numFmtId="0" fontId="22" fillId="2" borderId="91" xfId="0" applyFont="1" applyFill="1" applyBorder="1" applyAlignment="1">
      <alignment horizontal="center" vertical="center" shrinkToFit="1"/>
    </xf>
    <xf numFmtId="0" fontId="22" fillId="3" borderId="211" xfId="0" applyFont="1" applyFill="1" applyBorder="1" applyAlignment="1">
      <alignment horizontal="center" vertical="center" shrinkToFit="1"/>
    </xf>
    <xf numFmtId="0" fontId="9" fillId="2" borderId="18"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33" xfId="0" applyFont="1" applyFill="1" applyBorder="1" applyAlignment="1">
      <alignment horizontal="center" vertical="center"/>
    </xf>
    <xf numFmtId="0" fontId="22" fillId="2" borderId="17" xfId="0" applyFont="1" applyFill="1" applyBorder="1" applyAlignment="1">
      <alignment horizontal="center" vertical="center"/>
    </xf>
    <xf numFmtId="0" fontId="9" fillId="2" borderId="0" xfId="0" applyFont="1" applyFill="1" applyAlignment="1">
      <alignment horizontal="center" vertical="center"/>
    </xf>
    <xf numFmtId="0" fontId="9" fillId="2" borderId="0" xfId="0" applyFont="1" applyFill="1" applyAlignment="1">
      <alignment horizontal="left" vertical="center" wrapText="1"/>
    </xf>
    <xf numFmtId="0" fontId="9" fillId="2" borderId="19" xfId="0" applyFont="1" applyFill="1" applyBorder="1" applyAlignment="1">
      <alignment horizontal="center" vertical="center" wrapText="1"/>
    </xf>
    <xf numFmtId="181" fontId="9" fillId="2" borderId="18" xfId="0" applyNumberFormat="1" applyFont="1" applyFill="1" applyBorder="1" applyAlignment="1">
      <alignment horizontal="center" vertical="center" shrinkToFit="1"/>
    </xf>
    <xf numFmtId="181" fontId="9" fillId="2" borderId="14" xfId="0" applyNumberFormat="1" applyFont="1" applyFill="1" applyBorder="1" applyAlignment="1">
      <alignment horizontal="center" vertical="center" shrinkToFit="1"/>
    </xf>
    <xf numFmtId="0" fontId="9" fillId="2" borderId="18" xfId="0" applyFont="1" applyFill="1" applyBorder="1" applyAlignment="1">
      <alignment horizontal="center" vertical="center" shrinkToFit="1"/>
    </xf>
    <xf numFmtId="0" fontId="9" fillId="2" borderId="18" xfId="0" applyFont="1" applyFill="1" applyBorder="1" applyAlignment="1">
      <alignment horizontal="left" vertical="center"/>
    </xf>
    <xf numFmtId="0" fontId="9" fillId="2" borderId="33" xfId="0" applyFont="1" applyFill="1" applyBorder="1" applyAlignment="1">
      <alignment horizontal="center" vertical="center" shrinkToFit="1"/>
    </xf>
    <xf numFmtId="0" fontId="9" fillId="2" borderId="0" xfId="0" applyFont="1" applyFill="1" applyAlignment="1">
      <alignment horizontal="center" vertical="center" wrapText="1"/>
    </xf>
    <xf numFmtId="0" fontId="9" fillId="2" borderId="99" xfId="0" applyFont="1" applyFill="1" applyBorder="1" applyAlignment="1">
      <alignment horizontal="center" vertical="center" wrapText="1"/>
    </xf>
    <xf numFmtId="0" fontId="9" fillId="2" borderId="21" xfId="0" applyFont="1" applyFill="1" applyBorder="1" applyAlignment="1">
      <alignment horizontal="center" vertical="center"/>
    </xf>
    <xf numFmtId="0" fontId="9" fillId="2" borderId="33" xfId="0" applyFont="1" applyFill="1" applyBorder="1" applyAlignment="1">
      <alignment horizontal="left" vertical="center"/>
    </xf>
    <xf numFmtId="0" fontId="9" fillId="6" borderId="91" xfId="0" applyFont="1" applyFill="1" applyBorder="1" applyAlignment="1" applyProtection="1">
      <alignment horizontal="center" vertical="center" shrinkToFit="1"/>
      <protection locked="0"/>
    </xf>
    <xf numFmtId="0" fontId="31" fillId="2" borderId="0" xfId="0" applyFont="1" applyFill="1" applyAlignment="1">
      <alignment horizontal="left" vertical="center" shrinkToFit="1"/>
    </xf>
    <xf numFmtId="0" fontId="22" fillId="2" borderId="19" xfId="0" applyFont="1" applyFill="1" applyBorder="1" applyAlignment="1">
      <alignment horizontal="center" vertical="center"/>
    </xf>
    <xf numFmtId="0" fontId="22" fillId="2" borderId="33" xfId="0" applyFont="1" applyFill="1" applyBorder="1" applyAlignment="1">
      <alignment horizontal="center" vertical="center"/>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0" borderId="0" xfId="0" applyFont="1" applyAlignment="1">
      <alignment horizontal="center" vertical="center" shrinkToFit="1"/>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22" fillId="0" borderId="29" xfId="0" applyFont="1" applyBorder="1" applyAlignment="1">
      <alignment horizontal="center" vertical="center" shrinkToFit="1"/>
    </xf>
    <xf numFmtId="0" fontId="22" fillId="2" borderId="33" xfId="0" applyFont="1" applyFill="1" applyBorder="1" applyAlignment="1">
      <alignment horizontal="center" vertical="center" shrinkToFit="1"/>
    </xf>
    <xf numFmtId="0" fontId="41" fillId="0" borderId="4" xfId="0" applyFont="1" applyBorder="1" applyAlignment="1">
      <alignment horizontal="center" vertical="center"/>
    </xf>
    <xf numFmtId="0" fontId="48" fillId="2" borderId="4" xfId="0" applyFont="1" applyFill="1" applyBorder="1" applyAlignment="1">
      <alignment horizontal="center" vertical="center"/>
    </xf>
    <xf numFmtId="0" fontId="48" fillId="2" borderId="0" xfId="0" applyFont="1" applyFill="1" applyAlignment="1">
      <alignment horizontal="center" vertical="center"/>
    </xf>
    <xf numFmtId="179" fontId="48" fillId="2" borderId="0" xfId="0" applyNumberFormat="1" applyFont="1" applyFill="1" applyAlignment="1">
      <alignment horizontal="center" vertical="center"/>
    </xf>
    <xf numFmtId="0" fontId="9" fillId="3" borderId="12" xfId="3" applyFont="1" applyFill="1" applyBorder="1" applyAlignment="1">
      <alignment horizontal="center" vertical="center" shrinkToFit="1"/>
    </xf>
    <xf numFmtId="0" fontId="22" fillId="0" borderId="26" xfId="0" applyFont="1" applyBorder="1" applyAlignment="1">
      <alignment horizontal="center" vertical="center" shrinkToFit="1"/>
    </xf>
    <xf numFmtId="0" fontId="4" fillId="2" borderId="6" xfId="3" applyFont="1" applyFill="1" applyBorder="1" applyAlignment="1">
      <alignment horizontal="center" vertical="center" shrinkToFit="1"/>
    </xf>
    <xf numFmtId="0" fontId="22" fillId="2" borderId="157" xfId="0" applyFont="1" applyFill="1" applyBorder="1" applyAlignment="1">
      <alignment horizontal="center" vertical="center" shrinkToFit="1"/>
    </xf>
    <xf numFmtId="0" fontId="22" fillId="2" borderId="284" xfId="0" applyFont="1" applyFill="1" applyBorder="1" applyAlignment="1">
      <alignment horizontal="center" vertical="center"/>
    </xf>
    <xf numFmtId="0" fontId="9" fillId="3" borderId="79" xfId="1" applyFont="1" applyFill="1" applyBorder="1" applyAlignment="1">
      <alignment horizontal="center" vertical="center" wrapText="1" shrinkToFit="1"/>
    </xf>
    <xf numFmtId="0" fontId="12" fillId="0" borderId="6" xfId="0" applyFont="1" applyBorder="1" applyAlignment="1">
      <alignment horizontal="center" vertical="center" shrinkToFit="1"/>
    </xf>
    <xf numFmtId="0" fontId="12" fillId="0" borderId="48" xfId="0" applyFont="1" applyBorder="1" applyAlignment="1">
      <alignment horizontal="center" vertical="center"/>
    </xf>
    <xf numFmtId="0" fontId="22" fillId="2" borderId="315" xfId="0" applyFont="1" applyFill="1" applyBorder="1" applyAlignment="1">
      <alignment horizontal="center" vertical="center" shrinkToFit="1"/>
    </xf>
    <xf numFmtId="0" fontId="22" fillId="3" borderId="274" xfId="0" applyFont="1" applyFill="1" applyBorder="1" applyAlignment="1">
      <alignment horizontal="center" vertical="center" shrinkToFit="1"/>
    </xf>
    <xf numFmtId="0" fontId="22" fillId="2" borderId="328" xfId="0" applyFont="1" applyFill="1" applyBorder="1" applyAlignment="1">
      <alignment horizontal="center" vertical="center" shrinkToFit="1"/>
    </xf>
    <xf numFmtId="0" fontId="46" fillId="2" borderId="329" xfId="0" applyFont="1" applyFill="1" applyBorder="1" applyAlignment="1">
      <alignment horizontal="center" vertical="center" shrinkToFit="1"/>
    </xf>
    <xf numFmtId="0" fontId="23" fillId="0" borderId="293" xfId="0" applyFont="1" applyBorder="1" applyAlignment="1">
      <alignment horizontal="center" vertical="center" shrinkToFit="1"/>
    </xf>
    <xf numFmtId="0" fontId="23" fillId="0" borderId="232" xfId="0" applyFont="1" applyBorder="1" applyAlignment="1">
      <alignment horizontal="center" vertical="center" shrinkToFit="1"/>
    </xf>
    <xf numFmtId="0" fontId="46" fillId="0" borderId="48" xfId="0" applyFont="1" applyBorder="1" applyAlignment="1">
      <alignment horizontal="center" vertical="center"/>
    </xf>
    <xf numFmtId="0" fontId="22" fillId="0" borderId="10" xfId="0" applyFont="1" applyBorder="1" applyAlignment="1">
      <alignment horizontal="center" vertical="center" shrinkToFit="1"/>
    </xf>
    <xf numFmtId="0" fontId="22" fillId="0" borderId="97" xfId="0" applyFont="1" applyBorder="1" applyAlignment="1">
      <alignment horizontal="center" vertical="center" shrinkToFit="1"/>
    </xf>
    <xf numFmtId="0" fontId="21" fillId="2" borderId="1" xfId="0" applyFont="1" applyFill="1" applyBorder="1" applyAlignment="1">
      <alignment horizontal="center" vertical="center" shrinkToFit="1"/>
    </xf>
    <xf numFmtId="0" fontId="0" fillId="2" borderId="0" xfId="0" applyFill="1">
      <alignment vertical="center"/>
    </xf>
    <xf numFmtId="186" fontId="22" fillId="4" borderId="147" xfId="0" applyNumberFormat="1" applyFont="1" applyFill="1" applyBorder="1" applyAlignment="1" applyProtection="1">
      <alignment horizontal="center" vertical="center" shrinkToFit="1"/>
      <protection locked="0"/>
    </xf>
    <xf numFmtId="186" fontId="22" fillId="4" borderId="148" xfId="0" applyNumberFormat="1" applyFont="1" applyFill="1" applyBorder="1" applyAlignment="1" applyProtection="1">
      <alignment horizontal="center" vertical="center" shrinkToFit="1"/>
      <protection locked="0"/>
    </xf>
    <xf numFmtId="186" fontId="22" fillId="4" borderId="149" xfId="0" applyNumberFormat="1" applyFont="1" applyFill="1" applyBorder="1" applyAlignment="1" applyProtection="1">
      <alignment horizontal="center" vertical="center" shrinkToFit="1"/>
      <protection locked="0"/>
    </xf>
    <xf numFmtId="186" fontId="22" fillId="4" borderId="159" xfId="0" applyNumberFormat="1" applyFont="1" applyFill="1" applyBorder="1" applyAlignment="1" applyProtection="1">
      <alignment horizontal="center" vertical="center" shrinkToFit="1"/>
      <protection locked="0"/>
    </xf>
    <xf numFmtId="186" fontId="22" fillId="4" borderId="22" xfId="0" applyNumberFormat="1" applyFont="1" applyFill="1" applyBorder="1" applyAlignment="1" applyProtection="1">
      <alignment horizontal="center" vertical="center" shrinkToFit="1"/>
      <protection locked="0"/>
    </xf>
    <xf numFmtId="0" fontId="41" fillId="0" borderId="120" xfId="0" applyFont="1" applyBorder="1" applyAlignment="1">
      <alignment horizontal="center" vertical="center"/>
    </xf>
    <xf numFmtId="0" fontId="41" fillId="0" borderId="60" xfId="0" applyFont="1" applyBorder="1" applyAlignment="1">
      <alignment horizontal="center" vertical="center"/>
    </xf>
    <xf numFmtId="0" fontId="41" fillId="0" borderId="57" xfId="0" applyFont="1" applyBorder="1">
      <alignment vertical="center"/>
    </xf>
    <xf numFmtId="0" fontId="41" fillId="2" borderId="100" xfId="0" applyFont="1" applyFill="1" applyBorder="1" applyAlignment="1">
      <alignment vertical="center" shrinkToFit="1"/>
    </xf>
    <xf numFmtId="0" fontId="41" fillId="2" borderId="101" xfId="0" applyFont="1" applyFill="1" applyBorder="1" applyAlignment="1">
      <alignment vertical="center" shrinkToFit="1"/>
    </xf>
    <xf numFmtId="0" fontId="41" fillId="2" borderId="189" xfId="0" applyFont="1" applyFill="1" applyBorder="1" applyAlignment="1">
      <alignment vertical="center" shrinkToFit="1"/>
    </xf>
    <xf numFmtId="0" fontId="41" fillId="2" borderId="190" xfId="0" applyFont="1" applyFill="1" applyBorder="1" applyAlignment="1">
      <alignment vertical="center" shrinkToFit="1"/>
    </xf>
    <xf numFmtId="0" fontId="41" fillId="2" borderId="129" xfId="0" applyFont="1" applyFill="1" applyBorder="1" applyAlignment="1">
      <alignment vertical="center" shrinkToFit="1"/>
    </xf>
    <xf numFmtId="0" fontId="41" fillId="2" borderId="92" xfId="0" applyFont="1" applyFill="1" applyBorder="1" applyAlignment="1">
      <alignment vertical="center" shrinkToFit="1"/>
    </xf>
    <xf numFmtId="0" fontId="41" fillId="0" borderId="60" xfId="0" applyFont="1" applyBorder="1">
      <alignment vertical="center"/>
    </xf>
    <xf numFmtId="178" fontId="9" fillId="2" borderId="12" xfId="3" applyNumberFormat="1" applyFont="1" applyFill="1" applyBorder="1" applyAlignment="1">
      <alignment vertical="center" shrinkToFit="1"/>
    </xf>
    <xf numFmtId="2" fontId="41" fillId="2" borderId="216" xfId="0" applyNumberFormat="1" applyFont="1" applyFill="1" applyBorder="1" applyAlignment="1">
      <alignment horizontal="right" vertical="center"/>
    </xf>
    <xf numFmtId="2" fontId="41" fillId="2" borderId="220" xfId="0" applyNumberFormat="1" applyFont="1" applyFill="1" applyBorder="1" applyAlignment="1">
      <alignment horizontal="right" vertical="center"/>
    </xf>
    <xf numFmtId="2" fontId="41" fillId="2" borderId="224" xfId="0" applyNumberFormat="1" applyFont="1" applyFill="1" applyBorder="1" applyAlignment="1">
      <alignment horizontal="right" vertical="center"/>
    </xf>
    <xf numFmtId="2" fontId="41" fillId="2" borderId="0" xfId="0" applyNumberFormat="1" applyFont="1" applyFill="1" applyAlignment="1">
      <alignment horizontal="right" vertical="center"/>
    </xf>
    <xf numFmtId="0" fontId="22" fillId="0" borderId="24" xfId="0" applyFont="1" applyBorder="1" applyAlignment="1">
      <alignment vertical="center" shrinkToFit="1"/>
    </xf>
    <xf numFmtId="0" fontId="22" fillId="0" borderId="25" xfId="0" applyFont="1" applyBorder="1" applyAlignment="1">
      <alignment vertical="center" shrinkToFit="1"/>
    </xf>
    <xf numFmtId="0" fontId="22" fillId="0" borderId="58" xfId="0" applyFont="1" applyBorder="1" applyAlignment="1">
      <alignment vertical="center" shrinkToFit="1"/>
    </xf>
    <xf numFmtId="0" fontId="22" fillId="0" borderId="228" xfId="0" applyFont="1" applyBorder="1" applyAlignment="1">
      <alignment vertical="center" shrinkToFit="1"/>
    </xf>
    <xf numFmtId="0" fontId="22" fillId="0" borderId="43" xfId="0" applyFont="1" applyBorder="1" applyAlignment="1">
      <alignment vertical="center" shrinkToFit="1"/>
    </xf>
    <xf numFmtId="0" fontId="9" fillId="2" borderId="246" xfId="3" applyFont="1" applyFill="1" applyBorder="1" applyAlignment="1">
      <alignment horizontal="center" vertical="center" shrinkToFit="1"/>
    </xf>
    <xf numFmtId="0" fontId="9" fillId="2" borderId="248" xfId="3" applyFont="1" applyFill="1" applyBorder="1" applyAlignment="1">
      <alignment horizontal="center" vertical="center" shrinkToFit="1"/>
    </xf>
    <xf numFmtId="0" fontId="9" fillId="2" borderId="153" xfId="3" applyFont="1" applyFill="1" applyBorder="1" applyAlignment="1">
      <alignment horizontal="center" vertical="center" shrinkToFit="1"/>
    </xf>
    <xf numFmtId="0" fontId="9" fillId="2" borderId="218" xfId="3" applyFont="1" applyFill="1" applyBorder="1" applyAlignment="1">
      <alignment horizontal="center" vertical="center" shrinkToFit="1"/>
    </xf>
    <xf numFmtId="0" fontId="9" fillId="2" borderId="156" xfId="3" applyFont="1" applyFill="1" applyBorder="1" applyAlignment="1">
      <alignment horizontal="center" vertical="center" shrinkToFit="1"/>
    </xf>
    <xf numFmtId="0" fontId="9" fillId="2" borderId="222" xfId="3" applyFont="1" applyFill="1" applyBorder="1" applyAlignment="1">
      <alignment horizontal="center" vertical="center" shrinkToFit="1"/>
    </xf>
    <xf numFmtId="201" fontId="9" fillId="0" borderId="245" xfId="3" applyNumberFormat="1" applyFont="1" applyBorder="1" applyAlignment="1" applyProtection="1">
      <alignment horizontal="right" vertical="center" shrinkToFit="1"/>
      <protection locked="0"/>
    </xf>
    <xf numFmtId="201" fontId="9" fillId="0" borderId="155" xfId="3" applyNumberFormat="1" applyFont="1" applyBorder="1" applyAlignment="1" applyProtection="1">
      <alignment horizontal="right" vertical="center" shrinkToFit="1"/>
      <protection locked="0"/>
    </xf>
    <xf numFmtId="201" fontId="9" fillId="0" borderId="158" xfId="3" applyNumberFormat="1" applyFont="1" applyBorder="1" applyAlignment="1" applyProtection="1">
      <alignment horizontal="right" vertical="center" shrinkToFit="1"/>
      <protection locked="0"/>
    </xf>
    <xf numFmtId="0" fontId="36" fillId="2" borderId="0" xfId="1" applyFont="1" applyFill="1" applyAlignment="1">
      <alignment horizontal="center" vertical="center"/>
    </xf>
    <xf numFmtId="0" fontId="4" fillId="2" borderId="0" xfId="1" applyFont="1" applyFill="1">
      <alignment vertical="center"/>
    </xf>
    <xf numFmtId="0" fontId="4" fillId="0" borderId="0" xfId="1" applyFont="1">
      <alignment vertical="center"/>
    </xf>
    <xf numFmtId="0" fontId="8" fillId="2" borderId="0" xfId="1" applyFont="1" applyFill="1">
      <alignment vertical="center"/>
    </xf>
    <xf numFmtId="0" fontId="36" fillId="2" borderId="0" xfId="1" applyFont="1" applyFill="1">
      <alignment vertical="center"/>
    </xf>
    <xf numFmtId="0" fontId="36" fillId="2" borderId="0" xfId="1" applyFont="1" applyFill="1" applyAlignment="1">
      <alignment horizontal="right" vertical="center"/>
    </xf>
    <xf numFmtId="0" fontId="4" fillId="2" borderId="0" xfId="1" applyFont="1" applyFill="1" applyAlignment="1">
      <alignment horizontal="center" vertical="center"/>
    </xf>
    <xf numFmtId="0" fontId="36" fillId="2" borderId="45" xfId="1" applyFont="1" applyFill="1" applyBorder="1" applyAlignment="1">
      <alignment horizontal="center" vertical="center"/>
    </xf>
    <xf numFmtId="0" fontId="36" fillId="2" borderId="3" xfId="1" applyFont="1" applyFill="1" applyBorder="1" applyAlignment="1">
      <alignment horizontal="center" vertical="center"/>
    </xf>
    <xf numFmtId="0" fontId="36" fillId="2" borderId="28" xfId="1" applyFont="1" applyFill="1" applyBorder="1" applyAlignment="1">
      <alignment horizontal="center" vertical="center"/>
    </xf>
    <xf numFmtId="0" fontId="36" fillId="2" borderId="46" xfId="1" applyFont="1" applyFill="1" applyBorder="1" applyAlignment="1">
      <alignment horizontal="center" vertical="center"/>
    </xf>
    <xf numFmtId="0" fontId="4" fillId="0" borderId="0" xfId="1" applyFont="1" applyAlignment="1">
      <alignment horizontal="center" vertical="center"/>
    </xf>
    <xf numFmtId="0" fontId="9" fillId="2" borderId="0" xfId="1" applyFont="1" applyFill="1">
      <alignment vertical="center"/>
    </xf>
    <xf numFmtId="0" fontId="9" fillId="0" borderId="0" xfId="1" applyFont="1">
      <alignment vertical="center"/>
    </xf>
    <xf numFmtId="0" fontId="23" fillId="2" borderId="0" xfId="1" applyFont="1" applyFill="1" applyAlignment="1">
      <alignment horizontal="left" vertical="center"/>
    </xf>
    <xf numFmtId="202" fontId="9" fillId="4" borderId="4" xfId="1" applyNumberFormat="1" applyFont="1" applyFill="1" applyBorder="1" applyAlignment="1" applyProtection="1">
      <alignment horizontal="right" vertical="center" shrinkToFit="1"/>
      <protection locked="0"/>
    </xf>
    <xf numFmtId="183" fontId="9" fillId="4" borderId="4" xfId="1" applyNumberFormat="1" applyFont="1" applyFill="1" applyBorder="1" applyAlignment="1" applyProtection="1">
      <alignment horizontal="right" vertical="center" shrinkToFit="1"/>
      <protection locked="0"/>
    </xf>
    <xf numFmtId="203" fontId="9" fillId="4" borderId="193" xfId="1" applyNumberFormat="1" applyFont="1" applyFill="1" applyBorder="1" applyAlignment="1" applyProtection="1">
      <alignment horizontal="right" vertical="center" shrinkToFit="1"/>
      <protection locked="0"/>
    </xf>
    <xf numFmtId="203" fontId="9" fillId="4" borderId="310" xfId="1" applyNumberFormat="1" applyFont="1" applyFill="1" applyBorder="1" applyAlignment="1" applyProtection="1">
      <alignment horizontal="right" vertical="center" shrinkToFit="1"/>
      <protection locked="0"/>
    </xf>
    <xf numFmtId="203" fontId="9" fillId="4" borderId="328" xfId="1" applyNumberFormat="1" applyFont="1" applyFill="1" applyBorder="1" applyAlignment="1" applyProtection="1">
      <alignment horizontal="right" vertical="center" shrinkToFit="1"/>
      <protection locked="0"/>
    </xf>
    <xf numFmtId="203" fontId="9" fillId="4" borderId="423" xfId="1" applyNumberFormat="1" applyFont="1" applyFill="1" applyBorder="1" applyAlignment="1" applyProtection="1">
      <alignment horizontal="right" vertical="center" shrinkToFit="1"/>
      <protection locked="0"/>
    </xf>
    <xf numFmtId="0" fontId="22" fillId="4" borderId="317" xfId="0" applyFont="1" applyFill="1" applyBorder="1" applyAlignment="1" applyProtection="1">
      <alignment horizontal="center" vertical="center" shrinkToFit="1"/>
      <protection locked="0"/>
    </xf>
    <xf numFmtId="0" fontId="22" fillId="4" borderId="432" xfId="0" applyFont="1" applyFill="1" applyBorder="1" applyAlignment="1" applyProtection="1">
      <alignment horizontal="center" vertical="center" shrinkToFit="1"/>
      <protection locked="0"/>
    </xf>
    <xf numFmtId="0" fontId="22" fillId="4" borderId="404" xfId="0" applyFont="1" applyFill="1" applyBorder="1" applyAlignment="1" applyProtection="1">
      <alignment horizontal="center" vertical="center" shrinkToFit="1"/>
      <protection locked="0"/>
    </xf>
    <xf numFmtId="0" fontId="22" fillId="4" borderId="433" xfId="0" applyFont="1" applyFill="1" applyBorder="1" applyAlignment="1" applyProtection="1">
      <alignment horizontal="center" vertical="center" shrinkToFit="1"/>
      <protection locked="0"/>
    </xf>
    <xf numFmtId="0" fontId="22" fillId="4" borderId="434" xfId="0" applyFont="1" applyFill="1" applyBorder="1" applyAlignment="1" applyProtection="1">
      <alignment horizontal="center" vertical="center" shrinkToFit="1"/>
      <protection locked="0"/>
    </xf>
    <xf numFmtId="0" fontId="22" fillId="4" borderId="224" xfId="0" applyFont="1" applyFill="1" applyBorder="1" applyAlignment="1" applyProtection="1">
      <alignment horizontal="center" vertical="center" shrinkToFit="1"/>
      <protection locked="0"/>
    </xf>
    <xf numFmtId="0" fontId="22" fillId="2" borderId="340" xfId="0" applyFont="1" applyFill="1" applyBorder="1" applyAlignment="1">
      <alignment horizontal="center" vertical="center" shrinkToFit="1"/>
    </xf>
    <xf numFmtId="2" fontId="22" fillId="2" borderId="265" xfId="0" applyNumberFormat="1" applyFont="1" applyFill="1" applyBorder="1" applyAlignment="1">
      <alignment horizontal="center" vertical="center" shrinkToFit="1"/>
    </xf>
    <xf numFmtId="0" fontId="22" fillId="2" borderId="439" xfId="0" applyFont="1" applyFill="1" applyBorder="1" applyAlignment="1">
      <alignment horizontal="center" vertical="center" shrinkToFit="1"/>
    </xf>
    <xf numFmtId="0" fontId="22" fillId="4" borderId="440" xfId="0" applyFont="1" applyFill="1" applyBorder="1" applyAlignment="1" applyProtection="1">
      <alignment horizontal="center" vertical="center" shrinkToFit="1"/>
      <protection locked="0"/>
    </xf>
    <xf numFmtId="0" fontId="22" fillId="2" borderId="352" xfId="0" applyFont="1" applyFill="1" applyBorder="1" applyAlignment="1">
      <alignment horizontal="center" vertical="center" shrinkToFit="1"/>
    </xf>
    <xf numFmtId="2" fontId="22" fillId="4" borderId="379" xfId="0" applyNumberFormat="1" applyFont="1" applyFill="1" applyBorder="1" applyAlignment="1" applyProtection="1">
      <alignment horizontal="center" vertical="center"/>
      <protection locked="0"/>
    </xf>
    <xf numFmtId="2" fontId="22" fillId="4" borderId="372" xfId="0" applyNumberFormat="1" applyFont="1" applyFill="1" applyBorder="1" applyAlignment="1" applyProtection="1">
      <alignment horizontal="center" vertical="center"/>
      <protection locked="0"/>
    </xf>
    <xf numFmtId="2" fontId="22" fillId="4" borderId="367" xfId="0" applyNumberFormat="1" applyFont="1" applyFill="1" applyBorder="1" applyAlignment="1" applyProtection="1">
      <alignment horizontal="center" vertical="center"/>
      <protection locked="0"/>
    </xf>
    <xf numFmtId="2" fontId="22" fillId="4" borderId="368" xfId="0" applyNumberFormat="1" applyFont="1" applyFill="1" applyBorder="1" applyAlignment="1" applyProtection="1">
      <alignment horizontal="center" vertical="center"/>
      <protection locked="0"/>
    </xf>
    <xf numFmtId="2" fontId="22" fillId="4" borderId="373" xfId="0" applyNumberFormat="1" applyFont="1" applyFill="1" applyBorder="1" applyAlignment="1" applyProtection="1">
      <alignment horizontal="center" vertical="center"/>
      <protection locked="0"/>
    </xf>
    <xf numFmtId="2" fontId="22" fillId="4" borderId="380" xfId="0" applyNumberFormat="1" applyFont="1" applyFill="1" applyBorder="1" applyAlignment="1" applyProtection="1">
      <alignment horizontal="center" vertical="center"/>
      <protection locked="0"/>
    </xf>
    <xf numFmtId="0" fontId="21" fillId="2" borderId="18" xfId="0" applyFont="1" applyFill="1" applyBorder="1">
      <alignment vertical="center"/>
    </xf>
    <xf numFmtId="0" fontId="21" fillId="2" borderId="18" xfId="0" applyFont="1" applyFill="1" applyBorder="1" applyAlignment="1">
      <alignment horizontal="center" vertical="center"/>
    </xf>
    <xf numFmtId="0" fontId="40" fillId="2" borderId="0" xfId="0" applyFont="1" applyFill="1">
      <alignment vertical="center"/>
    </xf>
    <xf numFmtId="0" fontId="21" fillId="2" borderId="30" xfId="0" applyFont="1" applyFill="1" applyBorder="1" applyAlignment="1">
      <alignment horizontal="center" vertical="center" shrinkToFit="1"/>
    </xf>
    <xf numFmtId="0" fontId="21" fillId="2" borderId="12" xfId="0" applyFont="1" applyFill="1" applyBorder="1" applyAlignment="1">
      <alignment horizontal="center" vertical="center" shrinkToFit="1"/>
    </xf>
    <xf numFmtId="0" fontId="21" fillId="2" borderId="75" xfId="0" applyFont="1" applyFill="1" applyBorder="1" applyAlignment="1">
      <alignment horizontal="center" vertical="center" shrinkToFit="1"/>
    </xf>
    <xf numFmtId="0" fontId="21" fillId="2" borderId="15" xfId="0" applyFont="1" applyFill="1" applyBorder="1" applyAlignment="1">
      <alignment vertical="top" textRotation="255" wrapText="1" shrinkToFit="1"/>
    </xf>
    <xf numFmtId="0" fontId="21" fillId="2" borderId="15" xfId="0" applyFont="1" applyFill="1" applyBorder="1" applyAlignment="1">
      <alignment vertical="top" textRotation="255" shrinkToFit="1"/>
    </xf>
    <xf numFmtId="0" fontId="21" fillId="2" borderId="51" xfId="0" applyFont="1" applyFill="1" applyBorder="1" applyAlignment="1">
      <alignment vertical="top" textRotation="255" shrinkToFit="1"/>
    </xf>
    <xf numFmtId="0" fontId="21" fillId="2" borderId="81" xfId="0" applyFont="1" applyFill="1" applyBorder="1" applyAlignment="1">
      <alignment horizontal="center" vertical="center" textRotation="255"/>
    </xf>
    <xf numFmtId="0" fontId="21" fillId="2" borderId="82" xfId="0" applyFont="1" applyFill="1" applyBorder="1" applyAlignment="1">
      <alignment horizontal="center" vertical="center" textRotation="255"/>
    </xf>
    <xf numFmtId="0" fontId="21" fillId="2" borderId="55" xfId="0" applyFont="1" applyFill="1" applyBorder="1" applyAlignment="1">
      <alignment horizontal="center" vertical="center" textRotation="255"/>
    </xf>
    <xf numFmtId="0" fontId="21" fillId="2" borderId="79" xfId="0" applyFont="1" applyFill="1" applyBorder="1" applyAlignment="1">
      <alignment vertical="center" textRotation="255" shrinkToFit="1"/>
    </xf>
    <xf numFmtId="183" fontId="21" fillId="2" borderId="79" xfId="0" applyNumberFormat="1" applyFont="1" applyFill="1" applyBorder="1" applyAlignment="1">
      <alignment vertical="center" textRotation="255" shrinkToFit="1"/>
    </xf>
    <xf numFmtId="0" fontId="21" fillId="2" borderId="83" xfId="0" applyFont="1" applyFill="1" applyBorder="1" applyAlignment="1">
      <alignment horizontal="center" vertical="center" textRotation="255" shrinkToFit="1"/>
    </xf>
    <xf numFmtId="0" fontId="21" fillId="2" borderId="82" xfId="0" applyFont="1" applyFill="1" applyBorder="1" applyAlignment="1">
      <alignment horizontal="center" vertical="center" textRotation="255" shrinkToFit="1"/>
    </xf>
    <xf numFmtId="0" fontId="21" fillId="2" borderId="131" xfId="0" applyFont="1" applyFill="1" applyBorder="1" applyAlignment="1">
      <alignment vertical="center" textRotation="255" shrinkToFit="1"/>
    </xf>
    <xf numFmtId="2" fontId="22" fillId="13" borderId="368" xfId="0" applyNumberFormat="1" applyFont="1" applyFill="1" applyBorder="1" applyAlignment="1">
      <alignment horizontal="center" vertical="center"/>
    </xf>
    <xf numFmtId="2" fontId="22" fillId="2" borderId="373" xfId="0" applyNumberFormat="1" applyFont="1" applyFill="1" applyBorder="1" applyAlignment="1">
      <alignment horizontal="center" vertical="center"/>
    </xf>
    <xf numFmtId="2" fontId="22" fillId="13" borderId="380" xfId="0" applyNumberFormat="1" applyFont="1" applyFill="1" applyBorder="1" applyAlignment="1">
      <alignment horizontal="center" vertical="center"/>
    </xf>
    <xf numFmtId="0" fontId="23" fillId="0" borderId="253" xfId="0" applyFont="1" applyBorder="1" applyAlignment="1">
      <alignment horizontal="center" vertical="center" shrinkToFit="1"/>
    </xf>
    <xf numFmtId="0" fontId="23" fillId="0" borderId="443" xfId="0" applyFont="1" applyBorder="1" applyAlignment="1">
      <alignment horizontal="center" vertical="center" shrinkToFit="1"/>
    </xf>
    <xf numFmtId="38" fontId="55" fillId="2" borderId="215" xfId="4" applyFont="1" applyFill="1" applyBorder="1" applyAlignment="1" applyProtection="1">
      <alignment horizontal="right" vertical="center" shrinkToFit="1"/>
    </xf>
    <xf numFmtId="38" fontId="55" fillId="2" borderId="219" xfId="4" applyFont="1" applyFill="1" applyBorder="1" applyAlignment="1" applyProtection="1">
      <alignment horizontal="right" vertical="center" shrinkToFit="1"/>
    </xf>
    <xf numFmtId="38" fontId="55" fillId="2" borderId="223" xfId="4" applyFont="1" applyFill="1" applyBorder="1" applyAlignment="1" applyProtection="1">
      <alignment horizontal="right" vertical="center" shrinkToFit="1"/>
    </xf>
    <xf numFmtId="0" fontId="24" fillId="0" borderId="293" xfId="0" applyFont="1" applyBorder="1" applyAlignment="1">
      <alignment horizontal="center" vertical="center" shrinkToFit="1"/>
    </xf>
    <xf numFmtId="0" fontId="9" fillId="0" borderId="254" xfId="0" applyFont="1" applyBorder="1" applyAlignment="1">
      <alignment horizontal="center" vertical="center"/>
    </xf>
    <xf numFmtId="0" fontId="63" fillId="0" borderId="4" xfId="0" applyFont="1" applyBorder="1" applyAlignment="1">
      <alignment horizontal="left" vertical="center" wrapText="1" shrinkToFit="1"/>
    </xf>
    <xf numFmtId="0" fontId="42" fillId="2" borderId="0" xfId="0" applyFont="1" applyFill="1" applyAlignment="1">
      <alignment horizontal="left" vertical="center"/>
    </xf>
    <xf numFmtId="0" fontId="41" fillId="2" borderId="21" xfId="0" applyFont="1" applyFill="1" applyBorder="1">
      <alignment vertical="center"/>
    </xf>
    <xf numFmtId="0" fontId="41" fillId="2" borderId="15" xfId="0" applyFont="1" applyFill="1" applyBorder="1">
      <alignment vertical="center"/>
    </xf>
    <xf numFmtId="0" fontId="41" fillId="2" borderId="10" xfId="0" applyFont="1" applyFill="1" applyBorder="1">
      <alignment vertical="center"/>
    </xf>
    <xf numFmtId="0" fontId="43" fillId="2" borderId="0" xfId="0" applyFont="1" applyFill="1" applyAlignment="1">
      <alignment horizontal="left" vertical="center"/>
    </xf>
    <xf numFmtId="0" fontId="43" fillId="2" borderId="15" xfId="0" applyFont="1" applyFill="1" applyBorder="1" applyAlignment="1">
      <alignment horizontal="left" vertical="center"/>
    </xf>
    <xf numFmtId="0" fontId="21" fillId="2" borderId="169" xfId="0" applyFont="1" applyFill="1" applyBorder="1" applyAlignment="1">
      <alignment horizontal="center" vertical="center" shrinkToFit="1"/>
    </xf>
    <xf numFmtId="0" fontId="21" fillId="2" borderId="155" xfId="0" applyFont="1" applyFill="1" applyBorder="1" applyAlignment="1">
      <alignment horizontal="center" vertical="center" shrinkToFit="1"/>
    </xf>
    <xf numFmtId="0" fontId="21" fillId="2" borderId="171" xfId="0" applyFont="1" applyFill="1" applyBorder="1" applyAlignment="1">
      <alignment horizontal="center" vertical="center" shrinkToFit="1"/>
    </xf>
    <xf numFmtId="196" fontId="65" fillId="11" borderId="119" xfId="3" applyNumberFormat="1" applyFont="1" applyFill="1" applyBorder="1" applyAlignment="1" applyProtection="1">
      <alignment horizontal="left" shrinkToFit="1"/>
      <protection locked="0"/>
    </xf>
    <xf numFmtId="196" fontId="65" fillId="11" borderId="138" xfId="3" applyNumberFormat="1" applyFont="1" applyFill="1" applyBorder="1" applyAlignment="1" applyProtection="1">
      <alignment horizontal="left" shrinkToFit="1"/>
      <protection locked="0"/>
    </xf>
    <xf numFmtId="0" fontId="9" fillId="2" borderId="13" xfId="0" applyFont="1" applyFill="1" applyBorder="1" applyAlignment="1">
      <alignment horizontal="center" vertical="center"/>
    </xf>
    <xf numFmtId="0" fontId="41" fillId="2" borderId="15" xfId="0" applyFont="1" applyFill="1" applyBorder="1" applyAlignment="1">
      <alignment horizontal="center" vertical="center"/>
    </xf>
    <xf numFmtId="0" fontId="41" fillId="2" borderId="18" xfId="0" applyFont="1" applyFill="1" applyBorder="1" applyAlignment="1">
      <alignment horizontal="center" vertical="center"/>
    </xf>
    <xf numFmtId="0" fontId="41" fillId="2" borderId="0" xfId="0" applyFont="1" applyFill="1" applyAlignment="1">
      <alignment horizontal="center" vertical="center"/>
    </xf>
    <xf numFmtId="0" fontId="22" fillId="7" borderId="0" xfId="0" applyFont="1" applyFill="1" applyAlignment="1">
      <alignment horizontal="center" vertical="center" shrinkToFit="1"/>
    </xf>
    <xf numFmtId="0" fontId="9" fillId="2" borderId="63" xfId="0" applyFont="1" applyFill="1" applyBorder="1">
      <alignment vertical="center"/>
    </xf>
    <xf numFmtId="0" fontId="66" fillId="0" borderId="0" xfId="11"/>
    <xf numFmtId="0" fontId="41" fillId="0" borderId="0" xfId="11" applyFont="1" applyAlignment="1">
      <alignment horizontal="left" vertical="center"/>
    </xf>
    <xf numFmtId="0" fontId="67" fillId="0" borderId="0" xfId="7" applyFont="1">
      <alignment vertical="center"/>
    </xf>
    <xf numFmtId="0" fontId="68" fillId="0" borderId="0" xfId="11" applyFont="1" applyAlignment="1">
      <alignment horizontal="left"/>
    </xf>
    <xf numFmtId="0" fontId="68" fillId="0" borderId="0" xfId="11" applyFont="1" applyAlignment="1">
      <alignment horizontal="center"/>
    </xf>
    <xf numFmtId="0" fontId="49" fillId="4" borderId="4" xfId="11" applyFont="1" applyFill="1" applyBorder="1" applyAlignment="1">
      <alignment horizontal="center" vertical="center"/>
    </xf>
    <xf numFmtId="0" fontId="55" fillId="0" borderId="0" xfId="11" applyFont="1" applyAlignment="1">
      <alignment vertical="center"/>
    </xf>
    <xf numFmtId="0" fontId="49" fillId="6" borderId="4" xfId="11" applyFont="1" applyFill="1" applyBorder="1" applyAlignment="1">
      <alignment horizontal="center" vertical="center"/>
    </xf>
    <xf numFmtId="0" fontId="49" fillId="5" borderId="4" xfId="11" applyFont="1" applyFill="1" applyBorder="1" applyAlignment="1">
      <alignment horizontal="center" vertical="center"/>
    </xf>
    <xf numFmtId="0" fontId="49" fillId="0" borderId="4" xfId="11" applyFont="1" applyBorder="1" applyAlignment="1">
      <alignment horizontal="center" vertical="center"/>
    </xf>
    <xf numFmtId="0" fontId="69" fillId="0" borderId="0" xfId="11" applyFont="1"/>
    <xf numFmtId="0" fontId="53" fillId="0" borderId="0" xfId="7" applyFont="1">
      <alignment vertical="center"/>
    </xf>
    <xf numFmtId="0" fontId="11" fillId="0" borderId="0" xfId="7" applyAlignment="1">
      <alignment horizontal="center" vertical="center"/>
    </xf>
    <xf numFmtId="0" fontId="71" fillId="0" borderId="45" xfId="11" applyFont="1" applyBorder="1" applyAlignment="1">
      <alignment horizontal="center" vertical="center"/>
    </xf>
    <xf numFmtId="0" fontId="73" fillId="0" borderId="46" xfId="12" applyFont="1" applyBorder="1" applyAlignment="1" applyProtection="1">
      <alignment horizontal="center" vertical="center"/>
    </xf>
    <xf numFmtId="0" fontId="74" fillId="0" borderId="7" xfId="11" applyFont="1" applyBorder="1" applyAlignment="1">
      <alignment horizontal="center" vertical="center"/>
    </xf>
    <xf numFmtId="0" fontId="67" fillId="0" borderId="68" xfId="7" applyFont="1" applyBorder="1" applyAlignment="1">
      <alignment horizontal="center" vertical="center"/>
    </xf>
    <xf numFmtId="0" fontId="75" fillId="0" borderId="0" xfId="7" applyFont="1">
      <alignment vertical="center"/>
    </xf>
    <xf numFmtId="0" fontId="74" fillId="0" borderId="54" xfId="11" applyFont="1" applyBorder="1" applyAlignment="1">
      <alignment horizontal="center" vertical="center"/>
    </xf>
    <xf numFmtId="0" fontId="67" fillId="0" borderId="69" xfId="7" applyFont="1" applyBorder="1" applyAlignment="1">
      <alignment horizontal="center" vertical="center"/>
    </xf>
    <xf numFmtId="0" fontId="67" fillId="0" borderId="11" xfId="7" applyFont="1" applyBorder="1" applyAlignment="1">
      <alignment horizontal="left" vertical="center" indent="1"/>
    </xf>
    <xf numFmtId="0" fontId="67" fillId="0" borderId="31" xfId="7" applyFont="1" applyBorder="1">
      <alignment vertical="center"/>
    </xf>
    <xf numFmtId="0" fontId="67" fillId="0" borderId="37" xfId="7" applyFont="1" applyBorder="1" applyAlignment="1">
      <alignment horizontal="left" vertical="center" indent="1"/>
    </xf>
    <xf numFmtId="0" fontId="67" fillId="0" borderId="35" xfId="7" applyFont="1" applyBorder="1">
      <alignment vertical="center"/>
    </xf>
    <xf numFmtId="0" fontId="67" fillId="0" borderId="38" xfId="7" applyFont="1" applyBorder="1" applyAlignment="1">
      <alignment horizontal="left" vertical="center" indent="1"/>
    </xf>
    <xf numFmtId="0" fontId="67" fillId="0" borderId="40" xfId="7" applyFont="1" applyBorder="1" applyAlignment="1">
      <alignment vertical="center" wrapText="1"/>
    </xf>
    <xf numFmtId="0" fontId="69" fillId="0" borderId="0" xfId="13" applyFont="1"/>
    <xf numFmtId="0" fontId="67" fillId="0" borderId="0" xfId="14" applyFont="1">
      <alignment vertical="center"/>
    </xf>
    <xf numFmtId="0" fontId="77" fillId="0" borderId="0" xfId="15"/>
    <xf numFmtId="0" fontId="78" fillId="0" borderId="45" xfId="13" applyFont="1" applyBorder="1" applyAlignment="1">
      <alignment horizontal="center" vertical="center"/>
    </xf>
    <xf numFmtId="0" fontId="79" fillId="0" borderId="54" xfId="11" applyFont="1" applyBorder="1" applyAlignment="1">
      <alignment horizontal="center" vertical="center"/>
    </xf>
    <xf numFmtId="0" fontId="66" fillId="0" borderId="0" xfId="11" applyAlignment="1">
      <alignment horizontal="center" vertical="center"/>
    </xf>
    <xf numFmtId="0" fontId="80" fillId="0" borderId="0" xfId="7" applyFont="1" applyAlignment="1">
      <alignment horizontal="center" vertical="center"/>
    </xf>
    <xf numFmtId="0" fontId="5" fillId="0" borderId="460" xfId="11" applyFont="1" applyBorder="1" applyAlignment="1">
      <alignment horizontal="center" vertical="center"/>
    </xf>
    <xf numFmtId="0" fontId="81" fillId="0" borderId="463" xfId="11" applyFont="1" applyBorder="1" applyAlignment="1">
      <alignment horizontal="center" vertical="center"/>
    </xf>
    <xf numFmtId="0" fontId="81" fillId="0" borderId="20" xfId="11" applyFont="1" applyBorder="1" applyAlignment="1">
      <alignment horizontal="left" vertical="center"/>
    </xf>
    <xf numFmtId="0" fontId="81" fillId="0" borderId="97" xfId="11" applyFont="1" applyBorder="1" applyAlignment="1">
      <alignment horizontal="left" vertical="center"/>
    </xf>
    <xf numFmtId="0" fontId="81" fillId="0" borderId="21" xfId="11" applyFont="1" applyBorder="1" applyAlignment="1">
      <alignment horizontal="left" vertical="center"/>
    </xf>
    <xf numFmtId="0" fontId="81" fillId="0" borderId="35" xfId="11" applyFont="1" applyBorder="1" applyAlignment="1">
      <alignment horizontal="left" vertical="center"/>
    </xf>
    <xf numFmtId="0" fontId="66" fillId="0" borderId="0" xfId="11" applyAlignment="1">
      <alignment horizontal="left" vertical="top"/>
    </xf>
    <xf numFmtId="0" fontId="67" fillId="0" borderId="0" xfId="7" applyFont="1" applyAlignment="1">
      <alignment horizontal="left" vertical="top"/>
    </xf>
    <xf numFmtId="0" fontId="9" fillId="0" borderId="19" xfId="0" applyFont="1" applyBorder="1">
      <alignment vertical="center"/>
    </xf>
    <xf numFmtId="0" fontId="83" fillId="0" borderId="19" xfId="0" applyFont="1" applyBorder="1" applyAlignment="1">
      <alignment horizontal="center" vertical="center"/>
    </xf>
    <xf numFmtId="0" fontId="83" fillId="0" borderId="19" xfId="3" applyFont="1" applyBorder="1" applyAlignment="1">
      <alignment horizontal="center" vertical="center"/>
    </xf>
    <xf numFmtId="179" fontId="84" fillId="0" borderId="4" xfId="0" applyNumberFormat="1" applyFont="1" applyBorder="1" applyAlignment="1">
      <alignment horizontal="left" vertical="center"/>
    </xf>
    <xf numFmtId="179" fontId="39" fillId="0" borderId="4" xfId="0" applyNumberFormat="1" applyFont="1" applyBorder="1" applyAlignment="1">
      <alignment horizontal="left" vertical="center"/>
    </xf>
    <xf numFmtId="0" fontId="0" fillId="0" borderId="4" xfId="0" applyBorder="1" applyAlignment="1"/>
    <xf numFmtId="0" fontId="22" fillId="12" borderId="176" xfId="0" applyFont="1" applyFill="1" applyBorder="1" applyAlignment="1">
      <alignment horizontal="center" vertical="center"/>
    </xf>
    <xf numFmtId="0" fontId="22" fillId="12" borderId="179" xfId="0" applyFont="1" applyFill="1" applyBorder="1" applyAlignment="1">
      <alignment horizontal="center" vertical="center"/>
    </xf>
    <xf numFmtId="0" fontId="22" fillId="12" borderId="182" xfId="0" applyFont="1" applyFill="1" applyBorder="1" applyAlignment="1">
      <alignment horizontal="center" vertical="center"/>
    </xf>
    <xf numFmtId="0" fontId="28" fillId="0" borderId="261" xfId="0" applyFont="1" applyBorder="1" applyAlignment="1">
      <alignment horizontal="center" vertical="center"/>
    </xf>
    <xf numFmtId="0" fontId="21" fillId="2" borderId="96" xfId="0" applyFont="1" applyFill="1" applyBorder="1" applyAlignment="1">
      <alignment horizontal="center" vertical="center" textRotation="255" shrinkToFit="1"/>
    </xf>
    <xf numFmtId="0" fontId="16" fillId="0" borderId="19" xfId="0" applyFont="1" applyBorder="1">
      <alignment vertical="center"/>
    </xf>
    <xf numFmtId="0" fontId="16" fillId="0" borderId="19" xfId="0" applyFont="1" applyBorder="1" applyAlignment="1">
      <alignment horizontal="center" vertical="center"/>
    </xf>
    <xf numFmtId="0" fontId="77" fillId="0" borderId="0" xfId="0" applyFont="1">
      <alignment vertical="center"/>
    </xf>
    <xf numFmtId="0" fontId="0" fillId="0" borderId="0" xfId="0" applyAlignment="1">
      <alignment horizontal="center" vertical="center"/>
    </xf>
    <xf numFmtId="0" fontId="0" fillId="0" borderId="0" xfId="0" applyAlignment="1">
      <alignment horizontal="left" vertical="center" wrapText="1"/>
    </xf>
    <xf numFmtId="0" fontId="69" fillId="0" borderId="0" xfId="0" applyFont="1" applyAlignment="1"/>
    <xf numFmtId="0" fontId="0" fillId="0" borderId="0" xfId="0" applyAlignment="1"/>
    <xf numFmtId="0" fontId="53" fillId="0" borderId="0" xfId="7" applyFont="1" applyAlignment="1"/>
    <xf numFmtId="0" fontId="85" fillId="0" borderId="45" xfId="0" applyFont="1" applyBorder="1" applyAlignment="1">
      <alignment horizontal="center" vertical="center"/>
    </xf>
    <xf numFmtId="0" fontId="0" fillId="0" borderId="7" xfId="0" applyBorder="1" applyAlignment="1">
      <alignment horizontal="center" vertical="center"/>
    </xf>
    <xf numFmtId="0" fontId="67" fillId="0" borderId="68" xfId="7" applyFont="1" applyBorder="1" applyAlignment="1">
      <alignment horizontal="center" vertical="center" shrinkToFit="1"/>
    </xf>
    <xf numFmtId="0" fontId="0" fillId="0" borderId="54" xfId="0" applyBorder="1" applyAlignment="1">
      <alignment horizontal="center" vertical="center"/>
    </xf>
    <xf numFmtId="0" fontId="87" fillId="0" borderId="45" xfId="13" applyFont="1" applyBorder="1" applyAlignment="1">
      <alignment horizontal="center" vertical="center"/>
    </xf>
    <xf numFmtId="0" fontId="85" fillId="0" borderId="0" xfId="12" applyFont="1" applyBorder="1" applyAlignment="1" applyProtection="1">
      <alignment horizontal="center" vertical="center"/>
    </xf>
    <xf numFmtId="0" fontId="0" fillId="0" borderId="4" xfId="0" applyBorder="1" applyAlignment="1">
      <alignment horizontal="left" vertical="center"/>
    </xf>
    <xf numFmtId="0" fontId="31" fillId="0" borderId="0" xfId="13" applyFont="1" applyAlignment="1">
      <alignment horizontal="left" vertical="center"/>
    </xf>
    <xf numFmtId="0" fontId="88" fillId="0" borderId="0" xfId="0" applyFont="1" applyAlignment="1">
      <alignment horizontal="left" vertical="center"/>
    </xf>
    <xf numFmtId="0" fontId="89" fillId="0" borderId="4" xfId="0" applyFont="1" applyBorder="1" applyAlignment="1">
      <alignment horizontal="center" vertical="center"/>
    </xf>
    <xf numFmtId="0" fontId="89" fillId="0" borderId="6" xfId="0" applyFont="1" applyBorder="1" applyAlignment="1">
      <alignment horizontal="center" vertical="center"/>
    </xf>
    <xf numFmtId="0" fontId="0" fillId="0" borderId="13" xfId="0" applyBorder="1">
      <alignment vertical="center"/>
    </xf>
    <xf numFmtId="0" fontId="77" fillId="14" borderId="464" xfId="0" applyFont="1" applyFill="1" applyBorder="1">
      <alignment vertical="center"/>
    </xf>
    <xf numFmtId="0" fontId="77" fillId="14" borderId="465" xfId="0" applyFont="1" applyFill="1" applyBorder="1">
      <alignment vertical="center"/>
    </xf>
    <xf numFmtId="0" fontId="77" fillId="14" borderId="466" xfId="0" applyFont="1" applyFill="1" applyBorder="1">
      <alignment vertical="center"/>
    </xf>
    <xf numFmtId="0" fontId="0" fillId="0" borderId="50" xfId="0" applyBorder="1" applyAlignment="1">
      <alignment horizontal="center" vertical="center"/>
    </xf>
    <xf numFmtId="0" fontId="80" fillId="0" borderId="68" xfId="7" applyFont="1" applyBorder="1" applyAlignment="1">
      <alignment horizontal="center" vertical="center" shrinkToFit="1"/>
    </xf>
    <xf numFmtId="0" fontId="53" fillId="0" borderId="48" xfId="7" applyFont="1" applyBorder="1" applyAlignment="1">
      <alignment horizontal="center" vertical="center" shrinkToFit="1"/>
    </xf>
    <xf numFmtId="0" fontId="31" fillId="2" borderId="0" xfId="0" applyFont="1" applyFill="1">
      <alignment vertical="center"/>
    </xf>
    <xf numFmtId="0" fontId="63" fillId="0" borderId="0" xfId="0" applyFont="1" applyAlignment="1">
      <alignment horizontal="center" vertical="center"/>
    </xf>
    <xf numFmtId="0" fontId="31" fillId="2" borderId="0" xfId="0" applyFont="1" applyFill="1" applyAlignment="1">
      <alignment vertical="center" shrinkToFit="1"/>
    </xf>
    <xf numFmtId="0" fontId="91" fillId="0" borderId="0" xfId="0" applyFont="1">
      <alignment vertical="center"/>
    </xf>
    <xf numFmtId="0" fontId="92" fillId="0" borderId="31" xfId="12" applyFont="1" applyBorder="1" applyAlignment="1" applyProtection="1">
      <alignment horizontal="center" vertical="center"/>
    </xf>
    <xf numFmtId="0" fontId="86" fillId="0" borderId="0" xfId="7" applyFont="1" applyAlignment="1">
      <alignment horizontal="center" vertical="center"/>
    </xf>
    <xf numFmtId="0" fontId="92" fillId="0" borderId="46" xfId="12" applyFont="1" applyBorder="1" applyAlignment="1" applyProtection="1">
      <alignment horizontal="center" vertical="center"/>
    </xf>
    <xf numFmtId="0" fontId="90" fillId="0" borderId="0" xfId="7" applyFont="1">
      <alignment vertical="center"/>
    </xf>
    <xf numFmtId="0" fontId="91" fillId="15" borderId="0" xfId="0" applyFont="1" applyFill="1">
      <alignment vertical="center"/>
    </xf>
    <xf numFmtId="0" fontId="17" fillId="0" borderId="4" xfId="0" applyFont="1" applyBorder="1" applyAlignment="1">
      <alignment horizontal="left" vertical="center" wrapText="1" shrinkToFit="1"/>
    </xf>
    <xf numFmtId="0" fontId="21" fillId="3" borderId="467" xfId="0" applyFont="1" applyFill="1" applyBorder="1" applyAlignment="1">
      <alignment horizontal="center" vertical="center" shrinkToFit="1"/>
    </xf>
    <xf numFmtId="0" fontId="21" fillId="3" borderId="468" xfId="0" applyFont="1" applyFill="1" applyBorder="1" applyAlignment="1">
      <alignment horizontal="center" vertical="center" shrinkToFit="1"/>
    </xf>
    <xf numFmtId="0" fontId="21" fillId="3" borderId="469" xfId="0" applyFont="1" applyFill="1" applyBorder="1" applyAlignment="1">
      <alignment horizontal="center" vertical="center" shrinkToFit="1"/>
    </xf>
    <xf numFmtId="0" fontId="21" fillId="3" borderId="470" xfId="0" applyFont="1" applyFill="1" applyBorder="1" applyAlignment="1">
      <alignment horizontal="center" vertical="center" shrinkToFit="1"/>
    </xf>
    <xf numFmtId="0" fontId="16" fillId="5" borderId="21" xfId="3" applyFont="1" applyFill="1" applyBorder="1" applyAlignment="1">
      <alignment horizontal="center" vertical="center"/>
    </xf>
    <xf numFmtId="0" fontId="16" fillId="5" borderId="15" xfId="3" applyFont="1" applyFill="1" applyBorder="1" applyAlignment="1">
      <alignment horizontal="center" vertical="center"/>
    </xf>
    <xf numFmtId="0" fontId="20" fillId="5" borderId="132" xfId="3" applyFont="1" applyFill="1" applyBorder="1" applyAlignment="1">
      <alignment horizontal="center" vertical="center" shrinkToFit="1"/>
    </xf>
    <xf numFmtId="0" fontId="20" fillId="5" borderId="133" xfId="3" applyFont="1" applyFill="1" applyBorder="1" applyAlignment="1">
      <alignment horizontal="center" vertical="center" shrinkToFit="1"/>
    </xf>
    <xf numFmtId="0" fontId="5" fillId="11" borderId="19" xfId="3" applyFont="1" applyFill="1" applyBorder="1" applyAlignment="1" applyProtection="1">
      <alignment horizontal="center" vertical="center"/>
      <protection locked="0"/>
    </xf>
    <xf numFmtId="0" fontId="5" fillId="11" borderId="16" xfId="3" applyFont="1" applyFill="1" applyBorder="1" applyAlignment="1" applyProtection="1">
      <alignment horizontal="center" vertical="center"/>
      <protection locked="0"/>
    </xf>
    <xf numFmtId="0" fontId="5" fillId="3" borderId="19" xfId="3" applyFont="1" applyFill="1" applyBorder="1" applyAlignment="1">
      <alignment horizontal="center" vertical="center"/>
    </xf>
    <xf numFmtId="0" fontId="5" fillId="3" borderId="16" xfId="3" applyFont="1" applyFill="1" applyBorder="1" applyAlignment="1">
      <alignment horizontal="center" vertical="center"/>
    </xf>
    <xf numFmtId="0" fontId="81" fillId="0" borderId="21" xfId="11" applyFont="1" applyBorder="1" applyAlignment="1">
      <alignment horizontal="left" vertical="center"/>
    </xf>
    <xf numFmtId="0" fontId="81" fillId="0" borderId="35" xfId="11" applyFont="1" applyBorder="1" applyAlignment="1">
      <alignment horizontal="left" vertical="center"/>
    </xf>
    <xf numFmtId="0" fontId="81" fillId="0" borderId="47" xfId="11" applyFont="1" applyBorder="1" applyAlignment="1">
      <alignment horizontal="center" vertical="center"/>
    </xf>
    <xf numFmtId="0" fontId="81" fillId="0" borderId="50" xfId="11" applyFont="1" applyBorder="1" applyAlignment="1">
      <alignment horizontal="center" vertical="center"/>
    </xf>
    <xf numFmtId="0" fontId="81" fillId="0" borderId="54" xfId="11" applyFont="1" applyBorder="1" applyAlignment="1">
      <alignment horizontal="center" vertical="center"/>
    </xf>
    <xf numFmtId="0" fontId="81" fillId="0" borderId="56" xfId="11" applyFont="1" applyBorder="1" applyAlignment="1">
      <alignment horizontal="left" vertical="top" wrapText="1"/>
    </xf>
    <xf numFmtId="0" fontId="81" fillId="0" borderId="40" xfId="11" applyFont="1" applyBorder="1" applyAlignment="1">
      <alignment horizontal="left" vertical="top"/>
    </xf>
    <xf numFmtId="0" fontId="5" fillId="0" borderId="461" xfId="11" applyFont="1" applyBorder="1" applyAlignment="1">
      <alignment horizontal="center" vertical="center"/>
    </xf>
    <xf numFmtId="0" fontId="5" fillId="0" borderId="462" xfId="11" applyFont="1" applyBorder="1" applyAlignment="1">
      <alignment horizontal="center" vertical="center"/>
    </xf>
    <xf numFmtId="0" fontId="82" fillId="0" borderId="20" xfId="11" applyFont="1" applyBorder="1" applyAlignment="1">
      <alignment horizontal="left" vertical="center" wrapText="1"/>
    </xf>
    <xf numFmtId="0" fontId="82" fillId="0" borderId="97" xfId="11" applyFont="1" applyBorder="1" applyAlignment="1">
      <alignment horizontal="left" vertical="center" wrapText="1"/>
    </xf>
    <xf numFmtId="0" fontId="81" fillId="0" borderId="7" xfId="11" applyFont="1" applyBorder="1" applyAlignment="1">
      <alignment horizontal="center" vertical="center"/>
    </xf>
    <xf numFmtId="0" fontId="81" fillId="0" borderId="19" xfId="11" applyFont="1" applyBorder="1" applyAlignment="1">
      <alignment horizontal="left" vertical="center"/>
    </xf>
    <xf numFmtId="0" fontId="81" fillId="0" borderId="44" xfId="11" applyFont="1" applyBorder="1" applyAlignment="1">
      <alignment horizontal="left" vertical="center"/>
    </xf>
    <xf numFmtId="0" fontId="0" fillId="0" borderId="112" xfId="0" applyBorder="1" applyAlignment="1">
      <alignment horizontal="center" vertical="center"/>
    </xf>
    <xf numFmtId="0" fontId="0" fillId="0" borderId="111" xfId="0" applyBorder="1" applyAlignment="1">
      <alignment horizontal="center" vertical="center"/>
    </xf>
    <xf numFmtId="0" fontId="0" fillId="0" borderId="113"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31" fillId="2" borderId="0" xfId="0" applyFont="1" applyFill="1" applyAlignment="1">
      <alignment horizontal="left" vertical="center"/>
    </xf>
    <xf numFmtId="0" fontId="77" fillId="2" borderId="48" xfId="0" applyFont="1" applyFill="1" applyBorder="1" applyAlignment="1">
      <alignment horizontal="center" vertical="center"/>
    </xf>
    <xf numFmtId="0" fontId="77" fillId="2" borderId="51" xfId="0" applyFont="1" applyFill="1" applyBorder="1" applyAlignment="1">
      <alignment horizontal="center" vertical="center"/>
    </xf>
    <xf numFmtId="0" fontId="77" fillId="2" borderId="49" xfId="0" applyFont="1" applyFill="1" applyBorder="1" applyAlignment="1">
      <alignment horizontal="center" vertical="center"/>
    </xf>
    <xf numFmtId="0" fontId="9" fillId="2" borderId="17" xfId="0" applyFont="1" applyFill="1" applyBorder="1" applyAlignment="1">
      <alignment horizontal="center" vertical="center" shrinkToFit="1"/>
    </xf>
    <xf numFmtId="0" fontId="9" fillId="2" borderId="18"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181" fontId="9" fillId="6" borderId="17" xfId="0" applyNumberFormat="1" applyFont="1" applyFill="1" applyBorder="1" applyAlignment="1" applyProtection="1">
      <alignment horizontal="center" vertical="center" shrinkToFit="1"/>
      <protection locked="0"/>
    </xf>
    <xf numFmtId="181" fontId="9" fillId="6" borderId="18" xfId="0" applyNumberFormat="1" applyFont="1" applyFill="1" applyBorder="1" applyAlignment="1" applyProtection="1">
      <alignment horizontal="center" vertical="center" shrinkToFit="1"/>
      <protection locked="0"/>
    </xf>
    <xf numFmtId="181" fontId="9" fillId="6" borderId="14" xfId="0" applyNumberFormat="1" applyFont="1" applyFill="1" applyBorder="1" applyAlignment="1" applyProtection="1">
      <alignment horizontal="center" vertical="center" shrinkToFit="1"/>
      <protection locked="0"/>
    </xf>
    <xf numFmtId="181" fontId="9" fillId="4" borderId="4" xfId="0" applyNumberFormat="1" applyFont="1" applyFill="1" applyBorder="1" applyAlignment="1" applyProtection="1">
      <alignment horizontal="center" vertical="center" shrinkToFit="1"/>
      <protection locked="0"/>
    </xf>
    <xf numFmtId="0" fontId="9" fillId="2" borderId="17" xfId="0" applyFont="1" applyFill="1" applyBorder="1" applyAlignment="1">
      <alignment horizontal="left" vertical="center" shrinkToFit="1"/>
    </xf>
    <xf numFmtId="0" fontId="9" fillId="2" borderId="18" xfId="0" applyFont="1" applyFill="1" applyBorder="1" applyAlignment="1">
      <alignment horizontal="left" vertical="center" shrinkToFit="1"/>
    </xf>
    <xf numFmtId="0" fontId="9" fillId="2" borderId="14" xfId="0" applyFont="1" applyFill="1" applyBorder="1" applyAlignment="1">
      <alignment horizontal="left" vertical="center" shrinkToFit="1"/>
    </xf>
    <xf numFmtId="0" fontId="9" fillId="0" borderId="4" xfId="0" applyFont="1" applyBorder="1" applyAlignment="1">
      <alignment horizontal="center" vertical="center"/>
    </xf>
    <xf numFmtId="0" fontId="9" fillId="2" borderId="4" xfId="0" applyFont="1" applyFill="1" applyBorder="1" applyAlignment="1">
      <alignment horizontal="center" vertical="center" shrinkToFit="1"/>
    </xf>
    <xf numFmtId="0" fontId="9" fillId="2" borderId="19" xfId="0" applyFont="1" applyFill="1" applyBorder="1" applyAlignment="1">
      <alignment horizontal="center" vertical="center"/>
    </xf>
    <xf numFmtId="0" fontId="9" fillId="2" borderId="33"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14" xfId="0" applyFont="1" applyFill="1" applyBorder="1" applyAlignment="1">
      <alignment horizontal="center" vertical="center"/>
    </xf>
    <xf numFmtId="209" fontId="9" fillId="2" borderId="119" xfId="0" applyNumberFormat="1" applyFont="1" applyFill="1" applyBorder="1" applyAlignment="1">
      <alignment horizontal="center" vertical="center"/>
    </xf>
    <xf numFmtId="209" fontId="9" fillId="2" borderId="175" xfId="0" applyNumberFormat="1" applyFont="1" applyFill="1" applyBorder="1" applyAlignment="1">
      <alignment horizontal="center" vertical="center"/>
    </xf>
    <xf numFmtId="209" fontId="9" fillId="2" borderId="444" xfId="0" applyNumberFormat="1" applyFont="1" applyFill="1" applyBorder="1" applyAlignment="1">
      <alignment horizontal="center" vertical="center"/>
    </xf>
    <xf numFmtId="209" fontId="9" fillId="2" borderId="445" xfId="0" applyNumberFormat="1" applyFont="1" applyFill="1" applyBorder="1" applyAlignment="1">
      <alignment horizontal="center" vertical="center"/>
    </xf>
    <xf numFmtId="209" fontId="9" fillId="2" borderId="14" xfId="0" applyNumberFormat="1" applyFont="1" applyFill="1" applyBorder="1" applyAlignment="1">
      <alignment horizontal="center" vertical="center"/>
    </xf>
    <xf numFmtId="0" fontId="22" fillId="2" borderId="17" xfId="0" applyFont="1" applyFill="1" applyBorder="1" applyAlignment="1">
      <alignment horizontal="left" vertical="center"/>
    </xf>
    <xf numFmtId="0" fontId="22" fillId="2" borderId="18" xfId="0" applyFont="1" applyFill="1" applyBorder="1" applyAlignment="1">
      <alignment horizontal="left" vertical="center"/>
    </xf>
    <xf numFmtId="0" fontId="22" fillId="2" borderId="14" xfId="0" applyFont="1" applyFill="1" applyBorder="1" applyAlignment="1">
      <alignment horizontal="left" vertical="center"/>
    </xf>
    <xf numFmtId="185" fontId="25" fillId="4" borderId="175" xfId="0" applyNumberFormat="1" applyFont="1" applyFill="1" applyBorder="1" applyAlignment="1" applyProtection="1">
      <alignment horizontal="center" vertical="center" shrinkToFit="1"/>
      <protection locked="0"/>
    </xf>
    <xf numFmtId="185" fontId="25" fillId="4" borderId="138" xfId="0" applyNumberFormat="1" applyFont="1" applyFill="1" applyBorder="1" applyAlignment="1" applyProtection="1">
      <alignment horizontal="center" vertical="center" shrinkToFit="1"/>
      <protection locked="0"/>
    </xf>
    <xf numFmtId="49" fontId="25" fillId="4" borderId="119" xfId="0" applyNumberFormat="1" applyFont="1" applyFill="1" applyBorder="1" applyAlignment="1" applyProtection="1">
      <alignment horizontal="center" vertical="center" shrinkToFit="1"/>
      <protection locked="0"/>
    </xf>
    <xf numFmtId="49" fontId="25" fillId="4" borderId="175" xfId="0" applyNumberFormat="1" applyFont="1" applyFill="1" applyBorder="1" applyAlignment="1" applyProtection="1">
      <alignment horizontal="center" vertical="center" shrinkToFit="1"/>
      <protection locked="0"/>
    </xf>
    <xf numFmtId="0" fontId="9" fillId="2" borderId="16"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6" xfId="0" applyFont="1" applyFill="1" applyBorder="1" applyAlignment="1">
      <alignment horizontal="left" vertical="center" wrapText="1"/>
    </xf>
    <xf numFmtId="0" fontId="9" fillId="2" borderId="8" xfId="0" applyFont="1" applyFill="1" applyBorder="1" applyAlignment="1">
      <alignment horizontal="left" vertical="center" wrapText="1"/>
    </xf>
    <xf numFmtId="0" fontId="22" fillId="2" borderId="17" xfId="0" applyFont="1" applyFill="1" applyBorder="1" applyAlignment="1">
      <alignment horizontal="center" vertical="center"/>
    </xf>
    <xf numFmtId="0" fontId="22" fillId="2" borderId="18" xfId="0" applyFont="1" applyFill="1" applyBorder="1" applyAlignment="1">
      <alignment horizontal="center" vertical="center"/>
    </xf>
    <xf numFmtId="0" fontId="22" fillId="2" borderId="14" xfId="0" applyFont="1" applyFill="1" applyBorder="1" applyAlignment="1">
      <alignment horizontal="center" vertical="center"/>
    </xf>
    <xf numFmtId="0" fontId="9" fillId="2" borderId="19"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33" xfId="0" applyFont="1" applyFill="1" applyBorder="1" applyAlignment="1">
      <alignment horizontal="left" vertical="center" wrapText="1"/>
    </xf>
    <xf numFmtId="0" fontId="9" fillId="2" borderId="16"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2" borderId="4" xfId="0" applyFont="1" applyFill="1" applyBorder="1" applyAlignment="1">
      <alignment horizontal="center" vertical="center"/>
    </xf>
    <xf numFmtId="0" fontId="12" fillId="2" borderId="4" xfId="0" applyFont="1" applyFill="1" applyBorder="1" applyAlignment="1">
      <alignment horizontal="center" vertical="center" shrinkToFit="1"/>
    </xf>
    <xf numFmtId="0" fontId="9" fillId="2" borderId="37" xfId="0" applyFont="1" applyFill="1" applyBorder="1" applyAlignment="1">
      <alignment horizontal="center" vertical="center"/>
    </xf>
    <xf numFmtId="0" fontId="9" fillId="2" borderId="0" xfId="0" applyFont="1" applyFill="1" applyAlignment="1">
      <alignment horizontal="center" vertical="center"/>
    </xf>
    <xf numFmtId="0" fontId="9" fillId="2" borderId="0" xfId="0" applyFont="1" applyFill="1" applyAlignment="1">
      <alignment horizontal="left" vertical="center" wrapText="1"/>
    </xf>
    <xf numFmtId="0" fontId="12" fillId="2" borderId="8" xfId="0" applyFont="1" applyFill="1" applyBorder="1" applyAlignment="1">
      <alignment horizontal="center" vertical="center"/>
    </xf>
    <xf numFmtId="0" fontId="31" fillId="2" borderId="10" xfId="0" applyFont="1" applyFill="1" applyBorder="1" applyAlignment="1">
      <alignment horizontal="left" vertical="center"/>
    </xf>
    <xf numFmtId="0" fontId="31" fillId="2" borderId="97" xfId="0" applyFont="1" applyFill="1" applyBorder="1" applyAlignment="1">
      <alignment horizontal="left" vertical="center"/>
    </xf>
    <xf numFmtId="0" fontId="9" fillId="6" borderId="20" xfId="0" applyFont="1" applyFill="1" applyBorder="1" applyAlignment="1" applyProtection="1">
      <alignment horizontal="center" vertical="center"/>
      <protection locked="0"/>
    </xf>
    <xf numFmtId="0" fontId="9" fillId="6" borderId="10" xfId="0" applyFont="1" applyFill="1" applyBorder="1" applyAlignment="1" applyProtection="1">
      <alignment horizontal="center" vertical="center"/>
      <protection locked="0"/>
    </xf>
    <xf numFmtId="0" fontId="9" fillId="6" borderId="13" xfId="0" applyFont="1" applyFill="1" applyBorder="1" applyAlignment="1" applyProtection="1">
      <alignment horizontal="center" vertical="center"/>
      <protection locked="0"/>
    </xf>
    <xf numFmtId="0" fontId="38" fillId="2" borderId="19" xfId="0" applyFont="1" applyFill="1" applyBorder="1" applyAlignment="1">
      <alignment horizontal="center" vertical="center" wrapText="1"/>
    </xf>
    <xf numFmtId="0" fontId="38" fillId="2" borderId="33" xfId="0" applyFont="1" applyFill="1" applyBorder="1" applyAlignment="1">
      <alignment horizontal="center" vertical="center"/>
    </xf>
    <xf numFmtId="0" fontId="38" fillId="2" borderId="20" xfId="0" applyFont="1" applyFill="1" applyBorder="1" applyAlignment="1">
      <alignment horizontal="center" vertical="center"/>
    </xf>
    <xf numFmtId="0" fontId="38" fillId="2" borderId="10" xfId="0" applyFont="1" applyFill="1" applyBorder="1" applyAlignment="1">
      <alignment horizontal="center" vertical="center"/>
    </xf>
    <xf numFmtId="0" fontId="9" fillId="2" borderId="19" xfId="0" applyFont="1" applyFill="1" applyBorder="1" applyAlignment="1">
      <alignment horizontal="center" vertical="center" textRotation="255"/>
    </xf>
    <xf numFmtId="0" fontId="9" fillId="2" borderId="16" xfId="0" applyFont="1" applyFill="1" applyBorder="1" applyAlignment="1">
      <alignment horizontal="center" vertical="center" textRotation="255"/>
    </xf>
    <xf numFmtId="0" fontId="9" fillId="2" borderId="21" xfId="0" applyFont="1" applyFill="1" applyBorder="1" applyAlignment="1">
      <alignment horizontal="center" vertical="center" textRotation="255"/>
    </xf>
    <xf numFmtId="0" fontId="9" fillId="2" borderId="15" xfId="0" applyFont="1" applyFill="1" applyBorder="1" applyAlignment="1">
      <alignment horizontal="center" vertical="center" textRotation="255"/>
    </xf>
    <xf numFmtId="0" fontId="9" fillId="2" borderId="20" xfId="0" applyFont="1" applyFill="1" applyBorder="1" applyAlignment="1">
      <alignment horizontal="center" vertical="center" textRotation="255"/>
    </xf>
    <xf numFmtId="0" fontId="9" fillId="2" borderId="13" xfId="0" applyFont="1" applyFill="1" applyBorder="1" applyAlignment="1">
      <alignment horizontal="center" vertical="center" textRotation="255"/>
    </xf>
    <xf numFmtId="0" fontId="31" fillId="2" borderId="119" xfId="0" applyFont="1" applyFill="1" applyBorder="1" applyAlignment="1">
      <alignment horizontal="center" vertical="center"/>
    </xf>
    <xf numFmtId="0" fontId="31" fillId="2" borderId="175" xfId="0" applyFont="1" applyFill="1" applyBorder="1" applyAlignment="1">
      <alignment horizontal="center" vertical="center"/>
    </xf>
    <xf numFmtId="0" fontId="12" fillId="2" borderId="175" xfId="0" applyFont="1" applyFill="1" applyBorder="1" applyAlignment="1">
      <alignment horizontal="center" vertical="center"/>
    </xf>
    <xf numFmtId="0" fontId="12" fillId="2" borderId="138" xfId="0" applyFont="1" applyFill="1" applyBorder="1" applyAlignment="1">
      <alignment horizontal="center" vertical="center"/>
    </xf>
    <xf numFmtId="0" fontId="9" fillId="2" borderId="17" xfId="0" applyFont="1" applyFill="1" applyBorder="1" applyAlignment="1">
      <alignment horizontal="center" vertical="center" wrapText="1" shrinkToFit="1"/>
    </xf>
    <xf numFmtId="0" fontId="9" fillId="2" borderId="18" xfId="0" applyFont="1" applyFill="1" applyBorder="1" applyAlignment="1">
      <alignment horizontal="center" vertical="center" wrapText="1" shrinkToFit="1"/>
    </xf>
    <xf numFmtId="0" fontId="9" fillId="2" borderId="14" xfId="0" applyFont="1" applyFill="1" applyBorder="1" applyAlignment="1">
      <alignment horizontal="center" vertical="center" wrapText="1" shrinkToFit="1"/>
    </xf>
    <xf numFmtId="0" fontId="9" fillId="2" borderId="16" xfId="0" applyFont="1" applyFill="1" applyBorder="1" applyAlignment="1">
      <alignment horizontal="center" vertical="center" wrapText="1"/>
    </xf>
    <xf numFmtId="0" fontId="9" fillId="2" borderId="70" xfId="0" applyFont="1" applyFill="1" applyBorder="1" applyAlignment="1">
      <alignment horizontal="center" vertical="center" wrapText="1"/>
    </xf>
    <xf numFmtId="0" fontId="9" fillId="2" borderId="71" xfId="0" applyFont="1" applyFill="1" applyBorder="1" applyAlignment="1">
      <alignment horizontal="center" vertical="center" wrapText="1"/>
    </xf>
    <xf numFmtId="0" fontId="9" fillId="2" borderId="71" xfId="0" applyFont="1" applyFill="1" applyBorder="1" applyAlignment="1">
      <alignment horizontal="left" vertical="center" wrapText="1"/>
    </xf>
    <xf numFmtId="0" fontId="9" fillId="2" borderId="102" xfId="0" applyFont="1" applyFill="1" applyBorder="1" applyAlignment="1">
      <alignment horizontal="center" vertical="center" wrapText="1"/>
    </xf>
    <xf numFmtId="0" fontId="9" fillId="2" borderId="103" xfId="0" applyFont="1" applyFill="1" applyBorder="1" applyAlignment="1">
      <alignment horizontal="center" vertical="center" wrapText="1"/>
    </xf>
    <xf numFmtId="0" fontId="9" fillId="2" borderId="103" xfId="0" applyFont="1" applyFill="1" applyBorder="1" applyAlignment="1">
      <alignment horizontal="left" vertical="center" wrapText="1"/>
    </xf>
    <xf numFmtId="0" fontId="9" fillId="6" borderId="102" xfId="0" applyFont="1" applyFill="1" applyBorder="1" applyAlignment="1" applyProtection="1">
      <alignment horizontal="center" vertical="center" wrapText="1"/>
      <protection locked="0"/>
    </xf>
    <xf numFmtId="0" fontId="9" fillId="6" borderId="103" xfId="0" applyFont="1" applyFill="1" applyBorder="1" applyAlignment="1" applyProtection="1">
      <alignment horizontal="center" vertical="center" wrapText="1"/>
      <protection locked="0"/>
    </xf>
    <xf numFmtId="0" fontId="9" fillId="6" borderId="104" xfId="0" applyFont="1" applyFill="1" applyBorder="1" applyAlignment="1" applyProtection="1">
      <alignment horizontal="center" vertical="center" wrapText="1"/>
      <protection locked="0"/>
    </xf>
    <xf numFmtId="181" fontId="9" fillId="2" borderId="17" xfId="0" applyNumberFormat="1" applyFont="1" applyFill="1" applyBorder="1" applyAlignment="1">
      <alignment horizontal="center" vertical="center" shrinkToFit="1"/>
    </xf>
    <xf numFmtId="181" fontId="9" fillId="2" borderId="18" xfId="0" applyNumberFormat="1" applyFont="1" applyFill="1" applyBorder="1" applyAlignment="1">
      <alignment horizontal="center" vertical="center" shrinkToFit="1"/>
    </xf>
    <xf numFmtId="181" fontId="9" fillId="2" borderId="14" xfId="0" applyNumberFormat="1" applyFont="1" applyFill="1" applyBorder="1" applyAlignment="1">
      <alignment horizontal="center" vertical="center" shrinkToFit="1"/>
    </xf>
    <xf numFmtId="0" fontId="9" fillId="6" borderId="70" xfId="0" applyFont="1" applyFill="1" applyBorder="1" applyAlignment="1" applyProtection="1">
      <alignment horizontal="center" vertical="center" wrapText="1"/>
      <protection locked="0"/>
    </xf>
    <xf numFmtId="0" fontId="9" fillId="6" borderId="71" xfId="0" applyFont="1" applyFill="1" applyBorder="1" applyAlignment="1" applyProtection="1">
      <alignment horizontal="center" vertical="center" wrapText="1"/>
      <protection locked="0"/>
    </xf>
    <xf numFmtId="0" fontId="9" fillId="6" borderId="72" xfId="0" applyFont="1" applyFill="1" applyBorder="1" applyAlignment="1" applyProtection="1">
      <alignment horizontal="center" vertical="center" wrapText="1"/>
      <protection locked="0"/>
    </xf>
    <xf numFmtId="0" fontId="9" fillId="2" borderId="8" xfId="0" applyFont="1" applyFill="1" applyBorder="1" applyAlignment="1">
      <alignment horizontal="center" vertical="center"/>
    </xf>
    <xf numFmtId="0" fontId="9" fillId="2" borderId="73" xfId="0" applyFont="1" applyFill="1" applyBorder="1" applyAlignment="1">
      <alignment horizontal="center" vertical="center"/>
    </xf>
    <xf numFmtId="0" fontId="9" fillId="6" borderId="17" xfId="0" applyFont="1" applyFill="1" applyBorder="1" applyAlignment="1" applyProtection="1">
      <alignment horizontal="center" vertical="center" shrinkToFit="1"/>
      <protection locked="0"/>
    </xf>
    <xf numFmtId="0" fontId="9" fillId="6" borderId="18" xfId="0" applyFont="1" applyFill="1" applyBorder="1" applyAlignment="1" applyProtection="1">
      <alignment horizontal="center" vertical="center" shrinkToFit="1"/>
      <protection locked="0"/>
    </xf>
    <xf numFmtId="0" fontId="9" fillId="6" borderId="18" xfId="0" applyFont="1" applyFill="1" applyBorder="1" applyAlignment="1" applyProtection="1">
      <alignment horizontal="center" vertical="center"/>
      <protection locked="0"/>
    </xf>
    <xf numFmtId="0" fontId="11" fillId="2" borderId="17" xfId="0" applyFont="1" applyFill="1" applyBorder="1" applyAlignment="1">
      <alignment horizontal="center" vertical="center" wrapText="1" shrinkToFit="1"/>
    </xf>
    <xf numFmtId="0" fontId="11" fillId="2" borderId="18" xfId="0" applyFont="1" applyFill="1" applyBorder="1" applyAlignment="1">
      <alignment horizontal="center" vertical="center" wrapText="1" shrinkToFit="1"/>
    </xf>
    <xf numFmtId="0" fontId="11" fillId="2" borderId="14" xfId="0" applyFont="1" applyFill="1" applyBorder="1" applyAlignment="1">
      <alignment horizontal="center" vertical="center" wrapText="1" shrinkToFit="1"/>
    </xf>
    <xf numFmtId="0" fontId="11" fillId="2" borderId="4" xfId="0" applyFont="1" applyFill="1" applyBorder="1" applyAlignment="1">
      <alignment horizontal="center" vertical="center"/>
    </xf>
    <xf numFmtId="0" fontId="9" fillId="2" borderId="95"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181" fontId="9" fillId="2" borderId="84" xfId="0" applyNumberFormat="1" applyFont="1" applyFill="1" applyBorder="1" applyAlignment="1">
      <alignment horizontal="center" vertical="center" shrinkToFit="1"/>
    </xf>
    <xf numFmtId="181" fontId="9" fillId="2" borderId="85" xfId="0" applyNumberFormat="1" applyFont="1" applyFill="1" applyBorder="1" applyAlignment="1">
      <alignment horizontal="center" vertical="center" shrinkToFit="1"/>
    </xf>
    <xf numFmtId="181" fontId="9" fillId="2" borderId="86" xfId="0" applyNumberFormat="1" applyFont="1" applyFill="1" applyBorder="1" applyAlignment="1">
      <alignment horizontal="center" vertical="center" shrinkToFit="1"/>
    </xf>
    <xf numFmtId="0" fontId="9" fillId="2" borderId="4" xfId="0" applyFont="1" applyFill="1" applyBorder="1" applyAlignment="1">
      <alignment horizontal="center" vertical="center" wrapText="1"/>
    </xf>
    <xf numFmtId="181" fontId="9" fillId="2" borderId="4" xfId="0" applyNumberFormat="1" applyFont="1" applyFill="1" applyBorder="1" applyAlignment="1">
      <alignment horizontal="center" vertical="center" shrinkToFit="1"/>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4" xfId="0" applyFont="1" applyBorder="1" applyAlignment="1">
      <alignment horizontal="center" vertical="center"/>
    </xf>
    <xf numFmtId="0" fontId="9" fillId="2" borderId="18" xfId="0" applyFont="1" applyFill="1" applyBorder="1" applyAlignment="1">
      <alignment horizontal="left" vertical="center"/>
    </xf>
    <xf numFmtId="0" fontId="13" fillId="2" borderId="37" xfId="0" applyFont="1" applyFill="1" applyBorder="1" applyAlignment="1">
      <alignment horizontal="center" vertical="center"/>
    </xf>
    <xf numFmtId="0" fontId="13" fillId="2" borderId="0" xfId="0" applyFont="1" applyFill="1" applyAlignment="1">
      <alignment horizontal="center" vertical="center"/>
    </xf>
    <xf numFmtId="179" fontId="9" fillId="2" borderId="0" xfId="0" applyNumberFormat="1" applyFont="1" applyFill="1" applyAlignment="1">
      <alignment horizontal="distributed" vertical="center"/>
    </xf>
    <xf numFmtId="0" fontId="13" fillId="2" borderId="37" xfId="0" applyFont="1" applyFill="1" applyBorder="1" applyAlignment="1">
      <alignment horizontal="left" vertical="center"/>
    </xf>
    <xf numFmtId="0" fontId="13" fillId="2" borderId="0" xfId="0" applyFont="1" applyFill="1" applyAlignment="1">
      <alignment horizontal="left" vertical="center"/>
    </xf>
    <xf numFmtId="0" fontId="13" fillId="2" borderId="35" xfId="0" applyFont="1" applyFill="1" applyBorder="1" applyAlignment="1">
      <alignment horizontal="left" vertical="center"/>
    </xf>
    <xf numFmtId="0" fontId="9" fillId="2" borderId="73" xfId="0" applyFont="1" applyFill="1" applyBorder="1" applyAlignment="1">
      <alignment horizontal="center" vertical="center" shrinkToFit="1"/>
    </xf>
    <xf numFmtId="0" fontId="9" fillId="2" borderId="19" xfId="0" applyFont="1" applyFill="1" applyBorder="1" applyAlignment="1">
      <alignment horizontal="center" vertical="center" shrinkToFit="1"/>
    </xf>
    <xf numFmtId="0" fontId="9" fillId="2" borderId="33" xfId="0" applyFont="1" applyFill="1" applyBorder="1" applyAlignment="1">
      <alignment horizontal="center" vertical="center" shrinkToFit="1"/>
    </xf>
    <xf numFmtId="0" fontId="9" fillId="7" borderId="42" xfId="0" applyFont="1" applyFill="1" applyBorder="1" applyAlignment="1">
      <alignment horizontal="center" vertical="center" shrinkToFit="1"/>
    </xf>
    <xf numFmtId="0" fontId="9" fillId="7" borderId="43" xfId="0" applyFont="1" applyFill="1" applyBorder="1" applyAlignment="1">
      <alignment horizontal="center" vertical="center" shrinkToFit="1"/>
    </xf>
    <xf numFmtId="0" fontId="9" fillId="2" borderId="85" xfId="0" applyFont="1" applyFill="1" applyBorder="1" applyAlignment="1">
      <alignment horizontal="center" vertical="center"/>
    </xf>
    <xf numFmtId="0" fontId="9" fillId="2" borderId="94" xfId="0" applyFont="1" applyFill="1" applyBorder="1" applyAlignment="1">
      <alignment horizontal="center" vertical="center"/>
    </xf>
    <xf numFmtId="0" fontId="9" fillId="2" borderId="84" xfId="0" applyFont="1" applyFill="1" applyBorder="1" applyAlignment="1">
      <alignment horizontal="center" vertical="center"/>
    </xf>
    <xf numFmtId="0" fontId="9" fillId="2" borderId="86" xfId="0" applyFont="1" applyFill="1" applyBorder="1" applyAlignment="1">
      <alignment horizontal="center" vertical="center"/>
    </xf>
    <xf numFmtId="0" fontId="9" fillId="2" borderId="84" xfId="0" applyFont="1" applyFill="1" applyBorder="1" applyAlignment="1">
      <alignment horizontal="center" vertical="center" shrinkToFit="1"/>
    </xf>
    <xf numFmtId="0" fontId="9" fillId="2" borderId="85" xfId="0" applyFont="1" applyFill="1" applyBorder="1" applyAlignment="1">
      <alignment horizontal="center" vertical="center" shrinkToFit="1"/>
    </xf>
    <xf numFmtId="0" fontId="9" fillId="2" borderId="86" xfId="0" applyFont="1" applyFill="1" applyBorder="1" applyAlignment="1">
      <alignment horizontal="center" vertical="center" shrinkToFit="1"/>
    </xf>
    <xf numFmtId="181" fontId="9" fillId="2" borderId="19" xfId="0" applyNumberFormat="1" applyFont="1" applyFill="1" applyBorder="1" applyAlignment="1">
      <alignment horizontal="left" vertical="center" wrapText="1" shrinkToFit="1"/>
    </xf>
    <xf numFmtId="181" fontId="9" fillId="2" borderId="33" xfId="0" applyNumberFormat="1" applyFont="1" applyFill="1" applyBorder="1" applyAlignment="1">
      <alignment horizontal="left" vertical="center" wrapText="1" shrinkToFit="1"/>
    </xf>
    <xf numFmtId="181" fontId="9" fillId="2" borderId="16" xfId="0" applyNumberFormat="1" applyFont="1" applyFill="1" applyBorder="1" applyAlignment="1">
      <alignment horizontal="left" vertical="center" wrapText="1" shrinkToFit="1"/>
    </xf>
    <xf numFmtId="181" fontId="9" fillId="2" borderId="20" xfId="0" applyNumberFormat="1" applyFont="1" applyFill="1" applyBorder="1" applyAlignment="1">
      <alignment horizontal="left" vertical="center" wrapText="1" shrinkToFit="1"/>
    </xf>
    <xf numFmtId="181" fontId="9" fillId="2" borderId="10" xfId="0" applyNumberFormat="1" applyFont="1" applyFill="1" applyBorder="1" applyAlignment="1">
      <alignment horizontal="left" vertical="center" wrapText="1" shrinkToFit="1"/>
    </xf>
    <xf numFmtId="181" fontId="9" fillId="2" borderId="13" xfId="0" applyNumberFormat="1" applyFont="1" applyFill="1" applyBorder="1" applyAlignment="1">
      <alignment horizontal="left" vertical="center" wrapText="1" shrinkToFit="1"/>
    </xf>
    <xf numFmtId="0" fontId="9" fillId="6" borderId="17" xfId="0" applyFont="1" applyFill="1" applyBorder="1" applyAlignment="1" applyProtection="1">
      <alignment horizontal="center" vertical="center"/>
      <protection locked="0"/>
    </xf>
    <xf numFmtId="0" fontId="9" fillId="6" borderId="14" xfId="0" applyFont="1" applyFill="1" applyBorder="1" applyAlignment="1" applyProtection="1">
      <alignment horizontal="center" vertical="center"/>
      <protection locked="0"/>
    </xf>
    <xf numFmtId="0" fontId="9" fillId="2" borderId="37" xfId="0" applyFont="1" applyFill="1" applyBorder="1" applyAlignment="1">
      <alignment horizontal="left" vertical="center" wrapText="1"/>
    </xf>
    <xf numFmtId="0" fontId="9" fillId="2" borderId="38" xfId="0" applyFont="1" applyFill="1" applyBorder="1" applyAlignment="1">
      <alignment horizontal="left" vertical="center" wrapText="1"/>
    </xf>
    <xf numFmtId="0" fontId="9" fillId="2" borderId="39" xfId="0" applyFont="1" applyFill="1" applyBorder="1" applyAlignment="1">
      <alignment horizontal="left" vertical="center" wrapText="1"/>
    </xf>
    <xf numFmtId="0" fontId="9" fillId="2" borderId="62" xfId="0" applyFont="1" applyFill="1" applyBorder="1" applyAlignment="1">
      <alignment horizontal="left" vertical="center" wrapText="1"/>
    </xf>
    <xf numFmtId="0" fontId="9" fillId="2" borderId="63" xfId="0" applyFont="1" applyFill="1" applyBorder="1" applyAlignment="1">
      <alignment horizontal="left" vertical="center" wrapText="1"/>
    </xf>
    <xf numFmtId="0" fontId="9" fillId="2" borderId="128" xfId="0" applyFont="1" applyFill="1" applyBorder="1" applyAlignment="1">
      <alignment horizontal="center" vertical="center" wrapText="1"/>
    </xf>
    <xf numFmtId="0" fontId="9" fillId="2" borderId="129" xfId="0" applyFont="1" applyFill="1" applyBorder="1" applyAlignment="1">
      <alignment horizontal="center" vertical="center" wrapText="1"/>
    </xf>
    <xf numFmtId="0" fontId="9" fillId="2" borderId="88" xfId="0" applyFont="1" applyFill="1" applyBorder="1" applyAlignment="1">
      <alignment horizontal="center" vertical="center" wrapText="1"/>
    </xf>
    <xf numFmtId="0" fontId="9" fillId="2" borderId="89" xfId="0" applyFont="1" applyFill="1" applyBorder="1" applyAlignment="1">
      <alignment horizontal="center" vertical="center" wrapText="1"/>
    </xf>
    <xf numFmtId="0" fontId="9" fillId="2" borderId="91" xfId="0" applyFont="1" applyFill="1" applyBorder="1" applyAlignment="1">
      <alignment horizontal="center" vertical="center" wrapText="1"/>
    </xf>
    <xf numFmtId="0" fontId="9" fillId="2" borderId="92" xfId="0" applyFont="1" applyFill="1" applyBorder="1" applyAlignment="1">
      <alignment horizontal="center" vertical="center" wrapText="1"/>
    </xf>
    <xf numFmtId="0" fontId="9" fillId="2" borderId="87" xfId="0" applyFont="1" applyFill="1" applyBorder="1" applyAlignment="1">
      <alignment horizontal="center" vertical="center" wrapText="1"/>
    </xf>
    <xf numFmtId="0" fontId="9" fillId="2" borderId="100" xfId="0" applyFont="1" applyFill="1" applyBorder="1" applyAlignment="1">
      <alignment horizontal="left" vertical="center" wrapText="1"/>
    </xf>
    <xf numFmtId="0" fontId="9" fillId="2" borderId="2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3" fillId="2" borderId="41" xfId="0" applyFont="1" applyFill="1" applyBorder="1" applyAlignment="1">
      <alignment horizontal="center" vertical="center" shrinkToFit="1"/>
    </xf>
    <xf numFmtId="0" fontId="13" fillId="2" borderId="42" xfId="0" applyFont="1" applyFill="1" applyBorder="1" applyAlignment="1">
      <alignment horizontal="center" vertical="center" shrinkToFit="1"/>
    </xf>
    <xf numFmtId="0" fontId="13" fillId="2" borderId="43" xfId="0" applyFont="1" applyFill="1" applyBorder="1" applyAlignment="1">
      <alignment horizontal="center" vertical="center" shrinkToFit="1"/>
    </xf>
    <xf numFmtId="0" fontId="9" fillId="2" borderId="18"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9" fillId="6" borderId="99" xfId="0" applyFont="1" applyFill="1" applyBorder="1" applyAlignment="1" applyProtection="1">
      <alignment horizontal="center" vertical="center"/>
      <protection locked="0"/>
    </xf>
    <xf numFmtId="0" fontId="9" fillId="6" borderId="100" xfId="0" applyFont="1" applyFill="1" applyBorder="1" applyAlignment="1" applyProtection="1">
      <alignment horizontal="center" vertical="center"/>
      <protection locked="0"/>
    </xf>
    <xf numFmtId="0" fontId="9" fillId="6" borderId="101" xfId="0" applyFont="1" applyFill="1" applyBorder="1" applyAlignment="1" applyProtection="1">
      <alignment horizontal="center" vertical="center"/>
      <protection locked="0"/>
    </xf>
    <xf numFmtId="0" fontId="9" fillId="2" borderId="72"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9" fillId="2" borderId="99" xfId="0" applyFont="1" applyFill="1" applyBorder="1" applyAlignment="1">
      <alignment horizontal="center" vertical="center" wrapText="1"/>
    </xf>
    <xf numFmtId="0" fontId="9" fillId="2" borderId="100" xfId="0" applyFont="1" applyFill="1" applyBorder="1" applyAlignment="1">
      <alignment horizontal="center" vertical="center" wrapText="1"/>
    </xf>
    <xf numFmtId="0" fontId="9" fillId="6" borderId="99" xfId="0" applyFont="1" applyFill="1" applyBorder="1" applyAlignment="1" applyProtection="1">
      <alignment horizontal="center" vertical="center" wrapText="1"/>
      <protection locked="0"/>
    </xf>
    <xf numFmtId="0" fontId="9" fillId="6" borderId="100" xfId="0" applyFont="1" applyFill="1" applyBorder="1" applyAlignment="1" applyProtection="1">
      <alignment horizontal="center" vertical="center" wrapText="1"/>
      <protection locked="0"/>
    </xf>
    <xf numFmtId="0" fontId="9" fillId="6" borderId="101" xfId="0" applyFont="1" applyFill="1" applyBorder="1" applyAlignment="1" applyProtection="1">
      <alignment horizontal="center" vertical="center" wrapText="1"/>
      <protection locked="0"/>
    </xf>
    <xf numFmtId="0" fontId="9" fillId="5" borderId="122" xfId="0" applyFont="1" applyFill="1" applyBorder="1" applyAlignment="1" applyProtection="1">
      <alignment horizontal="center" vertical="center"/>
      <protection locked="0"/>
    </xf>
    <xf numFmtId="0" fontId="9" fillId="5" borderId="447" xfId="0" applyFont="1" applyFill="1" applyBorder="1" applyAlignment="1" applyProtection="1">
      <alignment horizontal="center" vertical="center"/>
      <protection locked="0"/>
    </xf>
    <xf numFmtId="38" fontId="9" fillId="2" borderId="112" xfId="4" applyFont="1" applyFill="1" applyBorder="1" applyAlignment="1" applyProtection="1">
      <alignment horizontal="center" vertical="center" shrinkToFit="1"/>
    </xf>
    <xf numFmtId="0" fontId="9" fillId="6" borderId="102" xfId="0" applyFont="1" applyFill="1" applyBorder="1" applyAlignment="1" applyProtection="1">
      <alignment horizontal="center" vertical="center"/>
      <protection locked="0"/>
    </xf>
    <xf numFmtId="0" fontId="9" fillId="6" borderId="103" xfId="0" applyFont="1" applyFill="1" applyBorder="1" applyAlignment="1" applyProtection="1">
      <alignment horizontal="center" vertical="center"/>
      <protection locked="0"/>
    </xf>
    <xf numFmtId="0" fontId="9" fillId="6" borderId="104" xfId="0" applyFont="1" applyFill="1" applyBorder="1" applyAlignment="1" applyProtection="1">
      <alignment horizontal="center" vertical="center"/>
      <protection locked="0"/>
    </xf>
    <xf numFmtId="0" fontId="9" fillId="6" borderId="70" xfId="0" applyFont="1" applyFill="1" applyBorder="1" applyAlignment="1" applyProtection="1">
      <alignment horizontal="center" vertical="center"/>
      <protection locked="0"/>
    </xf>
    <xf numFmtId="0" fontId="9" fillId="6" borderId="71" xfId="0" applyFont="1" applyFill="1" applyBorder="1" applyAlignment="1" applyProtection="1">
      <alignment horizontal="center" vertical="center"/>
      <protection locked="0"/>
    </xf>
    <xf numFmtId="0" fontId="9" fillId="6" borderId="72" xfId="0" applyFont="1" applyFill="1" applyBorder="1" applyAlignment="1" applyProtection="1">
      <alignment horizontal="center" vertical="center"/>
      <protection locked="0"/>
    </xf>
    <xf numFmtId="0" fontId="9" fillId="2" borderId="91" xfId="0" applyFont="1" applyFill="1" applyBorder="1" applyAlignment="1">
      <alignment horizontal="center" vertical="center"/>
    </xf>
    <xf numFmtId="0" fontId="9" fillId="2" borderId="33" xfId="0" applyFont="1" applyFill="1" applyBorder="1" applyAlignment="1">
      <alignment horizontal="left" vertical="center"/>
    </xf>
    <xf numFmtId="0" fontId="9" fillId="2" borderId="19" xfId="0" applyFont="1" applyFill="1" applyBorder="1" applyAlignment="1">
      <alignment horizontal="center" vertical="center" wrapText="1" shrinkToFit="1"/>
    </xf>
    <xf numFmtId="0" fontId="9" fillId="2" borderId="33" xfId="0" applyFont="1" applyFill="1" applyBorder="1" applyAlignment="1">
      <alignment horizontal="center" vertical="center" wrapText="1" shrinkToFit="1"/>
    </xf>
    <xf numFmtId="0" fontId="9" fillId="2" borderId="16" xfId="0" applyFont="1" applyFill="1" applyBorder="1" applyAlignment="1">
      <alignment horizontal="center" vertical="center" wrapText="1" shrinkToFit="1"/>
    </xf>
    <xf numFmtId="0" fontId="9" fillId="2" borderId="20" xfId="0" applyFont="1" applyFill="1" applyBorder="1" applyAlignment="1">
      <alignment horizontal="center" vertical="center" wrapText="1" shrinkToFit="1"/>
    </xf>
    <xf numFmtId="0" fontId="9" fillId="2" borderId="10"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2" borderId="102" xfId="0" applyFont="1" applyFill="1" applyBorder="1" applyAlignment="1">
      <alignment horizontal="center" vertical="center"/>
    </xf>
    <xf numFmtId="0" fontId="9" fillId="2" borderId="103" xfId="0" applyFont="1" applyFill="1" applyBorder="1" applyAlignment="1">
      <alignment horizontal="center" vertical="center"/>
    </xf>
    <xf numFmtId="0" fontId="9" fillId="2" borderId="104" xfId="0" applyFont="1" applyFill="1" applyBorder="1" applyAlignment="1">
      <alignment horizontal="center" vertical="center"/>
    </xf>
    <xf numFmtId="0" fontId="9" fillId="2" borderId="15" xfId="0" applyFont="1" applyFill="1" applyBorder="1" applyAlignment="1">
      <alignment horizontal="left" vertical="center" wrapText="1"/>
    </xf>
    <xf numFmtId="0" fontId="9" fillId="6" borderId="21" xfId="0" applyFont="1" applyFill="1" applyBorder="1" applyAlignment="1" applyProtection="1">
      <alignment horizontal="center" vertical="center"/>
      <protection locked="0"/>
    </xf>
    <xf numFmtId="0" fontId="9" fillId="6" borderId="0" xfId="0" applyFont="1" applyFill="1" applyAlignment="1" applyProtection="1">
      <alignment horizontal="center" vertical="center"/>
      <protection locked="0"/>
    </xf>
    <xf numFmtId="0" fontId="9" fillId="6" borderId="15" xfId="0" applyFont="1" applyFill="1" applyBorder="1" applyAlignment="1" applyProtection="1">
      <alignment horizontal="center" vertical="center"/>
      <protection locked="0"/>
    </xf>
    <xf numFmtId="0" fontId="9" fillId="2" borderId="101" xfId="0" applyFont="1" applyFill="1" applyBorder="1" applyAlignment="1">
      <alignment horizontal="left" vertical="center" wrapText="1"/>
    </xf>
    <xf numFmtId="0" fontId="39" fillId="2" borderId="134" xfId="0" applyFont="1" applyFill="1" applyBorder="1" applyAlignment="1">
      <alignment horizontal="center" vertical="center" wrapText="1" shrinkToFit="1"/>
    </xf>
    <xf numFmtId="0" fontId="9" fillId="2" borderId="0" xfId="0" applyFont="1" applyFill="1" applyAlignment="1">
      <alignment horizontal="left" vertical="center"/>
    </xf>
    <xf numFmtId="0" fontId="9" fillId="4" borderId="411" xfId="0" applyFont="1" applyFill="1" applyBorder="1" applyAlignment="1" applyProtection="1">
      <alignment horizontal="center" vertical="center"/>
      <protection locked="0"/>
    </xf>
    <xf numFmtId="0" fontId="9" fillId="4" borderId="412" xfId="0" applyFont="1" applyFill="1" applyBorder="1" applyAlignment="1" applyProtection="1">
      <alignment horizontal="center" vertical="center"/>
      <protection locked="0"/>
    </xf>
    <xf numFmtId="0" fontId="9" fillId="2" borderId="21" xfId="0" applyFont="1" applyFill="1" applyBorder="1" applyAlignment="1">
      <alignment horizontal="left" vertical="center" wrapText="1"/>
    </xf>
    <xf numFmtId="0" fontId="31" fillId="2" borderId="0" xfId="0" applyFont="1" applyFill="1" applyAlignment="1">
      <alignment horizontal="left" vertical="center" wrapText="1"/>
    </xf>
    <xf numFmtId="0" fontId="9" fillId="2" borderId="91" xfId="0" applyFont="1" applyFill="1" applyBorder="1" applyAlignment="1">
      <alignment horizontal="center" vertical="center" shrinkToFit="1"/>
    </xf>
    <xf numFmtId="0" fontId="9" fillId="6" borderId="91" xfId="0" applyFont="1" applyFill="1" applyBorder="1" applyAlignment="1" applyProtection="1">
      <alignment horizontal="center" vertical="center" shrinkToFit="1"/>
      <protection locked="0"/>
    </xf>
    <xf numFmtId="0" fontId="13" fillId="2" borderId="41" xfId="0" applyFont="1" applyFill="1" applyBorder="1" applyAlignment="1">
      <alignment horizontal="center" vertical="center"/>
    </xf>
    <xf numFmtId="0" fontId="13" fillId="2" borderId="42" xfId="0" applyFont="1" applyFill="1" applyBorder="1" applyAlignment="1">
      <alignment horizontal="center" vertical="center"/>
    </xf>
    <xf numFmtId="0" fontId="13" fillId="2" borderId="43" xfId="0" applyFont="1" applyFill="1" applyBorder="1" applyAlignment="1">
      <alignment horizontal="center" vertical="center"/>
    </xf>
    <xf numFmtId="0" fontId="9" fillId="4" borderId="91" xfId="0" applyFont="1" applyFill="1" applyBorder="1" applyAlignment="1" applyProtection="1">
      <alignment horizontal="center" vertical="center" shrinkToFit="1"/>
      <protection locked="0"/>
    </xf>
    <xf numFmtId="0" fontId="9" fillId="2" borderId="99" xfId="0" applyFont="1" applyFill="1" applyBorder="1" applyAlignment="1">
      <alignment horizontal="center" vertical="center"/>
    </xf>
    <xf numFmtId="0" fontId="9" fillId="2" borderId="100" xfId="0" applyFont="1" applyFill="1" applyBorder="1" applyAlignment="1">
      <alignment horizontal="center" vertical="center"/>
    </xf>
    <xf numFmtId="0" fontId="9" fillId="2" borderId="101" xfId="0" applyFont="1" applyFill="1" applyBorder="1" applyAlignment="1">
      <alignment horizontal="center" vertical="center"/>
    </xf>
    <xf numFmtId="0" fontId="9" fillId="6" borderId="87" xfId="0" applyFont="1" applyFill="1" applyBorder="1" applyAlignment="1" applyProtection="1">
      <alignment horizontal="center" vertical="center"/>
      <protection locked="0"/>
    </xf>
    <xf numFmtId="0" fontId="9" fillId="6" borderId="88" xfId="0" applyFont="1" applyFill="1" applyBorder="1" applyAlignment="1" applyProtection="1">
      <alignment horizontal="center" vertical="center"/>
      <protection locked="0"/>
    </xf>
    <xf numFmtId="0" fontId="9" fillId="6" borderId="89" xfId="0" applyFont="1" applyFill="1" applyBorder="1" applyAlignment="1" applyProtection="1">
      <alignment horizontal="center" vertical="center"/>
      <protection locked="0"/>
    </xf>
    <xf numFmtId="0" fontId="9" fillId="6" borderId="90" xfId="0" applyFont="1" applyFill="1" applyBorder="1" applyAlignment="1" applyProtection="1">
      <alignment horizontal="center" vertical="center"/>
      <protection locked="0"/>
    </xf>
    <xf numFmtId="0" fontId="9" fillId="6" borderId="91" xfId="0" applyFont="1" applyFill="1" applyBorder="1" applyAlignment="1" applyProtection="1">
      <alignment horizontal="center" vertical="center"/>
      <protection locked="0"/>
    </xf>
    <xf numFmtId="0" fontId="9" fillId="6" borderId="92" xfId="0" applyFont="1" applyFill="1" applyBorder="1" applyAlignment="1" applyProtection="1">
      <alignment horizontal="center" vertical="center"/>
      <protection locked="0"/>
    </xf>
    <xf numFmtId="0" fontId="23" fillId="2" borderId="0" xfId="0" applyFont="1" applyFill="1" applyAlignment="1">
      <alignment horizontal="left" vertical="center" wrapText="1"/>
    </xf>
    <xf numFmtId="0" fontId="39" fillId="2" borderId="112" xfId="0" applyFont="1" applyFill="1" applyBorder="1" applyAlignment="1">
      <alignment horizontal="center" vertical="center" wrapText="1" shrinkToFit="1"/>
    </xf>
    <xf numFmtId="0" fontId="9" fillId="2" borderId="14" xfId="0" applyFont="1" applyFill="1" applyBorder="1" applyAlignment="1">
      <alignment horizontal="left" vertical="center"/>
    </xf>
    <xf numFmtId="0" fontId="9" fillId="2" borderId="6" xfId="0" applyFont="1" applyFill="1" applyBorder="1" applyAlignment="1">
      <alignment horizontal="center" vertical="center"/>
    </xf>
    <xf numFmtId="0" fontId="31" fillId="2" borderId="0" xfId="0" applyFont="1" applyFill="1" applyAlignment="1">
      <alignment horizontal="left" vertical="center" shrinkToFit="1"/>
    </xf>
    <xf numFmtId="0" fontId="9" fillId="2" borderId="19"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0" xfId="0" applyFont="1" applyFill="1">
      <alignment vertical="center"/>
    </xf>
    <xf numFmtId="0" fontId="9" fillId="4" borderId="92" xfId="0" applyFont="1" applyFill="1" applyBorder="1" applyAlignment="1" applyProtection="1">
      <alignment horizontal="center" vertical="center" shrinkToFit="1"/>
      <protection locked="0"/>
    </xf>
    <xf numFmtId="0" fontId="9" fillId="4" borderId="88" xfId="0" applyFont="1" applyFill="1" applyBorder="1" applyAlignment="1" applyProtection="1">
      <alignment horizontal="center" vertical="center" shrinkToFit="1"/>
      <protection locked="0"/>
    </xf>
    <xf numFmtId="0" fontId="9" fillId="4" borderId="89" xfId="0" applyFont="1" applyFill="1" applyBorder="1" applyAlignment="1" applyProtection="1">
      <alignment horizontal="center" vertical="center" shrinkToFit="1"/>
      <protection locked="0"/>
    </xf>
    <xf numFmtId="0" fontId="39" fillId="2" borderId="113" xfId="0" applyFont="1" applyFill="1" applyBorder="1" applyAlignment="1">
      <alignment horizontal="center" vertical="center" wrapText="1" shrinkToFit="1"/>
    </xf>
    <xf numFmtId="0" fontId="9" fillId="5" borderId="104" xfId="0" applyFont="1" applyFill="1" applyBorder="1" applyAlignment="1" applyProtection="1">
      <alignment horizontal="center" vertical="center"/>
      <protection locked="0"/>
    </xf>
    <xf numFmtId="38" fontId="9" fillId="2" borderId="111" xfId="4" applyFont="1" applyFill="1" applyBorder="1" applyAlignment="1" applyProtection="1">
      <alignment horizontal="center" vertical="center" shrinkToFit="1"/>
    </xf>
    <xf numFmtId="0" fontId="9" fillId="4" borderId="417" xfId="0" applyFont="1" applyFill="1" applyBorder="1" applyAlignment="1" applyProtection="1">
      <alignment horizontal="left" vertical="center" wrapText="1"/>
      <protection locked="0"/>
    </xf>
    <xf numFmtId="0" fontId="9" fillId="4" borderId="418" xfId="0" applyFont="1" applyFill="1" applyBorder="1" applyAlignment="1" applyProtection="1">
      <alignment horizontal="left" vertical="center" wrapText="1"/>
      <protection locked="0"/>
    </xf>
    <xf numFmtId="0" fontId="9" fillId="4" borderId="419" xfId="0" applyFont="1" applyFill="1" applyBorder="1" applyAlignment="1" applyProtection="1">
      <alignment horizontal="left" vertical="center" wrapText="1"/>
      <protection locked="0"/>
    </xf>
    <xf numFmtId="0" fontId="9" fillId="2" borderId="446" xfId="0" applyFont="1" applyFill="1" applyBorder="1" applyAlignment="1">
      <alignment horizontal="center" vertical="center" shrinkToFit="1"/>
    </xf>
    <xf numFmtId="0" fontId="9" fillId="2" borderId="109" xfId="0" applyFont="1" applyFill="1" applyBorder="1" applyAlignment="1">
      <alignment horizontal="left" vertical="center" wrapText="1"/>
    </xf>
    <xf numFmtId="0" fontId="9" fillId="2" borderId="110" xfId="0" applyFont="1" applyFill="1" applyBorder="1" applyAlignment="1">
      <alignment horizontal="left" vertical="center" wrapText="1"/>
    </xf>
    <xf numFmtId="0" fontId="34" fillId="2" borderId="99" xfId="0" applyFont="1" applyFill="1" applyBorder="1" applyAlignment="1">
      <alignment horizontal="left" vertical="center" wrapText="1"/>
    </xf>
    <xf numFmtId="0" fontId="34" fillId="2" borderId="100" xfId="0" applyFont="1" applyFill="1" applyBorder="1" applyAlignment="1">
      <alignment horizontal="left" vertical="center" wrapText="1"/>
    </xf>
    <xf numFmtId="0" fontId="34" fillId="2" borderId="21" xfId="0" applyFont="1" applyFill="1" applyBorder="1" applyAlignment="1">
      <alignment horizontal="left" vertical="center" wrapText="1"/>
    </xf>
    <xf numFmtId="0" fontId="34" fillId="2" borderId="0" xfId="0" applyFont="1" applyFill="1" applyAlignment="1">
      <alignment horizontal="left" vertical="center" wrapText="1"/>
    </xf>
    <xf numFmtId="0" fontId="34" fillId="2" borderId="20" xfId="0" applyFont="1" applyFill="1" applyBorder="1" applyAlignment="1">
      <alignment horizontal="left" vertical="center" wrapText="1"/>
    </xf>
    <xf numFmtId="0" fontId="34" fillId="2" borderId="10" xfId="0" applyFont="1" applyFill="1" applyBorder="1" applyAlignment="1">
      <alignment horizontal="left" vertical="center" wrapText="1"/>
    </xf>
    <xf numFmtId="0" fontId="9" fillId="2" borderId="122" xfId="0" applyFont="1" applyFill="1" applyBorder="1" applyAlignment="1">
      <alignment horizontal="left" vertical="center" wrapText="1"/>
    </xf>
    <xf numFmtId="0" fontId="9" fillId="2" borderId="104" xfId="0" applyFont="1" applyFill="1" applyBorder="1" applyAlignment="1">
      <alignment horizontal="left" vertical="center" wrapText="1"/>
    </xf>
    <xf numFmtId="0" fontId="9" fillId="2" borderId="20" xfId="0" applyFont="1" applyFill="1" applyBorder="1" applyAlignment="1">
      <alignment horizontal="left" vertical="center" wrapText="1"/>
    </xf>
    <xf numFmtId="0" fontId="9" fillId="0" borderId="41" xfId="0" applyFont="1" applyBorder="1" applyAlignment="1">
      <alignment horizontal="center" vertical="center"/>
    </xf>
    <xf numFmtId="0" fontId="9" fillId="0" borderId="43" xfId="0" applyFont="1" applyBorder="1" applyAlignment="1">
      <alignment horizontal="center" vertical="center"/>
    </xf>
    <xf numFmtId="0" fontId="11" fillId="2" borderId="18"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4" xfId="0" applyFont="1" applyFill="1" applyBorder="1" applyAlignment="1">
      <alignment horizontal="center" vertical="center"/>
    </xf>
    <xf numFmtId="0" fontId="23" fillId="2" borderId="18" xfId="0" applyFont="1" applyFill="1" applyBorder="1" applyAlignment="1">
      <alignment horizontal="left" vertical="center" shrinkToFit="1"/>
    </xf>
    <xf numFmtId="0" fontId="23" fillId="2" borderId="14" xfId="0" applyFont="1" applyFill="1" applyBorder="1" applyAlignment="1">
      <alignment horizontal="left" vertical="center" shrinkToFit="1"/>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4" xfId="0" applyFont="1" applyFill="1" applyBorder="1" applyAlignment="1">
      <alignment horizontal="center" vertical="center" wrapText="1"/>
    </xf>
    <xf numFmtId="181" fontId="34" fillId="2" borderId="21" xfId="0" applyNumberFormat="1" applyFont="1" applyFill="1" applyBorder="1" applyAlignment="1">
      <alignment horizontal="left" vertical="center" wrapText="1" shrinkToFit="1"/>
    </xf>
    <xf numFmtId="181" fontId="34" fillId="2" borderId="0" xfId="0" applyNumberFormat="1" applyFont="1" applyFill="1" applyAlignment="1">
      <alignment horizontal="left" vertical="center" wrapText="1" shrinkToFit="1"/>
    </xf>
    <xf numFmtId="181" fontId="34" fillId="2" borderId="15" xfId="0" applyNumberFormat="1" applyFont="1" applyFill="1" applyBorder="1" applyAlignment="1">
      <alignment horizontal="left" vertical="center" wrapText="1" shrinkToFit="1"/>
    </xf>
    <xf numFmtId="181" fontId="34" fillId="2" borderId="20" xfId="0" applyNumberFormat="1" applyFont="1" applyFill="1" applyBorder="1" applyAlignment="1">
      <alignment horizontal="left" vertical="center" wrapText="1" shrinkToFit="1"/>
    </xf>
    <xf numFmtId="181" fontId="34" fillId="2" borderId="10" xfId="0" applyNumberFormat="1" applyFont="1" applyFill="1" applyBorder="1" applyAlignment="1">
      <alignment horizontal="left" vertical="center" wrapText="1" shrinkToFit="1"/>
    </xf>
    <xf numFmtId="181" fontId="34" fillId="2" borderId="13" xfId="0" applyNumberFormat="1" applyFont="1" applyFill="1" applyBorder="1" applyAlignment="1">
      <alignment horizontal="left" vertical="center" wrapText="1" shrinkToFit="1"/>
    </xf>
    <xf numFmtId="0" fontId="9" fillId="4" borderId="413" xfId="0" applyFont="1" applyFill="1" applyBorder="1" applyAlignment="1" applyProtection="1">
      <alignment horizontal="center" vertical="center"/>
      <protection locked="0"/>
    </xf>
    <xf numFmtId="0" fontId="9" fillId="5" borderId="414" xfId="0" applyFont="1" applyFill="1" applyBorder="1" applyAlignment="1" applyProtection="1">
      <alignment horizontal="center" vertical="center"/>
      <protection locked="0"/>
    </xf>
    <xf numFmtId="0" fontId="9" fillId="5" borderId="415" xfId="0" applyFont="1" applyFill="1" applyBorder="1" applyAlignment="1" applyProtection="1">
      <alignment horizontal="center" vertical="center"/>
      <protection locked="0"/>
    </xf>
    <xf numFmtId="0" fontId="9" fillId="2" borderId="16" xfId="0" applyFont="1" applyFill="1" applyBorder="1" applyAlignment="1">
      <alignment horizontal="center" vertical="center" shrinkToFit="1"/>
    </xf>
    <xf numFmtId="188" fontId="9" fillId="4" borderId="19" xfId="0" applyNumberFormat="1" applyFont="1" applyFill="1" applyBorder="1" applyAlignment="1" applyProtection="1">
      <alignment horizontal="center" vertical="center" shrinkToFit="1"/>
      <protection locked="0"/>
    </xf>
    <xf numFmtId="188" fontId="9" fillId="4" borderId="33" xfId="0" applyNumberFormat="1" applyFont="1" applyFill="1" applyBorder="1" applyAlignment="1" applyProtection="1">
      <alignment horizontal="center" vertical="center" shrinkToFit="1"/>
      <protection locked="0"/>
    </xf>
    <xf numFmtId="0" fontId="9" fillId="6" borderId="33" xfId="0" applyFont="1" applyFill="1" applyBorder="1" applyAlignment="1" applyProtection="1">
      <alignment horizontal="center" vertical="center" shrinkToFit="1"/>
      <protection locked="0"/>
    </xf>
    <xf numFmtId="0" fontId="9" fillId="2" borderId="112" xfId="0" applyFont="1" applyFill="1" applyBorder="1" applyAlignment="1">
      <alignment horizontal="center" vertical="center" shrinkToFit="1"/>
    </xf>
    <xf numFmtId="190" fontId="9" fillId="2" borderId="412" xfId="0" applyNumberFormat="1" applyFont="1" applyFill="1" applyBorder="1" applyAlignment="1">
      <alignment horizontal="center" vertical="center" shrinkToFit="1"/>
    </xf>
    <xf numFmtId="0" fontId="9" fillId="2" borderId="21"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03" xfId="0" applyFont="1" applyFill="1" applyBorder="1" applyAlignment="1">
      <alignment horizontal="left" vertical="center"/>
    </xf>
    <xf numFmtId="0" fontId="22" fillId="2" borderId="19" xfId="0" applyFont="1" applyFill="1" applyBorder="1" applyAlignment="1">
      <alignment horizontal="left" vertical="center"/>
    </xf>
    <xf numFmtId="0" fontId="22" fillId="2" borderId="33" xfId="0" applyFont="1" applyFill="1" applyBorder="1" applyAlignment="1">
      <alignment horizontal="left" vertical="center"/>
    </xf>
    <xf numFmtId="0" fontId="22" fillId="2" borderId="16" xfId="0" applyFont="1" applyFill="1" applyBorder="1" applyAlignment="1">
      <alignment horizontal="left" vertical="center"/>
    </xf>
    <xf numFmtId="0" fontId="9" fillId="2" borderId="20" xfId="0" applyFont="1" applyFill="1" applyBorder="1" applyAlignment="1">
      <alignment horizontal="left" vertical="center"/>
    </xf>
    <xf numFmtId="0" fontId="9" fillId="2" borderId="10" xfId="0" applyFont="1" applyFill="1" applyBorder="1" applyAlignment="1">
      <alignment horizontal="left" vertical="center"/>
    </xf>
    <xf numFmtId="0" fontId="9" fillId="2" borderId="13" xfId="0" applyFont="1" applyFill="1" applyBorder="1" applyAlignment="1">
      <alignment horizontal="left" vertical="center"/>
    </xf>
    <xf numFmtId="0" fontId="9" fillId="0" borderId="0" xfId="0" applyFont="1" applyAlignment="1">
      <alignment horizontal="center" vertical="center" shrinkToFit="1"/>
    </xf>
    <xf numFmtId="0" fontId="9" fillId="0" borderId="6"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Alignment="1">
      <alignment horizontal="center" vertical="center"/>
    </xf>
    <xf numFmtId="0" fontId="39" fillId="2" borderId="4" xfId="0" applyFont="1" applyFill="1" applyBorder="1" applyAlignment="1">
      <alignment horizontal="center" vertical="center" wrapText="1"/>
    </xf>
    <xf numFmtId="0" fontId="39" fillId="2" borderId="4" xfId="0" applyFont="1" applyFill="1" applyBorder="1" applyAlignment="1">
      <alignment horizontal="center" vertical="center"/>
    </xf>
    <xf numFmtId="0" fontId="39" fillId="2" borderId="17" xfId="0" applyFont="1" applyFill="1" applyBorder="1" applyAlignment="1">
      <alignment horizontal="center" vertical="center"/>
    </xf>
    <xf numFmtId="0" fontId="22" fillId="2" borderId="19" xfId="0" applyFont="1" applyFill="1" applyBorder="1" applyAlignment="1">
      <alignment horizontal="center" vertical="center"/>
    </xf>
    <xf numFmtId="0" fontId="22" fillId="2" borderId="33" xfId="0" applyFont="1" applyFill="1" applyBorder="1" applyAlignment="1">
      <alignment horizontal="center" vertical="center"/>
    </xf>
    <xf numFmtId="0" fontId="22" fillId="2" borderId="16" xfId="0" applyFont="1" applyFill="1" applyBorder="1" applyAlignment="1">
      <alignment horizontal="center" vertical="center"/>
    </xf>
    <xf numFmtId="0" fontId="9" fillId="2" borderId="19" xfId="0" applyFont="1" applyFill="1" applyBorder="1" applyAlignment="1">
      <alignment horizontal="left" vertical="center" shrinkToFit="1"/>
    </xf>
    <xf numFmtId="0" fontId="9" fillId="2" borderId="33" xfId="0" applyFont="1" applyFill="1" applyBorder="1" applyAlignment="1">
      <alignment horizontal="left" vertical="center" shrinkToFit="1"/>
    </xf>
    <xf numFmtId="0" fontId="9" fillId="2" borderId="16" xfId="0" applyFont="1" applyFill="1" applyBorder="1" applyAlignment="1">
      <alignment horizontal="left" vertical="center" shrinkToFit="1"/>
    </xf>
    <xf numFmtId="0" fontId="9" fillId="2" borderId="20" xfId="0" applyFont="1" applyFill="1" applyBorder="1" applyAlignment="1">
      <alignment horizontal="left" vertical="center" shrinkToFit="1"/>
    </xf>
    <xf numFmtId="0" fontId="9" fillId="2" borderId="10" xfId="0" applyFont="1" applyFill="1" applyBorder="1" applyAlignment="1">
      <alignment horizontal="left" vertical="center" shrinkToFit="1"/>
    </xf>
    <xf numFmtId="0" fontId="9" fillId="2" borderId="13" xfId="0" applyFont="1" applyFill="1" applyBorder="1" applyAlignment="1">
      <alignment horizontal="left" vertical="center" shrinkToFit="1"/>
    </xf>
    <xf numFmtId="190" fontId="9" fillId="2" borderId="413" xfId="0" applyNumberFormat="1" applyFont="1" applyFill="1" applyBorder="1" applyAlignment="1">
      <alignment horizontal="center" vertical="center" shrinkToFit="1"/>
    </xf>
    <xf numFmtId="189" fontId="12" fillId="2" borderId="112" xfId="0" applyNumberFormat="1" applyFont="1" applyFill="1" applyBorder="1" applyAlignment="1">
      <alignment horizontal="center" vertical="center" shrinkToFit="1"/>
    </xf>
    <xf numFmtId="190" fontId="9" fillId="2" borderId="411" xfId="0" applyNumberFormat="1" applyFont="1" applyFill="1" applyBorder="1" applyAlignment="1">
      <alignment horizontal="center" vertical="center" shrinkToFit="1"/>
    </xf>
    <xf numFmtId="0" fontId="9" fillId="2" borderId="102" xfId="0" applyFont="1" applyFill="1" applyBorder="1" applyAlignment="1">
      <alignment horizontal="center" vertical="center" shrinkToFit="1"/>
    </xf>
    <xf numFmtId="0" fontId="9" fillId="2" borderId="103" xfId="0" applyFont="1" applyFill="1" applyBorder="1" applyAlignment="1">
      <alignment horizontal="center" vertical="center" shrinkToFit="1"/>
    </xf>
    <xf numFmtId="0" fontId="9" fillId="2" borderId="104" xfId="0" applyFont="1" applyFill="1" applyBorder="1" applyAlignment="1">
      <alignment horizontal="center" vertical="center" shrinkToFit="1"/>
    </xf>
    <xf numFmtId="0" fontId="22" fillId="2" borderId="10" xfId="0" applyFont="1" applyFill="1" applyBorder="1" applyAlignment="1">
      <alignment horizontal="center" vertical="center"/>
    </xf>
    <xf numFmtId="0" fontId="22" fillId="2" borderId="10" xfId="0" applyFont="1" applyFill="1" applyBorder="1" applyAlignment="1">
      <alignment horizontal="center" vertical="center" shrinkToFit="1"/>
    </xf>
    <xf numFmtId="0" fontId="22" fillId="2" borderId="13" xfId="0" applyFont="1" applyFill="1" applyBorder="1" applyAlignment="1">
      <alignment horizontal="center" vertical="center" shrinkToFit="1"/>
    </xf>
    <xf numFmtId="0" fontId="22" fillId="2" borderId="19" xfId="0" applyFont="1" applyFill="1" applyBorder="1" applyAlignment="1">
      <alignment horizontal="center" vertical="center" wrapText="1"/>
    </xf>
    <xf numFmtId="0" fontId="22" fillId="2" borderId="33" xfId="0" applyFont="1" applyFill="1" applyBorder="1" applyAlignment="1">
      <alignment horizontal="center" vertical="center" wrapText="1"/>
    </xf>
    <xf numFmtId="0" fontId="22" fillId="2" borderId="16" xfId="0" applyFont="1" applyFill="1" applyBorder="1" applyAlignment="1">
      <alignment horizontal="center" vertical="center" wrapText="1"/>
    </xf>
    <xf numFmtId="0" fontId="22" fillId="2" borderId="21" xfId="0" applyFont="1" applyFill="1" applyBorder="1" applyAlignment="1">
      <alignment horizontal="center" vertical="center" wrapText="1"/>
    </xf>
    <xf numFmtId="0" fontId="22" fillId="2" borderId="0" xfId="0" applyFont="1" applyFill="1" applyAlignment="1">
      <alignment horizontal="center" vertical="center" wrapText="1"/>
    </xf>
    <xf numFmtId="0" fontId="22" fillId="2" borderId="15" xfId="0" applyFont="1" applyFill="1" applyBorder="1" applyAlignment="1">
      <alignment horizontal="center" vertical="center" wrapText="1"/>
    </xf>
    <xf numFmtId="0" fontId="22" fillId="2" borderId="20"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9" fillId="2" borderId="103" xfId="0" applyFont="1" applyFill="1" applyBorder="1" applyAlignment="1">
      <alignment horizontal="left" vertical="center" shrinkToFit="1"/>
    </xf>
    <xf numFmtId="0" fontId="9" fillId="2" borderId="104" xfId="0" applyFont="1" applyFill="1" applyBorder="1" applyAlignment="1">
      <alignment horizontal="left" vertical="center" shrinkToFit="1"/>
    </xf>
    <xf numFmtId="0" fontId="9" fillId="6" borderId="4" xfId="0" applyFont="1" applyFill="1" applyBorder="1" applyAlignment="1" applyProtection="1">
      <alignment horizontal="center" vertical="center"/>
      <protection locked="0"/>
    </xf>
    <xf numFmtId="0" fontId="9" fillId="6" borderId="8" xfId="0" applyFont="1" applyFill="1" applyBorder="1" applyAlignment="1" applyProtection="1">
      <alignment horizontal="center" vertical="center"/>
      <protection locked="0"/>
    </xf>
    <xf numFmtId="0" fontId="9" fillId="2" borderId="108" xfId="0" applyFont="1" applyFill="1" applyBorder="1" applyAlignment="1">
      <alignment horizontal="center" vertical="center" wrapText="1"/>
    </xf>
    <xf numFmtId="0" fontId="9" fillId="2" borderId="109" xfId="0" applyFont="1" applyFill="1" applyBorder="1" applyAlignment="1">
      <alignment horizontal="center" vertical="center" wrapText="1"/>
    </xf>
    <xf numFmtId="0" fontId="9" fillId="0" borderId="19" xfId="0" applyFont="1" applyBorder="1" applyAlignment="1">
      <alignment horizontal="center" vertical="center"/>
    </xf>
    <xf numFmtId="0" fontId="9" fillId="0" borderId="33" xfId="0" applyFont="1" applyBorder="1" applyAlignment="1">
      <alignment horizontal="center" vertical="center"/>
    </xf>
    <xf numFmtId="0" fontId="9" fillId="0" borderId="16" xfId="0" applyFont="1" applyBorder="1" applyAlignment="1">
      <alignment horizontal="center" vertical="center"/>
    </xf>
    <xf numFmtId="188" fontId="9" fillId="4" borderId="414" xfId="0" applyNumberFormat="1" applyFont="1" applyFill="1" applyBorder="1" applyAlignment="1" applyProtection="1">
      <alignment horizontal="center" vertical="center" shrinkToFit="1"/>
      <protection locked="0"/>
    </xf>
    <xf numFmtId="188" fontId="9" fillId="4" borderId="415" xfId="0" applyNumberFormat="1" applyFont="1" applyFill="1" applyBorder="1" applyAlignment="1" applyProtection="1">
      <alignment horizontal="center" vertical="center" shrinkToFit="1"/>
      <protection locked="0"/>
    </xf>
    <xf numFmtId="0" fontId="9" fillId="2" borderId="90" xfId="0" applyFont="1" applyFill="1" applyBorder="1" applyAlignment="1">
      <alignment horizontal="center" vertical="center" wrapText="1"/>
    </xf>
    <xf numFmtId="0" fontId="9" fillId="2" borderId="88" xfId="0" applyFont="1" applyFill="1" applyBorder="1" applyAlignment="1">
      <alignment horizontal="left" vertical="center" wrapText="1"/>
    </xf>
    <xf numFmtId="0" fontId="9" fillId="2" borderId="89" xfId="0" applyFont="1" applyFill="1" applyBorder="1" applyAlignment="1">
      <alignment horizontal="left" vertical="center" wrapText="1"/>
    </xf>
    <xf numFmtId="0" fontId="9" fillId="2" borderId="91" xfId="0" applyFont="1" applyFill="1" applyBorder="1" applyAlignment="1">
      <alignment horizontal="left" vertical="center" wrapText="1"/>
    </xf>
    <xf numFmtId="0" fontId="9" fillId="2" borderId="92" xfId="0" applyFont="1" applyFill="1" applyBorder="1" applyAlignment="1">
      <alignment horizontal="left" vertical="center" wrapText="1"/>
    </xf>
    <xf numFmtId="0" fontId="9" fillId="2" borderId="134" xfId="0" applyFont="1" applyFill="1" applyBorder="1" applyAlignment="1">
      <alignment horizontal="left" vertical="center" wrapText="1"/>
    </xf>
    <xf numFmtId="0" fontId="9" fillId="2" borderId="111" xfId="0" applyFont="1" applyFill="1" applyBorder="1" applyAlignment="1">
      <alignment horizontal="center" vertical="center"/>
    </xf>
    <xf numFmtId="0" fontId="9" fillId="2" borderId="111" xfId="0" applyFont="1" applyFill="1" applyBorder="1" applyAlignment="1">
      <alignment horizontal="left" vertical="center" wrapText="1"/>
    </xf>
    <xf numFmtId="0" fontId="9" fillId="2" borderId="113" xfId="0" applyFont="1" applyFill="1" applyBorder="1" applyAlignment="1">
      <alignment horizontal="center" vertical="center"/>
    </xf>
    <xf numFmtId="0" fontId="9" fillId="2" borderId="113" xfId="0" applyFont="1" applyFill="1" applyBorder="1" applyAlignment="1">
      <alignment horizontal="left" vertical="center"/>
    </xf>
    <xf numFmtId="0" fontId="9" fillId="2" borderId="134" xfId="0" applyFont="1" applyFill="1" applyBorder="1" applyAlignment="1">
      <alignment horizontal="center" vertical="center"/>
    </xf>
    <xf numFmtId="0" fontId="21" fillId="0" borderId="6" xfId="0" applyFont="1" applyBorder="1" applyAlignment="1">
      <alignment horizontal="center" vertical="center"/>
    </xf>
    <xf numFmtId="188" fontId="9" fillId="4" borderId="416" xfId="0" applyNumberFormat="1" applyFont="1" applyFill="1" applyBorder="1" applyAlignment="1" applyProtection="1">
      <alignment horizontal="center" vertical="center" shrinkToFit="1"/>
      <protection locked="0"/>
    </xf>
    <xf numFmtId="184" fontId="9" fillId="2" borderId="111" xfId="0" applyNumberFormat="1" applyFont="1" applyFill="1" applyBorder="1" applyAlignment="1">
      <alignment horizontal="center" vertical="center" shrinkToFit="1"/>
    </xf>
    <xf numFmtId="9" fontId="9" fillId="2" borderId="102" xfId="5" applyFont="1" applyFill="1" applyBorder="1" applyAlignment="1" applyProtection="1">
      <alignment horizontal="center" vertical="center" shrinkToFit="1"/>
    </xf>
    <xf numFmtId="9" fontId="9" fillId="2" borderId="104" xfId="5" applyFont="1" applyFill="1" applyBorder="1" applyAlignment="1" applyProtection="1">
      <alignment horizontal="center" vertical="center" shrinkToFit="1"/>
    </xf>
    <xf numFmtId="9" fontId="9" fillId="2" borderId="70" xfId="5" applyFont="1" applyFill="1" applyBorder="1" applyAlignment="1" applyProtection="1">
      <alignment horizontal="center" vertical="center" shrinkToFit="1"/>
    </xf>
    <xf numFmtId="9" fontId="9" fillId="2" borderId="72" xfId="5" applyFont="1" applyFill="1" applyBorder="1" applyAlignment="1" applyProtection="1">
      <alignment horizontal="center" vertical="center" shrinkToFit="1"/>
    </xf>
    <xf numFmtId="0" fontId="9" fillId="0" borderId="20" xfId="0" applyFont="1" applyBorder="1" applyAlignment="1">
      <alignment horizontal="center" vertical="center"/>
    </xf>
    <xf numFmtId="0" fontId="9" fillId="0" borderId="3" xfId="0" applyFont="1" applyBorder="1" applyAlignment="1">
      <alignment horizontal="center" vertical="center" shrinkToFit="1"/>
    </xf>
    <xf numFmtId="184" fontId="9" fillId="0" borderId="21" xfId="0" applyNumberFormat="1" applyFont="1" applyBorder="1" applyAlignment="1">
      <alignment horizontal="center" vertical="center" shrinkToFit="1"/>
    </xf>
    <xf numFmtId="184" fontId="9" fillId="0" borderId="0" xfId="0" applyNumberFormat="1" applyFont="1" applyAlignment="1">
      <alignment horizontal="center" vertical="center" shrinkToFit="1"/>
    </xf>
    <xf numFmtId="0" fontId="9" fillId="2" borderId="113" xfId="0" applyFont="1" applyFill="1" applyBorder="1" applyAlignment="1">
      <alignment horizontal="center" vertical="center" shrinkToFit="1"/>
    </xf>
    <xf numFmtId="188" fontId="9" fillId="5" borderId="417" xfId="0" applyNumberFormat="1" applyFont="1" applyFill="1" applyBorder="1" applyAlignment="1" applyProtection="1">
      <alignment horizontal="center" vertical="center" shrinkToFit="1"/>
      <protection locked="0"/>
    </xf>
    <xf numFmtId="188" fontId="9" fillId="5" borderId="418" xfId="0" applyNumberFormat="1" applyFont="1" applyFill="1" applyBorder="1" applyAlignment="1" applyProtection="1">
      <alignment horizontal="center" vertical="center" shrinkToFit="1"/>
      <protection locked="0"/>
    </xf>
    <xf numFmtId="188" fontId="9" fillId="5" borderId="419" xfId="0" applyNumberFormat="1" applyFont="1" applyFill="1" applyBorder="1" applyAlignment="1" applyProtection="1">
      <alignment horizontal="center" vertical="center" shrinkToFit="1"/>
      <protection locked="0"/>
    </xf>
    <xf numFmtId="184" fontId="9" fillId="2" borderId="113" xfId="0" applyNumberFormat="1" applyFont="1" applyFill="1" applyBorder="1" applyAlignment="1">
      <alignment horizontal="center" vertical="center" shrinkToFit="1"/>
    </xf>
    <xf numFmtId="0" fontId="22" fillId="0" borderId="5" xfId="0" applyFont="1" applyBorder="1" applyAlignment="1">
      <alignment horizontal="center" vertical="center" shrinkToFit="1"/>
    </xf>
    <xf numFmtId="0" fontId="22" fillId="0" borderId="29" xfId="0" applyFont="1" applyBorder="1" applyAlignment="1">
      <alignment horizontal="center" vertical="center" shrinkToFit="1"/>
    </xf>
    <xf numFmtId="0" fontId="22" fillId="0" borderId="55" xfId="0" applyFont="1" applyBorder="1" applyAlignment="1">
      <alignment horizontal="center" vertical="center" shrinkToFit="1"/>
    </xf>
    <xf numFmtId="0" fontId="22" fillId="0" borderId="21" xfId="0" applyFont="1" applyBorder="1" applyAlignment="1">
      <alignment horizontal="center" vertical="center" shrinkToFit="1"/>
    </xf>
    <xf numFmtId="0" fontId="22" fillId="0" borderId="0" xfId="0" applyFont="1" applyAlignment="1">
      <alignment horizontal="center" vertical="center" shrinkToFit="1"/>
    </xf>
    <xf numFmtId="0" fontId="9" fillId="2" borderId="108" xfId="0" applyFont="1" applyFill="1" applyBorder="1" applyAlignment="1">
      <alignment horizontal="center" vertical="center" shrinkToFit="1"/>
    </xf>
    <xf numFmtId="0" fontId="9" fillId="2" borderId="110" xfId="0" applyFont="1" applyFill="1" applyBorder="1" applyAlignment="1">
      <alignment horizontal="center" vertical="center" shrinkToFit="1"/>
    </xf>
    <xf numFmtId="0" fontId="9" fillId="0" borderId="8" xfId="0" applyFont="1" applyBorder="1" applyAlignment="1">
      <alignment horizontal="center" vertical="center"/>
    </xf>
    <xf numFmtId="0" fontId="22" fillId="2" borderId="0" xfId="0" applyFont="1" applyFill="1" applyAlignment="1">
      <alignment horizontal="left" vertical="center"/>
    </xf>
    <xf numFmtId="0" fontId="22" fillId="2" borderId="100" xfId="0" applyFont="1" applyFill="1" applyBorder="1" applyAlignment="1">
      <alignment horizontal="center" vertical="center" shrinkToFit="1"/>
    </xf>
    <xf numFmtId="188" fontId="22" fillId="4" borderId="100" xfId="0" applyNumberFormat="1" applyFont="1" applyFill="1" applyBorder="1" applyAlignment="1" applyProtection="1">
      <alignment horizontal="center" vertical="center" shrinkToFit="1"/>
      <protection locked="0"/>
    </xf>
    <xf numFmtId="188" fontId="22" fillId="6" borderId="100" xfId="0" applyNumberFormat="1" applyFont="1" applyFill="1" applyBorder="1" applyAlignment="1" applyProtection="1">
      <alignment horizontal="center" vertical="center" shrinkToFit="1"/>
      <protection locked="0"/>
    </xf>
    <xf numFmtId="0" fontId="22" fillId="2" borderId="0" xfId="0" applyFont="1" applyFill="1" applyAlignment="1">
      <alignment horizontal="center" vertical="center"/>
    </xf>
    <xf numFmtId="0" fontId="22" fillId="4" borderId="0" xfId="0" applyFont="1" applyFill="1" applyAlignment="1" applyProtection="1">
      <alignment horizontal="center" vertical="center" shrinkToFit="1"/>
      <protection locked="0"/>
    </xf>
    <xf numFmtId="0" fontId="22" fillId="4" borderId="15" xfId="0" applyFont="1" applyFill="1" applyBorder="1" applyAlignment="1" applyProtection="1">
      <alignment horizontal="center" vertical="center" shrinkToFit="1"/>
      <protection locked="0"/>
    </xf>
    <xf numFmtId="0" fontId="22" fillId="2" borderId="19" xfId="0" applyFont="1" applyFill="1" applyBorder="1" applyAlignment="1">
      <alignment horizontal="center" vertical="center" shrinkToFit="1"/>
    </xf>
    <xf numFmtId="0" fontId="22" fillId="2" borderId="33" xfId="0" applyFont="1" applyFill="1" applyBorder="1" applyAlignment="1">
      <alignment horizontal="center" vertical="center" shrinkToFit="1"/>
    </xf>
    <xf numFmtId="0" fontId="22" fillId="2" borderId="16" xfId="0" applyFont="1" applyFill="1" applyBorder="1" applyAlignment="1">
      <alignment horizontal="center" vertical="center" shrinkToFit="1"/>
    </xf>
    <xf numFmtId="0" fontId="22" fillId="2" borderId="20" xfId="0" applyFont="1" applyFill="1" applyBorder="1" applyAlignment="1">
      <alignment horizontal="center" vertical="center" shrinkToFit="1"/>
    </xf>
    <xf numFmtId="0" fontId="22" fillId="2" borderId="13" xfId="0" applyFont="1" applyFill="1" applyBorder="1" applyAlignment="1">
      <alignment horizontal="center" vertical="center"/>
    </xf>
    <xf numFmtId="0" fontId="21" fillId="7" borderId="0" xfId="0" applyFont="1" applyFill="1" applyAlignment="1">
      <alignment horizontal="center" vertical="center" shrinkToFit="1"/>
    </xf>
    <xf numFmtId="0" fontId="35" fillId="2" borderId="4" xfId="0" applyFont="1" applyFill="1" applyBorder="1" applyAlignment="1">
      <alignment horizontal="center" vertical="center" textRotation="255"/>
    </xf>
    <xf numFmtId="0" fontId="35" fillId="2" borderId="17" xfId="0" applyFont="1" applyFill="1" applyBorder="1" applyAlignment="1">
      <alignment horizontal="center" vertical="center"/>
    </xf>
    <xf numFmtId="0" fontId="35" fillId="2" borderId="18" xfId="0" applyFont="1" applyFill="1" applyBorder="1" applyAlignment="1">
      <alignment horizontal="center" vertical="center"/>
    </xf>
    <xf numFmtId="0" fontId="35" fillId="2" borderId="14" xfId="0" applyFont="1" applyFill="1" applyBorder="1" applyAlignment="1">
      <alignment horizontal="center" vertical="center"/>
    </xf>
    <xf numFmtId="0" fontId="22" fillId="4" borderId="147" xfId="0" applyFont="1" applyFill="1" applyBorder="1" applyAlignment="1" applyProtection="1">
      <alignment horizontal="center" vertical="center" shrinkToFit="1"/>
      <protection locked="0"/>
    </xf>
    <xf numFmtId="185" fontId="22" fillId="4" borderId="148" xfId="0" applyNumberFormat="1" applyFont="1" applyFill="1" applyBorder="1" applyAlignment="1" applyProtection="1">
      <alignment horizontal="center" vertical="center" shrinkToFit="1"/>
      <protection locked="0"/>
    </xf>
    <xf numFmtId="0" fontId="22" fillId="4" borderId="148" xfId="0" applyFont="1" applyFill="1" applyBorder="1" applyAlignment="1" applyProtection="1">
      <alignment horizontal="center" vertical="center" shrinkToFit="1"/>
      <protection locked="0"/>
    </xf>
    <xf numFmtId="0" fontId="22" fillId="4" borderId="149" xfId="0" applyFont="1" applyFill="1" applyBorder="1" applyAlignment="1" applyProtection="1">
      <alignment horizontal="center" vertical="center" shrinkToFit="1"/>
      <protection locked="0"/>
    </xf>
    <xf numFmtId="0" fontId="35" fillId="2" borderId="6" xfId="0" applyFont="1" applyFill="1" applyBorder="1" applyAlignment="1">
      <alignment horizontal="center" vertical="center" textRotation="255"/>
    </xf>
    <xf numFmtId="0" fontId="35" fillId="2" borderId="9" xfId="0" applyFont="1" applyFill="1" applyBorder="1" applyAlignment="1">
      <alignment horizontal="center" vertical="center" textRotation="255"/>
    </xf>
    <xf numFmtId="0" fontId="35" fillId="2" borderId="8" xfId="0" applyFont="1" applyFill="1" applyBorder="1" applyAlignment="1">
      <alignment horizontal="center" vertical="center" textRotation="255"/>
    </xf>
    <xf numFmtId="0" fontId="22" fillId="4" borderId="150" xfId="0" applyFont="1" applyFill="1" applyBorder="1" applyAlignment="1" applyProtection="1">
      <alignment horizontal="left" vertical="center" shrinkToFit="1"/>
      <protection locked="0"/>
    </xf>
    <xf numFmtId="0" fontId="22" fillId="4" borderId="151" xfId="0" applyFont="1" applyFill="1" applyBorder="1" applyAlignment="1" applyProtection="1">
      <alignment horizontal="left" vertical="center" shrinkToFit="1"/>
      <protection locked="0"/>
    </xf>
    <xf numFmtId="0" fontId="22" fillId="4" borderId="152" xfId="0" applyFont="1" applyFill="1" applyBorder="1" applyAlignment="1" applyProtection="1">
      <alignment horizontal="left" vertical="center" shrinkToFit="1"/>
      <protection locked="0"/>
    </xf>
    <xf numFmtId="0" fontId="22" fillId="4" borderId="153" xfId="0" applyFont="1" applyFill="1" applyBorder="1" applyAlignment="1" applyProtection="1">
      <alignment horizontal="left" vertical="center" shrinkToFit="1"/>
      <protection locked="0"/>
    </xf>
    <xf numFmtId="0" fontId="22" fillId="4" borderId="154" xfId="0" applyFont="1" applyFill="1" applyBorder="1" applyAlignment="1" applyProtection="1">
      <alignment horizontal="left" vertical="center" shrinkToFit="1"/>
      <protection locked="0"/>
    </xf>
    <xf numFmtId="0" fontId="22" fillId="4" borderId="155" xfId="0" applyFont="1" applyFill="1" applyBorder="1" applyAlignment="1" applyProtection="1">
      <alignment horizontal="left" vertical="center" shrinkToFit="1"/>
      <protection locked="0"/>
    </xf>
    <xf numFmtId="0" fontId="22" fillId="4" borderId="156" xfId="0" applyFont="1" applyFill="1" applyBorder="1" applyAlignment="1" applyProtection="1">
      <alignment horizontal="left" vertical="center" shrinkToFit="1"/>
      <protection locked="0"/>
    </xf>
    <xf numFmtId="0" fontId="22" fillId="4" borderId="157" xfId="0" applyFont="1" applyFill="1" applyBorder="1" applyAlignment="1" applyProtection="1">
      <alignment horizontal="left" vertical="center" shrinkToFit="1"/>
      <protection locked="0"/>
    </xf>
    <xf numFmtId="0" fontId="22" fillId="4" borderId="158" xfId="0" applyFont="1" applyFill="1" applyBorder="1" applyAlignment="1" applyProtection="1">
      <alignment horizontal="left" vertical="center" shrinkToFit="1"/>
      <protection locked="0"/>
    </xf>
    <xf numFmtId="0" fontId="22" fillId="2" borderId="157" xfId="0" applyFont="1" applyFill="1" applyBorder="1" applyAlignment="1">
      <alignment horizontal="left" vertical="center" shrinkToFit="1"/>
    </xf>
    <xf numFmtId="0" fontId="22" fillId="2" borderId="158" xfId="0" applyFont="1" applyFill="1" applyBorder="1" applyAlignment="1">
      <alignment horizontal="left" vertical="center" shrinkToFit="1"/>
    </xf>
    <xf numFmtId="0" fontId="22" fillId="2" borderId="0" xfId="0" applyFont="1" applyFill="1" applyAlignment="1">
      <alignment horizontal="left" vertical="center" wrapText="1"/>
    </xf>
    <xf numFmtId="0" fontId="22" fillId="7" borderId="0" xfId="0" applyFont="1" applyFill="1" applyAlignment="1">
      <alignment horizontal="center" vertical="center" shrinkToFit="1"/>
    </xf>
    <xf numFmtId="0" fontId="22" fillId="2" borderId="119" xfId="0" applyFont="1" applyFill="1" applyBorder="1" applyAlignment="1">
      <alignment horizontal="center" vertical="center"/>
    </xf>
    <xf numFmtId="0" fontId="22" fillId="2" borderId="175" xfId="0" applyFont="1" applyFill="1" applyBorder="1" applyAlignment="1">
      <alignment horizontal="center" vertical="center"/>
    </xf>
    <xf numFmtId="0" fontId="41" fillId="2" borderId="455" xfId="0" applyFont="1" applyFill="1" applyBorder="1" applyAlignment="1">
      <alignment horizontal="center" vertical="center" shrinkToFit="1"/>
    </xf>
    <xf numFmtId="0" fontId="41" fillId="2" borderId="295" xfId="0" applyFont="1" applyFill="1" applyBorder="1" applyAlignment="1">
      <alignment horizontal="center" vertical="center" shrinkToFit="1"/>
    </xf>
    <xf numFmtId="0" fontId="41" fillId="6" borderId="295" xfId="0" applyFont="1" applyFill="1" applyBorder="1" applyAlignment="1" applyProtection="1">
      <alignment horizontal="center" vertical="center" shrinkToFit="1"/>
      <protection locked="0"/>
    </xf>
    <xf numFmtId="0" fontId="41" fillId="6" borderId="88" xfId="0" applyFont="1" applyFill="1" applyBorder="1" applyAlignment="1" applyProtection="1">
      <alignment horizontal="center" vertical="center" shrinkToFit="1"/>
      <protection locked="0"/>
    </xf>
    <xf numFmtId="0" fontId="41" fillId="4" borderId="295" xfId="0" applyFont="1" applyFill="1" applyBorder="1" applyAlignment="1" applyProtection="1">
      <alignment horizontal="center" vertical="center" shrinkToFit="1"/>
      <protection locked="0"/>
    </xf>
    <xf numFmtId="0" fontId="41" fillId="4" borderId="88" xfId="0" applyFont="1" applyFill="1" applyBorder="1" applyAlignment="1" applyProtection="1">
      <alignment horizontal="center" vertical="center" shrinkToFit="1"/>
      <protection locked="0"/>
    </xf>
    <xf numFmtId="0" fontId="41" fillId="4" borderId="298" xfId="0" applyFont="1" applyFill="1" applyBorder="1" applyAlignment="1" applyProtection="1">
      <alignment horizontal="center" vertical="center" shrinkToFit="1"/>
      <protection locked="0"/>
    </xf>
    <xf numFmtId="0" fontId="41" fillId="4" borderId="89" xfId="0" applyFont="1" applyFill="1" applyBorder="1" applyAlignment="1" applyProtection="1">
      <alignment horizontal="center" vertical="center" shrinkToFit="1"/>
      <protection locked="0"/>
    </xf>
    <xf numFmtId="0" fontId="41" fillId="2" borderId="456" xfId="0" applyFont="1" applyFill="1" applyBorder="1" applyAlignment="1">
      <alignment horizontal="center" vertical="center" shrinkToFit="1"/>
    </xf>
    <xf numFmtId="0" fontId="41" fillId="2" borderId="449" xfId="0" applyFont="1" applyFill="1" applyBorder="1" applyAlignment="1">
      <alignment horizontal="center" vertical="center" shrinkToFit="1"/>
    </xf>
    <xf numFmtId="0" fontId="41" fillId="6" borderId="449" xfId="0" applyFont="1" applyFill="1" applyBorder="1" applyAlignment="1" applyProtection="1">
      <alignment horizontal="center" vertical="center" shrinkToFit="1"/>
      <protection locked="0"/>
    </xf>
    <xf numFmtId="0" fontId="41" fillId="6" borderId="189" xfId="0" applyFont="1" applyFill="1" applyBorder="1" applyAlignment="1" applyProtection="1">
      <alignment horizontal="center" vertical="center" shrinkToFit="1"/>
      <protection locked="0"/>
    </xf>
    <xf numFmtId="0" fontId="41" fillId="4" borderId="449" xfId="0" applyFont="1" applyFill="1" applyBorder="1" applyAlignment="1" applyProtection="1">
      <alignment horizontal="center" vertical="center" shrinkToFit="1"/>
      <protection locked="0"/>
    </xf>
    <xf numFmtId="0" fontId="41" fillId="4" borderId="189" xfId="0" applyFont="1" applyFill="1" applyBorder="1" applyAlignment="1" applyProtection="1">
      <alignment horizontal="center" vertical="center" shrinkToFit="1"/>
      <protection locked="0"/>
    </xf>
    <xf numFmtId="0" fontId="41" fillId="4" borderId="457" xfId="0" applyFont="1" applyFill="1" applyBorder="1" applyAlignment="1" applyProtection="1">
      <alignment horizontal="center" vertical="center" shrinkToFit="1"/>
      <protection locked="0"/>
    </xf>
    <xf numFmtId="0" fontId="41" fillId="4" borderId="190" xfId="0" applyFont="1" applyFill="1" applyBorder="1" applyAlignment="1" applyProtection="1">
      <alignment horizontal="center" vertical="center" shrinkToFit="1"/>
      <protection locked="0"/>
    </xf>
    <xf numFmtId="0" fontId="41" fillId="2" borderId="8" xfId="0" applyFont="1" applyFill="1" applyBorder="1" applyAlignment="1">
      <alignment horizontal="center" vertical="center" shrinkToFit="1"/>
    </xf>
    <xf numFmtId="0" fontId="41" fillId="2" borderId="20" xfId="0" applyFont="1" applyFill="1" applyBorder="1" applyAlignment="1">
      <alignment horizontal="center" vertical="center" shrinkToFit="1"/>
    </xf>
    <xf numFmtId="0" fontId="41" fillId="2" borderId="4" xfId="0" applyFont="1" applyFill="1" applyBorder="1" applyAlignment="1">
      <alignment horizontal="center" vertical="center" shrinkToFit="1"/>
    </xf>
    <xf numFmtId="0" fontId="41" fillId="2" borderId="17" xfId="0" applyFont="1" applyFill="1" applyBorder="1" applyAlignment="1">
      <alignment horizontal="center" vertical="center" shrinkToFit="1"/>
    </xf>
    <xf numFmtId="0" fontId="41" fillId="2" borderId="393" xfId="0" applyFont="1" applyFill="1" applyBorder="1" applyAlignment="1">
      <alignment horizontal="center" vertical="center" shrinkToFit="1"/>
    </xf>
    <xf numFmtId="0" fontId="41" fillId="2" borderId="100" xfId="0" applyFont="1" applyFill="1" applyBorder="1" applyAlignment="1">
      <alignment horizontal="center" vertical="center" shrinkToFit="1"/>
    </xf>
    <xf numFmtId="0" fontId="41" fillId="2" borderId="341" xfId="0" applyFont="1" applyFill="1" applyBorder="1" applyAlignment="1">
      <alignment horizontal="center" vertical="center" shrinkToFit="1"/>
    </xf>
    <xf numFmtId="0" fontId="41" fillId="2" borderId="10" xfId="0" applyFont="1" applyFill="1" applyBorder="1" applyAlignment="1">
      <alignment horizontal="center" vertical="center" shrinkToFit="1"/>
    </xf>
    <xf numFmtId="208" fontId="41" fillId="2" borderId="100" xfId="0" applyNumberFormat="1" applyFont="1" applyFill="1" applyBorder="1" applyAlignment="1">
      <alignment horizontal="center" vertical="center" shrinkToFit="1"/>
    </xf>
    <xf numFmtId="208" fontId="41" fillId="2" borderId="458" xfId="0" applyNumberFormat="1" applyFont="1" applyFill="1" applyBorder="1" applyAlignment="1">
      <alignment horizontal="center" vertical="center" shrinkToFit="1"/>
    </xf>
    <xf numFmtId="208" fontId="41" fillId="2" borderId="10" xfId="0" applyNumberFormat="1" applyFont="1" applyFill="1" applyBorder="1" applyAlignment="1">
      <alignment horizontal="center" vertical="center" shrinkToFit="1"/>
    </xf>
    <xf numFmtId="208" fontId="41" fillId="2" borderId="459" xfId="0" applyNumberFormat="1" applyFont="1" applyFill="1" applyBorder="1" applyAlignment="1">
      <alignment horizontal="center" vertical="center" shrinkToFit="1"/>
    </xf>
    <xf numFmtId="0" fontId="22" fillId="0" borderId="393" xfId="0" applyFont="1" applyBorder="1" applyAlignment="1">
      <alignment horizontal="center" vertical="center" shrinkToFit="1"/>
    </xf>
    <xf numFmtId="0" fontId="22" fillId="0" borderId="100" xfId="0" applyFont="1" applyBorder="1" applyAlignment="1">
      <alignment horizontal="center" vertical="center" shrinkToFit="1"/>
    </xf>
    <xf numFmtId="0" fontId="22" fillId="0" borderId="341" xfId="0" applyFont="1" applyBorder="1" applyAlignment="1">
      <alignment horizontal="center" vertical="center" shrinkToFit="1"/>
    </xf>
    <xf numFmtId="0" fontId="22" fillId="0" borderId="10" xfId="0" applyFont="1" applyBorder="1" applyAlignment="1">
      <alignment horizontal="center" vertical="center" shrinkToFit="1"/>
    </xf>
    <xf numFmtId="0" fontId="41" fillId="2" borderId="100" xfId="0" applyFont="1" applyFill="1" applyBorder="1" applyAlignment="1">
      <alignment horizontal="center" vertical="center"/>
    </xf>
    <xf numFmtId="0" fontId="41" fillId="2" borderId="10" xfId="0" applyFont="1" applyFill="1" applyBorder="1" applyAlignment="1">
      <alignment horizontal="center" vertical="center"/>
    </xf>
    <xf numFmtId="0" fontId="41" fillId="2" borderId="101" xfId="0" applyFont="1" applyFill="1" applyBorder="1" applyAlignment="1">
      <alignment horizontal="center" vertical="center"/>
    </xf>
    <xf numFmtId="0" fontId="41" fillId="2" borderId="13" xfId="0" applyFont="1" applyFill="1" applyBorder="1" applyAlignment="1">
      <alignment horizontal="center" vertical="center"/>
    </xf>
    <xf numFmtId="0" fontId="41" fillId="2" borderId="108" xfId="0" applyFont="1" applyFill="1" applyBorder="1" applyAlignment="1">
      <alignment horizontal="center" vertical="center"/>
    </xf>
    <xf numFmtId="0" fontId="41" fillId="2" borderId="109" xfId="0" applyFont="1" applyFill="1" applyBorder="1" applyAlignment="1">
      <alignment horizontal="center" vertical="center"/>
    </xf>
    <xf numFmtId="0" fontId="41" fillId="2" borderId="453" xfId="0" applyFont="1" applyFill="1" applyBorder="1" applyAlignment="1">
      <alignment horizontal="center" vertical="center"/>
    </xf>
    <xf numFmtId="0" fontId="41" fillId="2" borderId="454" xfId="0" applyFont="1" applyFill="1" applyBorder="1" applyAlignment="1">
      <alignment horizontal="center" vertical="center"/>
    </xf>
    <xf numFmtId="0" fontId="41" fillId="2" borderId="110" xfId="0" applyFont="1" applyFill="1" applyBorder="1" applyAlignment="1">
      <alignment horizontal="center" vertical="center"/>
    </xf>
    <xf numFmtId="0" fontId="41" fillId="2" borderId="21" xfId="0" applyFont="1" applyFill="1" applyBorder="1" applyAlignment="1">
      <alignment horizontal="center" vertical="center" shrinkToFit="1"/>
    </xf>
    <xf numFmtId="0" fontId="41" fillId="2" borderId="0" xfId="0" applyFont="1" applyFill="1" applyAlignment="1">
      <alignment horizontal="center" vertical="center" shrinkToFit="1"/>
    </xf>
    <xf numFmtId="0" fontId="41" fillId="2" borderId="368" xfId="0" applyFont="1" applyFill="1" applyBorder="1" applyAlignment="1">
      <alignment horizontal="center" vertical="center" shrinkToFit="1"/>
    </xf>
    <xf numFmtId="0" fontId="41" fillId="2" borderId="146" xfId="0" applyFont="1" applyFill="1" applyBorder="1" applyAlignment="1">
      <alignment horizontal="center" vertical="center" shrinkToFit="1"/>
    </xf>
    <xf numFmtId="0" fontId="41" fillId="2" borderId="368" xfId="0" applyFont="1" applyFill="1" applyBorder="1" applyAlignment="1">
      <alignment horizontal="center" vertical="center"/>
    </xf>
    <xf numFmtId="0" fontId="41" fillId="2" borderId="146" xfId="0" applyFont="1" applyFill="1" applyBorder="1" applyAlignment="1">
      <alignment horizontal="center" vertical="center"/>
    </xf>
    <xf numFmtId="0" fontId="41" fillId="2" borderId="398" xfId="0" applyFont="1" applyFill="1" applyBorder="1" applyAlignment="1">
      <alignment horizontal="center" vertical="center"/>
    </xf>
    <xf numFmtId="0" fontId="41" fillId="2" borderId="21" xfId="0" applyFont="1" applyFill="1" applyBorder="1" applyAlignment="1">
      <alignment horizontal="center" vertical="center"/>
    </xf>
    <xf numFmtId="0" fontId="41" fillId="2" borderId="15" xfId="0" applyFont="1" applyFill="1" applyBorder="1" applyAlignment="1">
      <alignment horizontal="center" vertical="center"/>
    </xf>
    <xf numFmtId="180" fontId="9" fillId="2" borderId="17" xfId="0" applyNumberFormat="1" applyFont="1" applyFill="1" applyBorder="1" applyAlignment="1">
      <alignment horizontal="center" vertical="center"/>
    </xf>
    <xf numFmtId="180" fontId="9" fillId="2" borderId="18" xfId="0" applyNumberFormat="1" applyFont="1" applyFill="1" applyBorder="1" applyAlignment="1">
      <alignment horizontal="center" vertical="center"/>
    </xf>
    <xf numFmtId="207" fontId="9" fillId="2" borderId="18" xfId="0" applyNumberFormat="1" applyFont="1" applyFill="1" applyBorder="1" applyAlignment="1">
      <alignment horizontal="center" vertical="center"/>
    </xf>
    <xf numFmtId="0" fontId="41" fillId="2" borderId="17" xfId="0" applyFont="1" applyFill="1" applyBorder="1" applyAlignment="1">
      <alignment horizontal="center" vertical="center"/>
    </xf>
    <xf numFmtId="0" fontId="41" fillId="2" borderId="18" xfId="0" applyFont="1" applyFill="1" applyBorder="1" applyAlignment="1">
      <alignment horizontal="center" vertical="center"/>
    </xf>
    <xf numFmtId="0" fontId="41" fillId="2" borderId="452" xfId="0" applyFont="1" applyFill="1" applyBorder="1" applyAlignment="1">
      <alignment horizontal="center" vertical="center"/>
    </xf>
    <xf numFmtId="0" fontId="41" fillId="2" borderId="405" xfId="0" applyFont="1" applyFill="1" applyBorder="1" applyAlignment="1">
      <alignment horizontal="center" vertical="center"/>
    </xf>
    <xf numFmtId="0" fontId="41" fillId="2" borderId="14" xfId="0" applyFont="1" applyFill="1" applyBorder="1" applyAlignment="1">
      <alignment horizontal="center" vertical="center"/>
    </xf>
    <xf numFmtId="0" fontId="9" fillId="2" borderId="87" xfId="0" applyFont="1" applyFill="1" applyBorder="1" applyAlignment="1">
      <alignment horizontal="center" vertical="center"/>
    </xf>
    <xf numFmtId="0" fontId="9" fillId="2" borderId="88" xfId="0" applyFont="1" applyFill="1" applyBorder="1" applyAlignment="1">
      <alignment horizontal="center" vertical="center"/>
    </xf>
    <xf numFmtId="0" fontId="9" fillId="2" borderId="89" xfId="0" applyFont="1" applyFill="1" applyBorder="1" applyAlignment="1">
      <alignment horizontal="center" vertical="center"/>
    </xf>
    <xf numFmtId="0" fontId="9" fillId="4" borderId="87" xfId="0" applyFont="1" applyFill="1" applyBorder="1" applyAlignment="1" applyProtection="1">
      <alignment horizontal="center" vertical="center"/>
      <protection locked="0"/>
    </xf>
    <xf numFmtId="0" fontId="9" fillId="4" borderId="88" xfId="0" applyFont="1" applyFill="1" applyBorder="1" applyAlignment="1" applyProtection="1">
      <alignment horizontal="center" vertical="center"/>
      <protection locked="0"/>
    </xf>
    <xf numFmtId="49" fontId="9" fillId="2" borderId="87" xfId="0" applyNumberFormat="1" applyFont="1" applyFill="1" applyBorder="1" applyAlignment="1">
      <alignment horizontal="center" vertical="center"/>
    </xf>
    <xf numFmtId="49" fontId="9" fillId="2" borderId="88" xfId="0" applyNumberFormat="1" applyFont="1" applyFill="1" applyBorder="1" applyAlignment="1">
      <alignment horizontal="center" vertical="center"/>
    </xf>
    <xf numFmtId="49" fontId="9" fillId="2" borderId="89" xfId="0" applyNumberFormat="1" applyFont="1" applyFill="1" applyBorder="1" applyAlignment="1">
      <alignment horizontal="center" vertical="center"/>
    </xf>
    <xf numFmtId="2" fontId="9" fillId="2" borderId="87" xfId="0" applyNumberFormat="1" applyFont="1" applyFill="1" applyBorder="1" applyAlignment="1">
      <alignment horizontal="center" vertical="center"/>
    </xf>
    <xf numFmtId="2" fontId="9" fillId="2" borderId="88" xfId="0" applyNumberFormat="1" applyFont="1" applyFill="1" applyBorder="1" applyAlignment="1">
      <alignment horizontal="center" vertical="center"/>
    </xf>
    <xf numFmtId="207" fontId="9" fillId="2" borderId="66" xfId="0" applyNumberFormat="1" applyFont="1" applyFill="1" applyBorder="1" applyAlignment="1">
      <alignment horizontal="center" vertical="center" shrinkToFit="1"/>
    </xf>
    <xf numFmtId="207" fontId="9" fillId="2" borderId="10" xfId="0" applyNumberFormat="1" applyFont="1" applyFill="1" applyBorder="1" applyAlignment="1">
      <alignment horizontal="center" vertical="center" shrinkToFit="1"/>
    </xf>
    <xf numFmtId="0" fontId="9" fillId="2" borderId="67" xfId="0" applyFont="1" applyFill="1" applyBorder="1" applyAlignment="1">
      <alignment horizontal="center" vertical="center" shrinkToFit="1"/>
    </xf>
    <xf numFmtId="0" fontId="9" fillId="2" borderId="13" xfId="0" applyFont="1" applyFill="1" applyBorder="1" applyAlignment="1">
      <alignment horizontal="center" vertical="center" shrinkToFit="1"/>
    </xf>
    <xf numFmtId="0" fontId="9" fillId="2" borderId="90" xfId="0" applyFont="1" applyFill="1" applyBorder="1" applyAlignment="1">
      <alignment horizontal="center" vertical="center"/>
    </xf>
    <xf numFmtId="0" fontId="9" fillId="2" borderId="92" xfId="0" applyFont="1" applyFill="1" applyBorder="1" applyAlignment="1">
      <alignment horizontal="center" vertical="center"/>
    </xf>
    <xf numFmtId="0" fontId="9" fillId="4" borderId="90" xfId="0" applyFont="1" applyFill="1" applyBorder="1" applyAlignment="1" applyProtection="1">
      <alignment horizontal="center" vertical="center"/>
      <protection locked="0"/>
    </xf>
    <xf numFmtId="0" fontId="9" fillId="4" borderId="91" xfId="0" applyFont="1" applyFill="1" applyBorder="1" applyAlignment="1" applyProtection="1">
      <alignment horizontal="center" vertical="center"/>
      <protection locked="0"/>
    </xf>
    <xf numFmtId="49" fontId="9" fillId="2" borderId="90" xfId="0" applyNumberFormat="1" applyFont="1" applyFill="1" applyBorder="1" applyAlignment="1">
      <alignment horizontal="center" vertical="center"/>
    </xf>
    <xf numFmtId="49" fontId="9" fillId="2" borderId="91" xfId="0" applyNumberFormat="1" applyFont="1" applyFill="1" applyBorder="1" applyAlignment="1">
      <alignment horizontal="center" vertical="center"/>
    </xf>
    <xf numFmtId="49" fontId="9" fillId="2" borderId="92" xfId="0" applyNumberFormat="1" applyFont="1" applyFill="1" applyBorder="1" applyAlignment="1">
      <alignment horizontal="center" vertical="center"/>
    </xf>
    <xf numFmtId="2" fontId="9" fillId="2" borderId="90" xfId="0" applyNumberFormat="1" applyFont="1" applyFill="1" applyBorder="1" applyAlignment="1">
      <alignment horizontal="center" vertical="center"/>
    </xf>
    <xf numFmtId="2" fontId="9" fillId="2" borderId="91" xfId="0" applyNumberFormat="1" applyFont="1" applyFill="1" applyBorder="1" applyAlignment="1">
      <alignment horizontal="center" vertical="center"/>
    </xf>
    <xf numFmtId="0" fontId="41" fillId="2" borderId="99" xfId="0" applyFont="1" applyFill="1" applyBorder="1" applyAlignment="1">
      <alignment horizontal="center" vertical="center"/>
    </xf>
    <xf numFmtId="0" fontId="41" fillId="2" borderId="0" xfId="0" applyFont="1" applyFill="1" applyAlignment="1">
      <alignment horizontal="center" vertical="center"/>
    </xf>
    <xf numFmtId="0" fontId="41" fillId="2" borderId="105" xfId="0" applyFont="1" applyFill="1" applyBorder="1" applyAlignment="1">
      <alignment horizontal="center" vertical="center"/>
    </xf>
    <xf numFmtId="0" fontId="41" fillId="2" borderId="106" xfId="0" applyFont="1" applyFill="1" applyBorder="1" applyAlignment="1">
      <alignment horizontal="center" vertical="center"/>
    </xf>
    <xf numFmtId="0" fontId="41" fillId="2" borderId="107" xfId="0" applyFont="1" applyFill="1" applyBorder="1" applyAlignment="1">
      <alignment horizontal="center" vertical="center"/>
    </xf>
    <xf numFmtId="0" fontId="41" fillId="2" borderId="111" xfId="0" applyFont="1" applyFill="1" applyBorder="1" applyAlignment="1">
      <alignment horizontal="left" vertical="center" wrapText="1"/>
    </xf>
    <xf numFmtId="0" fontId="41" fillId="6" borderId="111" xfId="0" applyFont="1" applyFill="1" applyBorder="1" applyAlignment="1" applyProtection="1">
      <alignment horizontal="center" vertical="center"/>
      <protection locked="0"/>
    </xf>
    <xf numFmtId="0" fontId="41" fillId="0" borderId="99" xfId="0" applyFont="1" applyBorder="1" applyAlignment="1">
      <alignment horizontal="center" vertical="center"/>
    </xf>
    <xf numFmtId="0" fontId="41" fillId="0" borderId="101" xfId="0" applyFont="1" applyBorder="1" applyAlignment="1">
      <alignment horizontal="center" vertical="center"/>
    </xf>
    <xf numFmtId="0" fontId="41" fillId="0" borderId="21" xfId="0" applyFont="1" applyBorder="1" applyAlignment="1">
      <alignment horizontal="center" vertical="center"/>
    </xf>
    <xf numFmtId="0" fontId="41" fillId="0" borderId="15" xfId="0" applyFont="1" applyBorder="1" applyAlignment="1">
      <alignment horizontal="center" vertical="center"/>
    </xf>
    <xf numFmtId="0" fontId="41" fillId="0" borderId="105" xfId="0" applyFont="1" applyBorder="1" applyAlignment="1">
      <alignment horizontal="center" vertical="center"/>
    </xf>
    <xf numFmtId="0" fontId="41" fillId="0" borderId="107" xfId="0" applyFont="1" applyBorder="1" applyAlignment="1">
      <alignment horizontal="center" vertical="center"/>
    </xf>
    <xf numFmtId="0" fontId="41" fillId="2" borderId="99" xfId="0" applyFont="1" applyFill="1" applyBorder="1" applyAlignment="1">
      <alignment horizontal="left" vertical="center" wrapText="1"/>
    </xf>
    <xf numFmtId="0" fontId="41" fillId="2" borderId="100" xfId="0" applyFont="1" applyFill="1" applyBorder="1" applyAlignment="1">
      <alignment horizontal="left" vertical="center" wrapText="1"/>
    </xf>
    <xf numFmtId="0" fontId="41" fillId="2" borderId="101" xfId="0" applyFont="1" applyFill="1" applyBorder="1" applyAlignment="1">
      <alignment horizontal="left" vertical="center" wrapText="1"/>
    </xf>
    <xf numFmtId="0" fontId="41" fillId="5" borderId="10" xfId="0" applyFont="1" applyFill="1" applyBorder="1" applyAlignment="1">
      <alignment horizontal="center" vertical="center"/>
    </xf>
    <xf numFmtId="0" fontId="9" fillId="2" borderId="21"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15" xfId="0" applyFont="1" applyFill="1" applyBorder="1" applyAlignment="1">
      <alignment horizontal="center" vertical="center" wrapText="1" shrinkToFit="1"/>
    </xf>
    <xf numFmtId="0" fontId="9" fillId="2" borderId="15"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61" xfId="0" applyFont="1" applyFill="1" applyBorder="1" applyAlignment="1">
      <alignment horizontal="center" vertical="center"/>
    </xf>
    <xf numFmtId="0" fontId="9" fillId="2" borderId="62" xfId="0" applyFont="1" applyFill="1" applyBorder="1" applyAlignment="1">
      <alignment horizontal="center" vertical="center"/>
    </xf>
    <xf numFmtId="0" fontId="9" fillId="2" borderId="63" xfId="0" applyFont="1" applyFill="1" applyBorder="1" applyAlignment="1">
      <alignment horizontal="center" vertical="center"/>
    </xf>
    <xf numFmtId="0" fontId="9" fillId="4" borderId="403" xfId="0" applyFont="1" applyFill="1" applyBorder="1" applyAlignment="1" applyProtection="1">
      <alignment horizontal="center" vertical="center"/>
      <protection locked="0"/>
    </xf>
    <xf numFmtId="0" fontId="9" fillId="4" borderId="146" xfId="0" applyFont="1" applyFill="1" applyBorder="1" applyAlignment="1" applyProtection="1">
      <alignment horizontal="center" vertical="center"/>
      <protection locked="0"/>
    </xf>
    <xf numFmtId="49" fontId="9" fillId="2" borderId="61" xfId="0" applyNumberFormat="1" applyFont="1" applyFill="1" applyBorder="1" applyAlignment="1">
      <alignment horizontal="center" vertical="center"/>
    </xf>
    <xf numFmtId="49" fontId="9" fillId="2" borderId="62" xfId="0" applyNumberFormat="1" applyFont="1" applyFill="1" applyBorder="1" applyAlignment="1">
      <alignment horizontal="center" vertical="center"/>
    </xf>
    <xf numFmtId="49" fontId="9" fillId="2" borderId="63" xfId="0" applyNumberFormat="1" applyFont="1" applyFill="1" applyBorder="1" applyAlignment="1">
      <alignment horizontal="center" vertical="center"/>
    </xf>
    <xf numFmtId="2" fontId="9" fillId="2" borderId="61" xfId="0" applyNumberFormat="1" applyFont="1" applyFill="1" applyBorder="1" applyAlignment="1">
      <alignment horizontal="center" vertical="center"/>
    </xf>
    <xf numFmtId="2" fontId="9" fillId="2" borderId="62" xfId="0" applyNumberFormat="1" applyFont="1" applyFill="1" applyBorder="1" applyAlignment="1">
      <alignment horizontal="center" vertical="center"/>
    </xf>
    <xf numFmtId="0" fontId="22" fillId="0" borderId="19"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403" xfId="0" applyFont="1" applyBorder="1" applyAlignment="1">
      <alignment horizontal="center" vertical="center" wrapText="1"/>
    </xf>
    <xf numFmtId="0" fontId="22" fillId="0" borderId="146" xfId="0" applyFont="1" applyBorder="1" applyAlignment="1">
      <alignment horizontal="center" vertical="center" wrapText="1"/>
    </xf>
    <xf numFmtId="207" fontId="9" fillId="2" borderId="33" xfId="0" applyNumberFormat="1" applyFont="1" applyFill="1" applyBorder="1" applyAlignment="1">
      <alignment horizontal="center" vertical="center" shrinkToFit="1"/>
    </xf>
    <xf numFmtId="207" fontId="9" fillId="2" borderId="146" xfId="0" applyNumberFormat="1" applyFont="1" applyFill="1" applyBorder="1" applyAlignment="1">
      <alignment horizontal="center" vertical="center" shrinkToFit="1"/>
    </xf>
    <xf numFmtId="0" fontId="9" fillId="2" borderId="398" xfId="0" applyFont="1" applyFill="1" applyBorder="1" applyAlignment="1">
      <alignment horizontal="center" vertical="center" shrinkToFit="1"/>
    </xf>
    <xf numFmtId="0" fontId="41" fillId="3" borderId="11" xfId="0" applyFont="1" applyFill="1" applyBorder="1" applyAlignment="1">
      <alignment horizontal="center" vertical="center"/>
    </xf>
    <xf numFmtId="0" fontId="41" fillId="3" borderId="36" xfId="0" applyFont="1" applyFill="1" applyBorder="1" applyAlignment="1">
      <alignment horizontal="center" vertical="center"/>
    </xf>
    <xf numFmtId="0" fontId="41" fillId="3" borderId="31" xfId="0" applyFont="1" applyFill="1" applyBorder="1" applyAlignment="1">
      <alignment horizontal="center" vertical="center"/>
    </xf>
    <xf numFmtId="0" fontId="41" fillId="3" borderId="448" xfId="0" applyFont="1" applyFill="1" applyBorder="1" applyAlignment="1">
      <alignment horizontal="center" vertical="center"/>
    </xf>
    <xf numFmtId="0" fontId="41" fillId="3" borderId="117" xfId="0" applyFont="1" applyFill="1" applyBorder="1" applyAlignment="1">
      <alignment horizontal="center" vertical="center"/>
    </xf>
    <xf numFmtId="0" fontId="41" fillId="3" borderId="55" xfId="0" applyFont="1" applyFill="1" applyBorder="1" applyAlignment="1">
      <alignment horizontal="center" vertical="center"/>
    </xf>
    <xf numFmtId="0" fontId="41" fillId="3" borderId="5" xfId="0" applyFont="1" applyFill="1" applyBorder="1" applyAlignment="1">
      <alignment horizontal="center" vertical="center"/>
    </xf>
    <xf numFmtId="0" fontId="41" fillId="3" borderId="29" xfId="0" applyFont="1" applyFill="1" applyBorder="1" applyAlignment="1">
      <alignment horizontal="center" vertical="center"/>
    </xf>
    <xf numFmtId="0" fontId="41" fillId="3" borderId="56" xfId="0" applyFont="1" applyFill="1" applyBorder="1" applyAlignment="1">
      <alignment horizontal="center" vertical="center"/>
    </xf>
    <xf numFmtId="0" fontId="41" fillId="3" borderId="40" xfId="0" applyFont="1" applyFill="1" applyBorder="1" applyAlignment="1">
      <alignment horizontal="center" vertical="center"/>
    </xf>
    <xf numFmtId="0" fontId="41" fillId="2" borderId="105" xfId="0" applyFont="1" applyFill="1" applyBorder="1" applyAlignment="1">
      <alignment horizontal="center" vertical="center" shrinkToFit="1"/>
    </xf>
    <xf numFmtId="0" fontId="41" fillId="2" borderId="106" xfId="0" applyFont="1" applyFill="1" applyBorder="1" applyAlignment="1">
      <alignment horizontal="center" vertical="center" shrinkToFit="1"/>
    </xf>
    <xf numFmtId="0" fontId="41" fillId="2" borderId="107" xfId="0" applyFont="1" applyFill="1" applyBorder="1" applyAlignment="1">
      <alignment horizontal="center" vertical="center" shrinkToFit="1"/>
    </xf>
    <xf numFmtId="0" fontId="41" fillId="2" borderId="134" xfId="0" applyFont="1" applyFill="1" applyBorder="1" applyAlignment="1">
      <alignment horizontal="left" vertical="center"/>
    </xf>
    <xf numFmtId="0" fontId="41" fillId="6" borderId="134" xfId="0" applyFont="1" applyFill="1" applyBorder="1" applyAlignment="1" applyProtection="1">
      <alignment horizontal="center" vertical="center"/>
      <protection locked="0"/>
    </xf>
    <xf numFmtId="0" fontId="41" fillId="0" borderId="186" xfId="0" applyFont="1" applyBorder="1" applyAlignment="1">
      <alignment horizontal="center" vertical="center"/>
    </xf>
    <xf numFmtId="0" fontId="41" fillId="0" borderId="188" xfId="0" applyFont="1" applyBorder="1" applyAlignment="1">
      <alignment horizontal="center" vertical="center"/>
    </xf>
    <xf numFmtId="0" fontId="41" fillId="2" borderId="99" xfId="0" applyFont="1" applyFill="1" applyBorder="1" applyAlignment="1">
      <alignment horizontal="center" vertical="center" shrinkToFit="1"/>
    </xf>
    <xf numFmtId="0" fontId="41" fillId="2" borderId="101" xfId="0" applyFont="1" applyFill="1" applyBorder="1" applyAlignment="1">
      <alignment horizontal="center" vertical="center" shrinkToFit="1"/>
    </xf>
    <xf numFmtId="0" fontId="41" fillId="2" borderId="102" xfId="0" applyFont="1" applyFill="1" applyBorder="1" applyAlignment="1">
      <alignment horizontal="center" vertical="center" shrinkToFit="1"/>
    </xf>
    <xf numFmtId="0" fontId="41" fillId="2" borderId="103" xfId="0" applyFont="1" applyFill="1" applyBorder="1" applyAlignment="1">
      <alignment horizontal="center" vertical="center" shrinkToFit="1"/>
    </xf>
    <xf numFmtId="0" fontId="41" fillId="6" borderId="130" xfId="0" applyFont="1" applyFill="1" applyBorder="1" applyAlignment="1" applyProtection="1">
      <alignment horizontal="center" vertical="center" shrinkToFit="1"/>
      <protection locked="0"/>
    </xf>
    <xf numFmtId="0" fontId="41" fillId="6" borderId="128" xfId="0" applyFont="1" applyFill="1" applyBorder="1" applyAlignment="1" applyProtection="1">
      <alignment horizontal="center" vertical="center" shrinkToFit="1"/>
      <protection locked="0"/>
    </xf>
    <xf numFmtId="0" fontId="41" fillId="2" borderId="189" xfId="0" applyFont="1" applyFill="1" applyBorder="1" applyAlignment="1">
      <alignment horizontal="center" vertical="center" shrinkToFit="1"/>
    </xf>
    <xf numFmtId="0" fontId="41" fillId="2" borderId="190" xfId="0" applyFont="1" applyFill="1" applyBorder="1" applyAlignment="1">
      <alignment horizontal="center" vertical="center" shrinkToFit="1"/>
    </xf>
    <xf numFmtId="38" fontId="41" fillId="4" borderId="191" xfId="4" applyFont="1" applyFill="1" applyBorder="1" applyAlignment="1" applyProtection="1">
      <alignment horizontal="center" vertical="center" shrinkToFit="1"/>
      <protection locked="0"/>
    </xf>
    <xf numFmtId="38" fontId="41" fillId="4" borderId="189" xfId="4" applyFont="1" applyFill="1" applyBorder="1" applyAlignment="1" applyProtection="1">
      <alignment horizontal="center" vertical="center" shrinkToFit="1"/>
      <protection locked="0"/>
    </xf>
    <xf numFmtId="0" fontId="41" fillId="2" borderId="13" xfId="0" applyFont="1" applyFill="1" applyBorder="1" applyAlignment="1">
      <alignment horizontal="center" vertical="center" shrinkToFit="1"/>
    </xf>
    <xf numFmtId="0" fontId="41" fillId="2" borderId="450" xfId="0" applyFont="1" applyFill="1" applyBorder="1" applyAlignment="1">
      <alignment horizontal="center" vertical="center" shrinkToFit="1"/>
    </xf>
    <xf numFmtId="0" fontId="41" fillId="2" borderId="128" xfId="0" applyFont="1" applyFill="1" applyBorder="1" applyAlignment="1">
      <alignment horizontal="center" vertical="center" shrinkToFit="1"/>
    </xf>
    <xf numFmtId="0" fontId="41" fillId="2" borderId="129" xfId="0" applyFont="1" applyFill="1" applyBorder="1" applyAlignment="1">
      <alignment horizontal="center" vertical="center" shrinkToFit="1"/>
    </xf>
    <xf numFmtId="0" fontId="41" fillId="6" borderId="130" xfId="0" applyFont="1" applyFill="1" applyBorder="1" applyAlignment="1" applyProtection="1">
      <alignment horizontal="center" vertical="center" wrapText="1" shrinkToFit="1"/>
      <protection locked="0"/>
    </xf>
    <xf numFmtId="0" fontId="41" fillId="6" borderId="128" xfId="0" applyFont="1" applyFill="1" applyBorder="1" applyAlignment="1" applyProtection="1">
      <alignment horizontal="center" vertical="center" wrapText="1" shrinkToFit="1"/>
      <protection locked="0"/>
    </xf>
    <xf numFmtId="0" fontId="41" fillId="2" borderId="20" xfId="0" applyFont="1" applyFill="1" applyBorder="1" applyAlignment="1">
      <alignment horizontal="center" vertical="center"/>
    </xf>
    <xf numFmtId="0" fontId="41" fillId="2" borderId="451" xfId="0" applyFont="1" applyFill="1" applyBorder="1" applyAlignment="1">
      <alignment horizontal="center" vertical="center" shrinkToFit="1"/>
    </xf>
    <xf numFmtId="0" fontId="41" fillId="2" borderId="91" xfId="0" applyFont="1" applyFill="1" applyBorder="1" applyAlignment="1">
      <alignment horizontal="center" vertical="center" shrinkToFit="1"/>
    </xf>
    <xf numFmtId="0" fontId="41" fillId="2" borderId="92" xfId="0" applyFont="1" applyFill="1" applyBorder="1" applyAlignment="1">
      <alignment horizontal="center" vertical="center" shrinkToFit="1"/>
    </xf>
    <xf numFmtId="0" fontId="41" fillId="6" borderId="90" xfId="0" applyFont="1" applyFill="1" applyBorder="1" applyAlignment="1" applyProtection="1">
      <alignment horizontal="center" vertical="center" shrinkToFit="1"/>
      <protection locked="0"/>
    </xf>
    <xf numFmtId="0" fontId="41" fillId="6" borderId="91" xfId="0" applyFont="1" applyFill="1" applyBorder="1" applyAlignment="1" applyProtection="1">
      <alignment horizontal="center" vertical="center" shrinkToFit="1"/>
      <protection locked="0"/>
    </xf>
    <xf numFmtId="0" fontId="41" fillId="2" borderId="99" xfId="0" applyFont="1" applyFill="1" applyBorder="1" applyAlignment="1">
      <alignment horizontal="center" vertical="center" wrapText="1" shrinkToFit="1"/>
    </xf>
    <xf numFmtId="0" fontId="41" fillId="2" borderId="100" xfId="0" applyFont="1" applyFill="1" applyBorder="1" applyAlignment="1">
      <alignment horizontal="center" vertical="center" wrapText="1" shrinkToFit="1"/>
    </xf>
    <xf numFmtId="0" fontId="41" fillId="2" borderId="101" xfId="0" applyFont="1" applyFill="1" applyBorder="1" applyAlignment="1">
      <alignment horizontal="center" vertical="center" wrapText="1" shrinkToFit="1"/>
    </xf>
    <xf numFmtId="38" fontId="41" fillId="2" borderId="99" xfId="0" applyNumberFormat="1" applyFont="1" applyFill="1" applyBorder="1" applyAlignment="1">
      <alignment horizontal="center" vertical="center" shrinkToFit="1"/>
    </xf>
    <xf numFmtId="38" fontId="41" fillId="2" borderId="100" xfId="0" applyNumberFormat="1" applyFont="1" applyFill="1" applyBorder="1" applyAlignment="1">
      <alignment horizontal="center" vertical="center" shrinkToFit="1"/>
    </xf>
    <xf numFmtId="0" fontId="41" fillId="2" borderId="102" xfId="0" applyFont="1" applyFill="1" applyBorder="1" applyAlignment="1">
      <alignment horizontal="center" vertical="center" wrapText="1" shrinkToFit="1"/>
    </xf>
    <xf numFmtId="0" fontId="41" fillId="2" borderId="103" xfId="0" applyFont="1" applyFill="1" applyBorder="1" applyAlignment="1">
      <alignment horizontal="center" vertical="center" wrapText="1" shrinkToFit="1"/>
    </xf>
    <xf numFmtId="0" fontId="41" fillId="6" borderId="191" xfId="0" applyFont="1" applyFill="1" applyBorder="1" applyAlignment="1" applyProtection="1">
      <alignment horizontal="center" vertical="center" shrinkToFit="1"/>
      <protection locked="0"/>
    </xf>
    <xf numFmtId="0" fontId="41" fillId="0" borderId="57" xfId="0" applyFont="1" applyBorder="1" applyAlignment="1">
      <alignment horizontal="center" vertical="center"/>
    </xf>
    <xf numFmtId="0" fontId="64" fillId="2" borderId="0" xfId="0" applyFont="1" applyFill="1" applyAlignment="1">
      <alignment horizontal="left" vertical="center"/>
    </xf>
    <xf numFmtId="0" fontId="42" fillId="2" borderId="0" xfId="0" applyFont="1" applyFill="1" applyAlignment="1">
      <alignment horizontal="left" vertical="center"/>
    </xf>
    <xf numFmtId="0" fontId="41" fillId="2" borderId="186" xfId="0" applyFont="1" applyFill="1" applyBorder="1" applyAlignment="1">
      <alignment horizontal="center" vertical="center"/>
    </xf>
    <xf numFmtId="0" fontId="41" fillId="2" borderId="188" xfId="0" applyFont="1" applyFill="1" applyBorder="1" applyAlignment="1">
      <alignment horizontal="center" vertical="center"/>
    </xf>
    <xf numFmtId="0" fontId="41" fillId="0" borderId="4" xfId="0" applyFont="1" applyBorder="1" applyAlignment="1">
      <alignment horizontal="center" vertical="center"/>
    </xf>
    <xf numFmtId="0" fontId="52" fillId="2" borderId="10" xfId="0" applyFont="1" applyFill="1" applyBorder="1" applyAlignment="1">
      <alignment horizontal="left" vertical="center"/>
    </xf>
    <xf numFmtId="0" fontId="48" fillId="2" borderId="4" xfId="0" applyFont="1" applyFill="1" applyBorder="1" applyAlignment="1">
      <alignment horizontal="center" vertical="center"/>
    </xf>
    <xf numFmtId="0" fontId="48" fillId="2" borderId="192" xfId="0" applyFont="1" applyFill="1" applyBorder="1" applyAlignment="1">
      <alignment horizontal="center" vertical="center"/>
    </xf>
    <xf numFmtId="0" fontId="48" fillId="2" borderId="197" xfId="0" applyFont="1" applyFill="1" applyBorder="1" applyAlignment="1">
      <alignment horizontal="center" vertical="center"/>
    </xf>
    <xf numFmtId="0" fontId="48" fillId="2" borderId="41" xfId="0" applyFont="1" applyFill="1" applyBorder="1" applyAlignment="1">
      <alignment horizontal="center" vertical="center"/>
    </xf>
    <xf numFmtId="0" fontId="48" fillId="2" borderId="115" xfId="0" applyFont="1" applyFill="1" applyBorder="1" applyAlignment="1">
      <alignment horizontal="center" vertical="center"/>
    </xf>
    <xf numFmtId="9" fontId="48" fillId="2" borderId="58" xfId="5" applyFont="1" applyFill="1" applyBorder="1" applyAlignment="1" applyProtection="1">
      <alignment horizontal="center" vertical="center"/>
    </xf>
    <xf numFmtId="9" fontId="48" fillId="2" borderId="43" xfId="5" applyFont="1" applyFill="1" applyBorder="1" applyAlignment="1" applyProtection="1">
      <alignment horizontal="center" vertical="center"/>
    </xf>
    <xf numFmtId="0" fontId="48" fillId="5" borderId="0" xfId="0" applyFont="1" applyFill="1" applyAlignment="1" applyProtection="1">
      <alignment horizontal="center" vertical="center"/>
      <protection locked="0"/>
    </xf>
    <xf numFmtId="0" fontId="61" fillId="2" borderId="0" xfId="0" applyFont="1" applyFill="1" applyAlignment="1">
      <alignment horizontal="center" vertical="center"/>
    </xf>
    <xf numFmtId="0" fontId="48" fillId="2" borderId="0" xfId="0" applyFont="1" applyFill="1" applyAlignment="1">
      <alignment horizontal="left" vertical="center" wrapText="1"/>
    </xf>
    <xf numFmtId="0" fontId="48" fillId="2" borderId="0" xfId="0" applyFont="1" applyFill="1" applyAlignment="1">
      <alignment horizontal="left" vertical="center"/>
    </xf>
    <xf numFmtId="0" fontId="48" fillId="2" borderId="0" xfId="0" applyFont="1" applyFill="1" applyAlignment="1">
      <alignment horizontal="left" vertical="center" shrinkToFit="1"/>
    </xf>
    <xf numFmtId="0" fontId="51" fillId="2" borderId="0" xfId="0" applyFont="1" applyFill="1" applyAlignment="1">
      <alignment horizontal="left" vertical="center"/>
    </xf>
    <xf numFmtId="0" fontId="48" fillId="2" borderId="0" xfId="0" applyFont="1" applyFill="1" applyAlignment="1">
      <alignment horizontal="center" vertical="center"/>
    </xf>
    <xf numFmtId="0" fontId="49" fillId="7" borderId="0" xfId="0" applyFont="1" applyFill="1" applyAlignment="1">
      <alignment horizontal="center" vertical="center" shrinkToFit="1"/>
    </xf>
    <xf numFmtId="179" fontId="48" fillId="2" borderId="0" xfId="0" applyNumberFormat="1" applyFont="1" applyFill="1" applyAlignment="1">
      <alignment horizontal="center" vertical="center"/>
    </xf>
    <xf numFmtId="0" fontId="48" fillId="5" borderId="0" xfId="0" applyFont="1" applyFill="1" applyAlignment="1" applyProtection="1">
      <alignment horizontal="left" vertical="center" shrinkToFit="1"/>
      <protection locked="0"/>
    </xf>
    <xf numFmtId="0" fontId="48" fillId="2" borderId="41" xfId="0" applyFont="1" applyFill="1" applyBorder="1" applyAlignment="1">
      <alignment horizontal="center" vertical="center" shrinkToFit="1"/>
    </xf>
    <xf numFmtId="0" fontId="48" fillId="2" borderId="115" xfId="0" applyFont="1" applyFill="1" applyBorder="1" applyAlignment="1">
      <alignment horizontal="center" vertical="center" shrinkToFit="1"/>
    </xf>
    <xf numFmtId="0" fontId="52" fillId="2" borderId="37" xfId="0" applyFont="1" applyFill="1" applyBorder="1" applyAlignment="1">
      <alignment horizontal="center" vertical="center"/>
    </xf>
    <xf numFmtId="0" fontId="52" fillId="2" borderId="0" xfId="0" applyFont="1" applyFill="1" applyAlignment="1">
      <alignment horizontal="center" vertical="center"/>
    </xf>
    <xf numFmtId="0" fontId="48" fillId="4" borderId="0" xfId="0" applyFont="1" applyFill="1" applyAlignment="1" applyProtection="1">
      <alignment horizontal="center" vertical="center"/>
      <protection locked="0"/>
    </xf>
    <xf numFmtId="0" fontId="48" fillId="2" borderId="10" xfId="0" applyFont="1" applyFill="1" applyBorder="1" applyAlignment="1">
      <alignment horizontal="center" vertical="center"/>
    </xf>
    <xf numFmtId="0" fontId="50" fillId="2" borderId="0" xfId="0" applyFont="1" applyFill="1" applyAlignment="1">
      <alignment horizontal="center" vertical="center"/>
    </xf>
    <xf numFmtId="179" fontId="49" fillId="2" borderId="0" xfId="0" applyNumberFormat="1" applyFont="1" applyFill="1" applyAlignment="1">
      <alignment horizontal="center" vertical="center" shrinkToFit="1"/>
    </xf>
    <xf numFmtId="0" fontId="48" fillId="6" borderId="0" xfId="0" applyFont="1" applyFill="1" applyAlignment="1" applyProtection="1">
      <alignment horizontal="center" vertical="center"/>
      <protection locked="0"/>
    </xf>
    <xf numFmtId="0" fontId="48" fillId="2" borderId="0" xfId="0" applyFont="1" applyFill="1" applyAlignment="1">
      <alignment horizontal="center" vertical="center" wrapText="1"/>
    </xf>
    <xf numFmtId="0" fontId="9" fillId="3" borderId="235" xfId="3" applyFont="1" applyFill="1" applyBorder="1" applyAlignment="1">
      <alignment horizontal="center" vertical="center" shrinkToFit="1"/>
    </xf>
    <xf numFmtId="0" fontId="9" fillId="3" borderId="241" xfId="3" applyFont="1" applyFill="1" applyBorder="1" applyAlignment="1">
      <alignment horizontal="center" vertical="center" shrinkToFit="1"/>
    </xf>
    <xf numFmtId="0" fontId="9" fillId="3" borderId="234" xfId="3" applyFont="1" applyFill="1" applyBorder="1" applyAlignment="1">
      <alignment horizontal="center" vertical="center" shrinkToFit="1"/>
    </xf>
    <xf numFmtId="0" fontId="9" fillId="3" borderId="240" xfId="3" applyFont="1" applyFill="1" applyBorder="1" applyAlignment="1">
      <alignment horizontal="center" vertical="center" shrinkToFit="1"/>
    </xf>
    <xf numFmtId="0" fontId="34" fillId="3" borderId="235" xfId="3" applyFont="1" applyFill="1" applyBorder="1" applyAlignment="1">
      <alignment horizontal="center" vertical="center" wrapText="1" shrinkToFit="1"/>
    </xf>
    <xf numFmtId="0" fontId="34" fillId="3" borderId="241" xfId="3" applyFont="1" applyFill="1" applyBorder="1" applyAlignment="1">
      <alignment horizontal="center" vertical="center" shrinkToFit="1"/>
    </xf>
    <xf numFmtId="0" fontId="9" fillId="3" borderId="236" xfId="3" applyFont="1" applyFill="1" applyBorder="1" applyAlignment="1">
      <alignment horizontal="center" vertical="center" shrinkToFit="1"/>
    </xf>
    <xf numFmtId="0" fontId="9" fillId="3" borderId="242" xfId="3" applyFont="1" applyFill="1" applyBorder="1" applyAlignment="1">
      <alignment horizontal="center" vertical="center" shrinkToFit="1"/>
    </xf>
    <xf numFmtId="0" fontId="34" fillId="3" borderId="234" xfId="3" applyFont="1" applyFill="1" applyBorder="1" applyAlignment="1">
      <alignment horizontal="center" vertical="center" wrapText="1" shrinkToFit="1"/>
    </xf>
    <xf numFmtId="0" fontId="34" fillId="3" borderId="240" xfId="3" applyFont="1" applyFill="1" applyBorder="1" applyAlignment="1">
      <alignment horizontal="center" vertical="center" wrapText="1" shrinkToFit="1"/>
    </xf>
    <xf numFmtId="14" fontId="9" fillId="3" borderId="9" xfId="3" applyNumberFormat="1" applyFont="1" applyFill="1" applyBorder="1" applyAlignment="1">
      <alignment horizontal="center" vertical="center" shrinkToFit="1"/>
    </xf>
    <xf numFmtId="14" fontId="9" fillId="3" borderId="79" xfId="3" applyNumberFormat="1" applyFont="1" applyFill="1" applyBorder="1" applyAlignment="1">
      <alignment horizontal="center" vertical="center" shrinkToFit="1"/>
    </xf>
    <xf numFmtId="0" fontId="22" fillId="0" borderId="254" xfId="0" applyFont="1" applyBorder="1" applyAlignment="1">
      <alignment horizontal="center" vertical="center" wrapText="1" shrinkToFit="1"/>
    </xf>
    <xf numFmtId="0" fontId="22" fillId="0" borderId="0" xfId="0" applyFont="1" applyAlignment="1">
      <alignment horizontal="center" vertical="center" wrapText="1" shrinkToFit="1"/>
    </xf>
    <xf numFmtId="0" fontId="22" fillId="0" borderId="39" xfId="0" applyFont="1" applyBorder="1" applyAlignment="1">
      <alignment horizontal="center" vertical="center" wrapText="1" shrinkToFit="1"/>
    </xf>
    <xf numFmtId="0" fontId="9" fillId="3" borderId="11" xfId="3" applyFont="1" applyFill="1" applyBorder="1" applyAlignment="1">
      <alignment horizontal="center" vertical="center" shrinkToFit="1"/>
    </xf>
    <xf numFmtId="0" fontId="9" fillId="3" borderId="12" xfId="3" applyFont="1" applyFill="1" applyBorder="1" applyAlignment="1">
      <alignment horizontal="center" vertical="center" shrinkToFit="1"/>
    </xf>
    <xf numFmtId="0" fontId="9" fillId="3" borderId="30" xfId="3" applyFont="1" applyFill="1" applyBorder="1" applyAlignment="1">
      <alignment horizontal="center" vertical="center" shrinkToFit="1"/>
    </xf>
    <xf numFmtId="0" fontId="9" fillId="3" borderId="36" xfId="3" applyFont="1" applyFill="1" applyBorder="1" applyAlignment="1">
      <alignment horizontal="center" vertical="center" shrinkToFit="1"/>
    </xf>
    <xf numFmtId="0" fontId="9" fillId="3" borderId="21" xfId="3" applyFont="1" applyFill="1" applyBorder="1" applyAlignment="1">
      <alignment horizontal="center" vertical="center" shrinkToFit="1"/>
    </xf>
    <xf numFmtId="0" fontId="9" fillId="3" borderId="56" xfId="3" applyFont="1" applyFill="1" applyBorder="1" applyAlignment="1">
      <alignment horizontal="center" vertical="center" shrinkToFit="1"/>
    </xf>
    <xf numFmtId="0" fontId="22" fillId="3" borderId="75" xfId="0" applyFont="1" applyFill="1" applyBorder="1" applyAlignment="1">
      <alignment horizontal="center" vertical="center" shrinkToFit="1"/>
    </xf>
    <xf numFmtId="0" fontId="22" fillId="3" borderId="51" xfId="0" applyFont="1" applyFill="1" applyBorder="1" applyAlignment="1">
      <alignment horizontal="center" vertical="center" shrinkToFit="1"/>
    </xf>
    <xf numFmtId="0" fontId="22" fillId="3" borderId="131" xfId="0" applyFont="1" applyFill="1" applyBorder="1" applyAlignment="1">
      <alignment horizontal="center" vertical="center" shrinkToFit="1"/>
    </xf>
    <xf numFmtId="0" fontId="9" fillId="3" borderId="233" xfId="3" applyFont="1" applyFill="1" applyBorder="1" applyAlignment="1">
      <alignment horizontal="center" vertical="center" shrinkToFit="1"/>
    </xf>
    <xf numFmtId="0" fontId="9" fillId="3" borderId="239" xfId="3" applyFont="1" applyFill="1" applyBorder="1" applyAlignment="1">
      <alignment horizontal="center" vertical="center" shrinkToFit="1"/>
    </xf>
    <xf numFmtId="197" fontId="9" fillId="3" borderId="234" xfId="3" applyNumberFormat="1" applyFont="1" applyFill="1" applyBorder="1" applyAlignment="1">
      <alignment horizontal="center" vertical="center" shrinkToFit="1"/>
    </xf>
    <xf numFmtId="197" fontId="9" fillId="3" borderId="240" xfId="3" applyNumberFormat="1" applyFont="1" applyFill="1" applyBorder="1" applyAlignment="1">
      <alignment horizontal="center" vertical="center" shrinkToFit="1"/>
    </xf>
    <xf numFmtId="0" fontId="9" fillId="3" borderId="235" xfId="3" applyFont="1" applyFill="1" applyBorder="1" applyAlignment="1">
      <alignment horizontal="center" vertical="center" wrapText="1" shrinkToFit="1"/>
    </xf>
    <xf numFmtId="0" fontId="22" fillId="0" borderId="41" xfId="0" applyFont="1" applyBorder="1" applyAlignment="1">
      <alignment horizontal="center" vertical="center"/>
    </xf>
    <xf numFmtId="0" fontId="22" fillId="0" borderId="42" xfId="0" applyFont="1" applyBorder="1" applyAlignment="1">
      <alignment horizontal="center" vertical="center"/>
    </xf>
    <xf numFmtId="0" fontId="22" fillId="0" borderId="43" xfId="0" applyFont="1" applyBorder="1" applyAlignment="1">
      <alignment horizontal="center" vertical="center"/>
    </xf>
    <xf numFmtId="0" fontId="22" fillId="0" borderId="24" xfId="0" applyFont="1" applyBorder="1" applyAlignment="1">
      <alignment horizontal="center" vertical="center" shrinkToFit="1"/>
    </xf>
    <xf numFmtId="0" fontId="22" fillId="0" borderId="115" xfId="0" applyFont="1" applyBorder="1" applyAlignment="1">
      <alignment horizontal="center" vertical="center" shrinkToFit="1"/>
    </xf>
    <xf numFmtId="0" fontId="22" fillId="0" borderId="25" xfId="0" applyFont="1" applyBorder="1" applyAlignment="1">
      <alignment horizontal="center" vertical="center" shrinkToFit="1"/>
    </xf>
    <xf numFmtId="0" fontId="22" fillId="0" borderId="26" xfId="0" applyFont="1" applyBorder="1" applyAlignment="1">
      <alignment horizontal="center" vertical="center" shrinkToFit="1"/>
    </xf>
    <xf numFmtId="0" fontId="22" fillId="0" borderId="52" xfId="0" applyFont="1" applyBorder="1" applyAlignment="1">
      <alignment horizontal="center" vertical="center" shrinkToFit="1"/>
    </xf>
    <xf numFmtId="0" fontId="22" fillId="0" borderId="75" xfId="0" applyFont="1" applyBorder="1" applyAlignment="1">
      <alignment horizontal="center" vertical="center" shrinkToFit="1"/>
    </xf>
    <xf numFmtId="0" fontId="22" fillId="0" borderId="115" xfId="0" applyFont="1" applyBorder="1" applyAlignment="1">
      <alignment horizontal="center" vertical="center"/>
    </xf>
    <xf numFmtId="0" fontId="22" fillId="0" borderId="25" xfId="0" applyFont="1" applyBorder="1" applyAlignment="1">
      <alignment horizontal="center" vertical="center"/>
    </xf>
    <xf numFmtId="0" fontId="22" fillId="0" borderId="26" xfId="0" applyFont="1" applyBorder="1" applyAlignment="1">
      <alignment horizontal="center" vertical="center"/>
    </xf>
    <xf numFmtId="0" fontId="9" fillId="3" borderId="52" xfId="3" applyFont="1" applyFill="1" applyBorder="1" applyAlignment="1">
      <alignment horizontal="center" vertical="center" shrinkToFit="1"/>
    </xf>
    <xf numFmtId="0" fontId="9" fillId="3" borderId="50" xfId="3" applyFont="1" applyFill="1" applyBorder="1" applyAlignment="1">
      <alignment horizontal="center" vertical="center" shrinkToFit="1"/>
    </xf>
    <xf numFmtId="0" fontId="9" fillId="3" borderId="54" xfId="3" applyFont="1" applyFill="1" applyBorder="1" applyAlignment="1">
      <alignment horizontal="center" vertical="center" shrinkToFit="1"/>
    </xf>
    <xf numFmtId="0" fontId="9" fillId="3" borderId="186" xfId="3" applyFont="1" applyFill="1" applyBorder="1" applyAlignment="1">
      <alignment horizontal="center" vertical="center"/>
    </xf>
    <xf numFmtId="0" fontId="9" fillId="3" borderId="187" xfId="3" applyFont="1" applyFill="1" applyBorder="1" applyAlignment="1">
      <alignment horizontal="center" vertical="center"/>
    </xf>
    <xf numFmtId="0" fontId="9" fillId="3" borderId="188" xfId="3" applyFont="1" applyFill="1" applyBorder="1" applyAlignment="1">
      <alignment horizontal="center" vertical="center"/>
    </xf>
    <xf numFmtId="0" fontId="9" fillId="3" borderId="36" xfId="3" applyFont="1" applyFill="1" applyBorder="1" applyAlignment="1">
      <alignment horizontal="center" vertical="center" wrapText="1"/>
    </xf>
    <xf numFmtId="0" fontId="9" fillId="3" borderId="31" xfId="3" applyFont="1" applyFill="1" applyBorder="1" applyAlignment="1">
      <alignment horizontal="center" vertical="center" wrapText="1"/>
    </xf>
    <xf numFmtId="0" fontId="9" fillId="3" borderId="130" xfId="3" applyFont="1" applyFill="1" applyBorder="1" applyAlignment="1">
      <alignment horizontal="center" vertical="center"/>
    </xf>
    <xf numFmtId="0" fontId="9" fillId="3" borderId="128" xfId="3" applyFont="1" applyFill="1" applyBorder="1" applyAlignment="1">
      <alignment horizontal="center" vertical="center"/>
    </xf>
    <xf numFmtId="0" fontId="9" fillId="3" borderId="207" xfId="3" applyFont="1" applyFill="1" applyBorder="1" applyAlignment="1">
      <alignment horizontal="center" vertical="center"/>
    </xf>
    <xf numFmtId="0" fontId="9" fillId="3" borderId="101" xfId="3" applyFont="1" applyFill="1" applyBorder="1" applyAlignment="1">
      <alignment horizontal="center" vertical="center"/>
    </xf>
    <xf numFmtId="0" fontId="9" fillId="3" borderId="96" xfId="3" applyFont="1" applyFill="1" applyBorder="1" applyAlignment="1">
      <alignment horizontal="center" vertical="center"/>
    </xf>
    <xf numFmtId="0" fontId="9" fillId="3" borderId="208" xfId="3" applyFont="1" applyFill="1" applyBorder="1" applyAlignment="1">
      <alignment horizontal="center" vertical="center" shrinkToFit="1"/>
    </xf>
    <xf numFmtId="0" fontId="9" fillId="3" borderId="207" xfId="3" applyFont="1" applyFill="1" applyBorder="1" applyAlignment="1">
      <alignment horizontal="center" vertical="center" shrinkToFit="1"/>
    </xf>
    <xf numFmtId="0" fontId="9" fillId="3" borderId="35" xfId="3" applyFont="1" applyFill="1" applyBorder="1" applyAlignment="1">
      <alignment horizontal="center" vertical="center" wrapText="1"/>
    </xf>
    <xf numFmtId="0" fontId="9" fillId="3" borderId="40" xfId="3" applyFont="1" applyFill="1" applyBorder="1" applyAlignment="1">
      <alignment horizontal="center" vertical="center"/>
    </xf>
    <xf numFmtId="0" fontId="9" fillId="2" borderId="33" xfId="3" applyFont="1" applyFill="1" applyBorder="1" applyAlignment="1">
      <alignment horizontal="left" vertical="center" shrinkToFit="1"/>
    </xf>
    <xf numFmtId="0" fontId="9" fillId="2" borderId="0" xfId="3" applyFont="1" applyFill="1" applyAlignment="1">
      <alignment horizontal="left" vertical="center"/>
    </xf>
    <xf numFmtId="0" fontId="9" fillId="7" borderId="0" xfId="0" applyFont="1" applyFill="1" applyAlignment="1">
      <alignment horizontal="center" vertical="center" shrinkToFit="1"/>
    </xf>
    <xf numFmtId="0" fontId="53" fillId="2" borderId="0" xfId="3" applyFont="1" applyFill="1" applyAlignment="1">
      <alignment horizontal="right" vertical="center"/>
    </xf>
    <xf numFmtId="0" fontId="53" fillId="2" borderId="0" xfId="3" applyFont="1" applyFill="1" applyAlignment="1">
      <alignment horizontal="center" vertical="center"/>
    </xf>
    <xf numFmtId="0" fontId="9" fillId="3" borderId="41" xfId="3" applyFont="1" applyFill="1" applyBorder="1" applyAlignment="1">
      <alignment horizontal="center" vertical="center"/>
    </xf>
    <xf numFmtId="0" fontId="9" fillId="3" borderId="42" xfId="3" applyFont="1" applyFill="1" applyBorder="1" applyAlignment="1">
      <alignment horizontal="center" vertical="center"/>
    </xf>
    <xf numFmtId="0" fontId="9" fillId="3" borderId="43" xfId="3" applyFont="1" applyFill="1" applyBorder="1" applyAlignment="1">
      <alignment horizontal="center" vertical="center"/>
    </xf>
    <xf numFmtId="0" fontId="9" fillId="2" borderId="30" xfId="3" applyFont="1" applyFill="1" applyBorder="1" applyAlignment="1">
      <alignment horizontal="left" vertical="center" wrapText="1"/>
    </xf>
    <xf numFmtId="0" fontId="9" fillId="2" borderId="36" xfId="3" applyFont="1" applyFill="1" applyBorder="1" applyAlignment="1">
      <alignment horizontal="left" vertical="center" wrapText="1"/>
    </xf>
    <xf numFmtId="0" fontId="9" fillId="2" borderId="12" xfId="3" applyFont="1" applyFill="1" applyBorder="1" applyAlignment="1">
      <alignment horizontal="left" vertical="center" wrapText="1"/>
    </xf>
    <xf numFmtId="0" fontId="9" fillId="2" borderId="21" xfId="3" applyFont="1" applyFill="1" applyBorder="1" applyAlignment="1">
      <alignment horizontal="left" vertical="center" wrapText="1"/>
    </xf>
    <xf numFmtId="0" fontId="9" fillId="2" borderId="0" xfId="3" applyFont="1" applyFill="1" applyAlignment="1">
      <alignment horizontal="left" vertical="center" wrapText="1"/>
    </xf>
    <xf numFmtId="0" fontId="9" fillId="2" borderId="15" xfId="3" applyFont="1" applyFill="1" applyBorder="1" applyAlignment="1">
      <alignment horizontal="left" vertical="center" wrapText="1"/>
    </xf>
    <xf numFmtId="0" fontId="9" fillId="2" borderId="56" xfId="3" applyFont="1" applyFill="1" applyBorder="1" applyAlignment="1">
      <alignment horizontal="left" vertical="center" wrapText="1"/>
    </xf>
    <xf numFmtId="0" fontId="9" fillId="2" borderId="39" xfId="3" applyFont="1" applyFill="1" applyBorder="1" applyAlignment="1">
      <alignment horizontal="left" vertical="center" wrapText="1"/>
    </xf>
    <xf numFmtId="0" fontId="9" fillId="2" borderId="96" xfId="3" applyFont="1" applyFill="1" applyBorder="1" applyAlignment="1">
      <alignment horizontal="left" vertical="center" wrapText="1"/>
    </xf>
    <xf numFmtId="200" fontId="9" fillId="4" borderId="205" xfId="3" applyNumberFormat="1" applyFont="1" applyFill="1" applyBorder="1" applyAlignment="1" applyProtection="1">
      <alignment horizontal="center" vertical="center" shrinkToFit="1"/>
      <protection locked="0"/>
    </xf>
    <xf numFmtId="200" fontId="9" fillId="4" borderId="206" xfId="3" applyNumberFormat="1" applyFont="1" applyFill="1" applyBorder="1" applyAlignment="1" applyProtection="1">
      <alignment horizontal="center" vertical="center" shrinkToFit="1"/>
      <protection locked="0"/>
    </xf>
    <xf numFmtId="0" fontId="22" fillId="2" borderId="197" xfId="0" applyFont="1" applyFill="1" applyBorder="1" applyAlignment="1">
      <alignment horizontal="center" vertical="center"/>
    </xf>
    <xf numFmtId="0" fontId="22" fillId="2" borderId="79" xfId="0" applyFont="1" applyFill="1" applyBorder="1" applyAlignment="1">
      <alignment horizontal="center" vertical="center"/>
    </xf>
    <xf numFmtId="0" fontId="9" fillId="4" borderId="65" xfId="3" applyFont="1" applyFill="1" applyBorder="1" applyAlignment="1" applyProtection="1">
      <alignment horizontal="left" vertical="top" wrapText="1"/>
      <protection locked="0"/>
    </xf>
    <xf numFmtId="0" fontId="9" fillId="4" borderId="66" xfId="3" applyFont="1" applyFill="1" applyBorder="1" applyAlignment="1" applyProtection="1">
      <alignment horizontal="left" vertical="top" wrapText="1"/>
      <protection locked="0"/>
    </xf>
    <xf numFmtId="0" fontId="9" fillId="4" borderId="67" xfId="3" applyFont="1" applyFill="1" applyBorder="1" applyAlignment="1" applyProtection="1">
      <alignment horizontal="left" vertical="top" wrapText="1"/>
      <protection locked="0"/>
    </xf>
    <xf numFmtId="0" fontId="9" fillId="4" borderId="56" xfId="3" applyFont="1" applyFill="1" applyBorder="1" applyAlignment="1" applyProtection="1">
      <alignment horizontal="left" vertical="top" wrapText="1"/>
      <protection locked="0"/>
    </xf>
    <xf numFmtId="0" fontId="9" fillId="4" borderId="39" xfId="3" applyFont="1" applyFill="1" applyBorder="1" applyAlignment="1" applyProtection="1">
      <alignment horizontal="left" vertical="top" wrapText="1"/>
      <protection locked="0"/>
    </xf>
    <xf numFmtId="0" fontId="9" fillId="4" borderId="96" xfId="3" applyFont="1" applyFill="1" applyBorder="1" applyAlignment="1" applyProtection="1">
      <alignment horizontal="left" vertical="top" wrapText="1"/>
      <protection locked="0"/>
    </xf>
    <xf numFmtId="0" fontId="25" fillId="2" borderId="164" xfId="3" applyFont="1" applyFill="1" applyBorder="1" applyAlignment="1">
      <alignment horizontal="center" vertical="center" shrinkToFit="1"/>
    </xf>
    <xf numFmtId="0" fontId="25" fillId="2" borderId="171" xfId="3" applyFont="1" applyFill="1" applyBorder="1" applyAlignment="1">
      <alignment horizontal="center" vertical="center" shrinkToFit="1"/>
    </xf>
    <xf numFmtId="0" fontId="4" fillId="2" borderId="24" xfId="3" applyFont="1" applyFill="1" applyBorder="1" applyAlignment="1">
      <alignment horizontal="center" shrinkToFit="1"/>
    </xf>
    <xf numFmtId="0" fontId="4" fillId="2" borderId="25" xfId="3" applyFont="1" applyFill="1" applyBorder="1" applyAlignment="1">
      <alignment horizontal="center" shrinkToFit="1"/>
    </xf>
    <xf numFmtId="0" fontId="25" fillId="2" borderId="153" xfId="3" applyFont="1" applyFill="1" applyBorder="1" applyAlignment="1">
      <alignment horizontal="center" vertical="center" shrinkToFit="1"/>
    </xf>
    <xf numFmtId="0" fontId="25" fillId="2" borderId="155" xfId="3" applyFont="1" applyFill="1" applyBorder="1" applyAlignment="1">
      <alignment horizontal="center" vertical="center" shrinkToFit="1"/>
    </xf>
    <xf numFmtId="194" fontId="4" fillId="2" borderId="75" xfId="3" applyNumberFormat="1" applyFont="1" applyFill="1" applyBorder="1" applyAlignment="1">
      <alignment horizontal="center" vertical="center" shrinkToFit="1"/>
    </xf>
    <xf numFmtId="194" fontId="4" fillId="2" borderId="51" xfId="3" applyNumberFormat="1" applyFont="1" applyFill="1" applyBorder="1" applyAlignment="1">
      <alignment horizontal="center" vertical="center" shrinkToFit="1"/>
    </xf>
    <xf numFmtId="0" fontId="4" fillId="2" borderId="17" xfId="3" applyFont="1" applyFill="1" applyBorder="1" applyAlignment="1">
      <alignment horizontal="center" vertical="center" shrinkToFit="1"/>
    </xf>
    <xf numFmtId="0" fontId="4" fillId="2" borderId="14" xfId="3" applyFont="1" applyFill="1" applyBorder="1" applyAlignment="1">
      <alignment horizontal="center" vertical="center" shrinkToFit="1"/>
    </xf>
    <xf numFmtId="0" fontId="4" fillId="2" borderId="29" xfId="3" applyFont="1" applyFill="1" applyBorder="1" applyAlignment="1">
      <alignment horizontal="center" vertical="center" shrinkToFit="1"/>
    </xf>
    <xf numFmtId="0" fontId="4" fillId="2" borderId="55" xfId="3" applyFont="1" applyFill="1" applyBorder="1" applyAlignment="1">
      <alignment horizontal="center" vertical="center" shrinkToFit="1"/>
    </xf>
    <xf numFmtId="0" fontId="25" fillId="2" borderId="168" xfId="3" applyFont="1" applyFill="1" applyBorder="1" applyAlignment="1">
      <alignment horizontal="center" vertical="center" shrinkToFit="1"/>
    </xf>
    <xf numFmtId="0" fontId="25" fillId="2" borderId="169" xfId="3" applyFont="1" applyFill="1" applyBorder="1" applyAlignment="1">
      <alignment horizontal="center" vertical="center" shrinkToFit="1"/>
    </xf>
    <xf numFmtId="0" fontId="4" fillId="2" borderId="6" xfId="3" applyFont="1" applyFill="1" applyBorder="1" applyAlignment="1">
      <alignment horizontal="center" vertical="center" shrinkToFit="1"/>
    </xf>
    <xf numFmtId="0" fontId="4" fillId="2" borderId="79" xfId="3" applyFont="1" applyFill="1" applyBorder="1" applyAlignment="1">
      <alignment horizontal="center" vertical="center" shrinkToFit="1"/>
    </xf>
    <xf numFmtId="0" fontId="36" fillId="2" borderId="42" xfId="3" applyFont="1" applyFill="1" applyBorder="1" applyAlignment="1">
      <alignment horizontal="center" vertical="center" shrinkToFit="1"/>
    </xf>
    <xf numFmtId="0" fontId="36" fillId="2" borderId="43" xfId="3" applyFont="1" applyFill="1" applyBorder="1" applyAlignment="1">
      <alignment horizontal="center" vertical="center" shrinkToFit="1"/>
    </xf>
    <xf numFmtId="0" fontId="4" fillId="2" borderId="41" xfId="3" applyFont="1" applyFill="1" applyBorder="1" applyAlignment="1">
      <alignment horizontal="center" shrinkToFit="1"/>
    </xf>
    <xf numFmtId="0" fontId="4" fillId="2" borderId="42" xfId="3" applyFont="1" applyFill="1" applyBorder="1" applyAlignment="1">
      <alignment horizontal="center" shrinkToFit="1"/>
    </xf>
    <xf numFmtId="0" fontId="4" fillId="2" borderId="43" xfId="3" applyFont="1" applyFill="1" applyBorder="1" applyAlignment="1">
      <alignment horizontal="center" shrinkToFit="1"/>
    </xf>
    <xf numFmtId="0" fontId="4" fillId="4" borderId="124" xfId="3" applyFont="1" applyFill="1" applyBorder="1" applyAlignment="1" applyProtection="1">
      <alignment horizontal="center" vertical="center" shrinkToFit="1"/>
      <protection locked="0"/>
    </xf>
    <xf numFmtId="0" fontId="4" fillId="4" borderId="123" xfId="3" applyFont="1" applyFill="1" applyBorder="1" applyAlignment="1" applyProtection="1">
      <alignment horizontal="center" vertical="center" shrinkToFit="1"/>
      <protection locked="0"/>
    </xf>
    <xf numFmtId="0" fontId="9" fillId="2" borderId="37" xfId="3" applyFont="1" applyFill="1" applyBorder="1" applyAlignment="1">
      <alignment horizontal="left" vertical="center" shrinkToFit="1"/>
    </xf>
    <xf numFmtId="0" fontId="9" fillId="2" borderId="0" xfId="3" applyFont="1" applyFill="1" applyAlignment="1">
      <alignment horizontal="left" vertical="center" shrinkToFit="1"/>
    </xf>
    <xf numFmtId="0" fontId="4" fillId="2" borderId="0" xfId="3" applyFont="1" applyFill="1" applyAlignment="1">
      <alignment horizontal="center" vertical="center" shrinkToFit="1"/>
    </xf>
    <xf numFmtId="0" fontId="4" fillId="2" borderId="15" xfId="3" applyFont="1" applyFill="1" applyBorder="1" applyAlignment="1">
      <alignment horizontal="center" vertical="center" shrinkToFit="1"/>
    </xf>
    <xf numFmtId="0" fontId="4" fillId="2" borderId="39" xfId="3" applyFont="1" applyFill="1" applyBorder="1" applyAlignment="1">
      <alignment horizontal="center" vertical="center" shrinkToFit="1"/>
    </xf>
    <xf numFmtId="0" fontId="4" fillId="2" borderId="96" xfId="3" applyFont="1" applyFill="1" applyBorder="1" applyAlignment="1">
      <alignment horizontal="center" vertical="center" shrinkToFit="1"/>
    </xf>
    <xf numFmtId="0" fontId="9" fillId="2" borderId="38" xfId="3" applyFont="1" applyFill="1" applyBorder="1" applyAlignment="1">
      <alignment horizontal="left" vertical="center" shrinkToFit="1"/>
    </xf>
    <xf numFmtId="0" fontId="9" fillId="2" borderId="39" xfId="3" applyFont="1" applyFill="1" applyBorder="1" applyAlignment="1">
      <alignment horizontal="left" vertical="center" shrinkToFit="1"/>
    </xf>
    <xf numFmtId="0" fontId="4" fillId="2" borderId="52" xfId="3" applyFont="1" applyFill="1" applyBorder="1" applyAlignment="1">
      <alignment horizontal="center" vertical="center" shrinkToFit="1"/>
    </xf>
    <xf numFmtId="0" fontId="4" fillId="2" borderId="50" xfId="3" applyFont="1" applyFill="1" applyBorder="1" applyAlignment="1">
      <alignment horizontal="center" vertical="center" shrinkToFit="1"/>
    </xf>
    <xf numFmtId="0" fontId="4" fillId="2" borderId="1" xfId="3" applyFont="1" applyFill="1" applyBorder="1" applyAlignment="1">
      <alignment horizontal="center" vertical="center" shrinkToFit="1"/>
    </xf>
    <xf numFmtId="0" fontId="4" fillId="2" borderId="9" xfId="3" applyFont="1" applyFill="1" applyBorder="1" applyAlignment="1">
      <alignment horizontal="center" vertical="center" shrinkToFit="1"/>
    </xf>
    <xf numFmtId="0" fontId="4" fillId="2" borderId="28" xfId="3" applyFont="1" applyFill="1" applyBorder="1" applyAlignment="1">
      <alignment horizontal="center" vertical="center" shrinkToFit="1"/>
    </xf>
    <xf numFmtId="0" fontId="4" fillId="2" borderId="74" xfId="3" applyFont="1" applyFill="1" applyBorder="1" applyAlignment="1">
      <alignment horizontal="center" vertical="center" shrinkToFit="1"/>
    </xf>
    <xf numFmtId="0" fontId="36" fillId="2" borderId="39" xfId="3" applyFont="1" applyFill="1" applyBorder="1" applyAlignment="1">
      <alignment horizontal="center" vertical="center" shrinkToFit="1"/>
    </xf>
    <xf numFmtId="0" fontId="8" fillId="2" borderId="0" xfId="3" applyFont="1" applyFill="1" applyAlignment="1">
      <alignment horizontal="center" vertical="center" shrinkToFit="1"/>
    </xf>
    <xf numFmtId="0" fontId="8" fillId="2" borderId="0" xfId="3" applyFont="1" applyFill="1" applyAlignment="1">
      <alignment horizontal="left" vertical="center" shrinkToFit="1"/>
    </xf>
    <xf numFmtId="179" fontId="4" fillId="2" borderId="41" xfId="3" applyNumberFormat="1" applyFont="1" applyFill="1" applyBorder="1" applyAlignment="1">
      <alignment horizontal="center" shrinkToFit="1"/>
    </xf>
    <xf numFmtId="179" fontId="4" fillId="2" borderId="42" xfId="3" applyNumberFormat="1" applyFont="1" applyFill="1" applyBorder="1" applyAlignment="1">
      <alignment horizontal="center" shrinkToFit="1"/>
    </xf>
    <xf numFmtId="179" fontId="4" fillId="2" borderId="43" xfId="3" applyNumberFormat="1" applyFont="1" applyFill="1" applyBorder="1" applyAlignment="1">
      <alignment horizontal="center" shrinkToFit="1"/>
    </xf>
    <xf numFmtId="0" fontId="4" fillId="4" borderId="108" xfId="3" applyFont="1" applyFill="1" applyBorder="1" applyAlignment="1" applyProtection="1">
      <alignment horizontal="center" vertical="center" shrinkToFit="1"/>
      <protection locked="0"/>
    </xf>
    <xf numFmtId="0" fontId="4" fillId="4" borderId="110" xfId="3" applyFont="1" applyFill="1" applyBorder="1" applyAlignment="1" applyProtection="1">
      <alignment horizontal="center" vertical="center" shrinkToFit="1"/>
      <protection locked="0"/>
    </xf>
    <xf numFmtId="0" fontId="4" fillId="2" borderId="19" xfId="3" applyFont="1" applyFill="1" applyBorder="1" applyAlignment="1">
      <alignment horizontal="center" vertical="center" shrinkToFit="1"/>
    </xf>
    <xf numFmtId="0" fontId="4" fillId="2" borderId="16" xfId="3" applyFont="1" applyFill="1" applyBorder="1" applyAlignment="1">
      <alignment horizontal="center" vertical="center" shrinkToFit="1"/>
    </xf>
    <xf numFmtId="0" fontId="4" fillId="2" borderId="56" xfId="3" applyFont="1" applyFill="1" applyBorder="1" applyAlignment="1">
      <alignment horizontal="center" vertical="center" shrinkToFit="1"/>
    </xf>
    <xf numFmtId="0" fontId="9" fillId="2" borderId="0" xfId="1" applyFont="1" applyFill="1" applyAlignment="1">
      <alignment horizontal="left" vertical="center" shrinkToFit="1"/>
    </xf>
    <xf numFmtId="0" fontId="36" fillId="0" borderId="0" xfId="1" applyFont="1" applyAlignment="1">
      <alignment horizontal="center" vertical="center"/>
    </xf>
    <xf numFmtId="0" fontId="9" fillId="4" borderId="47" xfId="1" applyFont="1" applyFill="1" applyBorder="1" applyAlignment="1" applyProtection="1">
      <alignment horizontal="center" vertical="center" wrapText="1" shrinkToFit="1"/>
      <protection locked="0"/>
    </xf>
    <xf numFmtId="0" fontId="9" fillId="4" borderId="7" xfId="1" applyFont="1" applyFill="1" applyBorder="1" applyAlignment="1" applyProtection="1">
      <alignment horizontal="center" vertical="center" wrapText="1" shrinkToFit="1"/>
      <protection locked="0"/>
    </xf>
    <xf numFmtId="0" fontId="9" fillId="4" borderId="6" xfId="1" applyFont="1" applyFill="1" applyBorder="1" applyAlignment="1" applyProtection="1">
      <alignment horizontal="center" vertical="center" wrapText="1"/>
      <protection locked="0"/>
    </xf>
    <xf numFmtId="0" fontId="9" fillId="4" borderId="8" xfId="1" applyFont="1" applyFill="1" applyBorder="1" applyAlignment="1" applyProtection="1">
      <alignment horizontal="center" vertical="center" wrapText="1"/>
      <protection locked="0"/>
    </xf>
    <xf numFmtId="0" fontId="9" fillId="4" borderId="48" xfId="1" applyFont="1" applyFill="1" applyBorder="1" applyAlignment="1" applyProtection="1">
      <alignment horizontal="center" vertical="center" wrapText="1"/>
      <protection locked="0"/>
    </xf>
    <xf numFmtId="0" fontId="9" fillId="4" borderId="49" xfId="1" applyFont="1" applyFill="1" applyBorder="1" applyAlignment="1" applyProtection="1">
      <alignment horizontal="center" vertical="center" wrapText="1"/>
      <protection locked="0"/>
    </xf>
    <xf numFmtId="0" fontId="36" fillId="2" borderId="52" xfId="1" applyFont="1" applyFill="1" applyBorder="1" applyAlignment="1">
      <alignment horizontal="center" vertical="center"/>
    </xf>
    <xf numFmtId="0" fontId="4" fillId="2" borderId="54" xfId="1" applyFont="1" applyFill="1" applyBorder="1" applyAlignment="1">
      <alignment horizontal="center" vertical="center"/>
    </xf>
    <xf numFmtId="0" fontId="36" fillId="2" borderId="28" xfId="1" applyFont="1" applyFill="1" applyBorder="1" applyAlignment="1">
      <alignment horizontal="center" vertical="center"/>
    </xf>
    <xf numFmtId="0" fontId="36" fillId="2" borderId="53" xfId="1" applyFont="1" applyFill="1" applyBorder="1" applyAlignment="1">
      <alignment horizontal="center" vertical="center"/>
    </xf>
    <xf numFmtId="0" fontId="12" fillId="4" borderId="30" xfId="1" applyFont="1" applyFill="1" applyBorder="1" applyAlignment="1" applyProtection="1">
      <alignment horizontal="center" vertical="center" wrapText="1"/>
      <protection locked="0"/>
    </xf>
    <xf numFmtId="0" fontId="12" fillId="4" borderId="36" xfId="1" applyFont="1" applyFill="1" applyBorder="1" applyAlignment="1" applyProtection="1">
      <alignment horizontal="center" vertical="center" wrapText="1"/>
      <protection locked="0"/>
    </xf>
    <xf numFmtId="0" fontId="12" fillId="4" borderId="31" xfId="1" applyFont="1" applyFill="1" applyBorder="1" applyAlignment="1" applyProtection="1">
      <alignment horizontal="center" vertical="center" wrapText="1"/>
      <protection locked="0"/>
    </xf>
    <xf numFmtId="0" fontId="12" fillId="4" borderId="56" xfId="1" applyFont="1" applyFill="1" applyBorder="1" applyAlignment="1" applyProtection="1">
      <alignment horizontal="center" vertical="center" wrapText="1"/>
      <protection locked="0"/>
    </xf>
    <xf numFmtId="0" fontId="12" fillId="4" borderId="39" xfId="1" applyFont="1" applyFill="1" applyBorder="1" applyAlignment="1" applyProtection="1">
      <alignment horizontal="center" vertical="center" wrapText="1"/>
      <protection locked="0"/>
    </xf>
    <xf numFmtId="0" fontId="12" fillId="4" borderId="40" xfId="1" applyFont="1" applyFill="1" applyBorder="1" applyAlignment="1" applyProtection="1">
      <alignment horizontal="center" vertical="center" wrapText="1"/>
      <protection locked="0"/>
    </xf>
    <xf numFmtId="176" fontId="4" fillId="2" borderId="29" xfId="1" applyNumberFormat="1" applyFont="1" applyFill="1" applyBorder="1" applyAlignment="1">
      <alignment horizontal="right" vertical="center"/>
    </xf>
    <xf numFmtId="176" fontId="4" fillId="2" borderId="55" xfId="1" applyNumberFormat="1" applyFont="1" applyFill="1" applyBorder="1" applyAlignment="1">
      <alignment horizontal="right" vertical="center"/>
    </xf>
    <xf numFmtId="0" fontId="4" fillId="7" borderId="0" xfId="3" applyFont="1" applyFill="1" applyAlignment="1">
      <alignment horizontal="center" vertical="center" shrinkToFit="1"/>
    </xf>
    <xf numFmtId="0" fontId="8" fillId="2" borderId="0" xfId="1" applyFont="1" applyFill="1" applyAlignment="1">
      <alignment horizontal="right" vertical="center"/>
    </xf>
    <xf numFmtId="0" fontId="22" fillId="4" borderId="321" xfId="0" applyFont="1" applyFill="1" applyBorder="1" applyAlignment="1" applyProtection="1">
      <alignment horizontal="center" vertical="center"/>
      <protection locked="0"/>
    </xf>
    <xf numFmtId="0" fontId="22" fillId="4" borderId="158" xfId="0" applyFont="1" applyFill="1" applyBorder="1" applyAlignment="1" applyProtection="1">
      <alignment horizontal="center" vertical="center"/>
      <protection locked="0"/>
    </xf>
    <xf numFmtId="0" fontId="22" fillId="2" borderId="156" xfId="0" applyFont="1" applyFill="1" applyBorder="1" applyAlignment="1">
      <alignment horizontal="center" vertical="center" shrinkToFit="1"/>
    </xf>
    <xf numFmtId="0" fontId="22" fillId="2" borderId="322" xfId="0" applyFont="1" applyFill="1" applyBorder="1" applyAlignment="1">
      <alignment horizontal="center" vertical="center" shrinkToFit="1"/>
    </xf>
    <xf numFmtId="0" fontId="22" fillId="2" borderId="357" xfId="0" applyFont="1" applyFill="1" applyBorder="1" applyAlignment="1">
      <alignment horizontal="center" vertical="center" shrinkToFit="1"/>
    </xf>
    <xf numFmtId="0" fontId="22" fillId="2" borderId="157" xfId="0" applyFont="1" applyFill="1" applyBorder="1" applyAlignment="1">
      <alignment horizontal="center" vertical="center" shrinkToFit="1"/>
    </xf>
    <xf numFmtId="0" fontId="22" fillId="4" borderId="295" xfId="0" applyFont="1" applyFill="1" applyBorder="1" applyAlignment="1" applyProtection="1">
      <alignment horizontal="center" vertical="center"/>
      <protection locked="0"/>
    </xf>
    <xf numFmtId="0" fontId="22" fillId="4" borderId="89" xfId="0" applyFont="1" applyFill="1" applyBorder="1" applyAlignment="1" applyProtection="1">
      <alignment horizontal="center" vertical="center"/>
      <protection locked="0"/>
    </xf>
    <xf numFmtId="0" fontId="22" fillId="2" borderId="87" xfId="0" applyFont="1" applyFill="1" applyBorder="1" applyAlignment="1">
      <alignment horizontal="center" vertical="center" shrinkToFit="1"/>
    </xf>
    <xf numFmtId="0" fontId="22" fillId="2" borderId="296" xfId="0" applyFont="1" applyFill="1" applyBorder="1" applyAlignment="1">
      <alignment horizontal="center" vertical="center" shrinkToFit="1"/>
    </xf>
    <xf numFmtId="0" fontId="22" fillId="6" borderId="297" xfId="0" applyFont="1" applyFill="1" applyBorder="1" applyAlignment="1" applyProtection="1">
      <alignment horizontal="center" vertical="center" shrinkToFit="1"/>
      <protection locked="0"/>
    </xf>
    <xf numFmtId="0" fontId="22" fillId="6" borderId="88" xfId="0" applyFont="1" applyFill="1" applyBorder="1" applyAlignment="1" applyProtection="1">
      <alignment horizontal="center" vertical="center" shrinkToFit="1"/>
      <protection locked="0"/>
    </xf>
    <xf numFmtId="0" fontId="22" fillId="2" borderId="394" xfId="0" applyFont="1" applyFill="1" applyBorder="1" applyAlignment="1">
      <alignment horizontal="center" vertical="center" shrinkToFit="1"/>
    </xf>
    <xf numFmtId="0" fontId="22" fillId="2" borderId="132" xfId="0" applyFont="1" applyFill="1" applyBorder="1" applyAlignment="1">
      <alignment horizontal="center" vertical="center" shrinkToFit="1"/>
    </xf>
    <xf numFmtId="176" fontId="9" fillId="2" borderId="1" xfId="1" applyNumberFormat="1" applyFont="1" applyFill="1" applyBorder="1" applyAlignment="1">
      <alignment horizontal="center" vertical="center" shrinkToFit="1"/>
    </xf>
    <xf numFmtId="176" fontId="9" fillId="2" borderId="9" xfId="1" applyNumberFormat="1" applyFont="1" applyFill="1" applyBorder="1" applyAlignment="1">
      <alignment horizontal="center" vertical="center" shrinkToFit="1"/>
    </xf>
    <xf numFmtId="176" fontId="9" fillId="2" borderId="8" xfId="1" applyNumberFormat="1" applyFont="1" applyFill="1" applyBorder="1" applyAlignment="1">
      <alignment horizontal="center" vertical="center" shrinkToFit="1"/>
    </xf>
    <xf numFmtId="3" fontId="9" fillId="2" borderId="1" xfId="1" applyNumberFormat="1" applyFont="1" applyFill="1" applyBorder="1" applyAlignment="1">
      <alignment horizontal="right" vertical="center" shrinkToFit="1"/>
    </xf>
    <xf numFmtId="3" fontId="9" fillId="2" borderId="9" xfId="1" applyNumberFormat="1" applyFont="1" applyFill="1" applyBorder="1" applyAlignment="1">
      <alignment horizontal="right" vertical="center" shrinkToFit="1"/>
    </xf>
    <xf numFmtId="3" fontId="9" fillId="2" borderId="8" xfId="1" applyNumberFormat="1" applyFont="1" applyFill="1" applyBorder="1" applyAlignment="1">
      <alignment horizontal="right" vertical="center" shrinkToFit="1"/>
    </xf>
    <xf numFmtId="0" fontId="22" fillId="0" borderId="84" xfId="0" applyFont="1" applyBorder="1" applyAlignment="1">
      <alignment horizontal="center" vertical="center"/>
    </xf>
    <xf numFmtId="0" fontId="22" fillId="0" borderId="85" xfId="0" applyFont="1" applyBorder="1" applyAlignment="1">
      <alignment horizontal="center" vertical="center"/>
    </xf>
    <xf numFmtId="0" fontId="22" fillId="0" borderId="86" xfId="0" applyFont="1" applyBorder="1" applyAlignment="1">
      <alignment horizontal="center" vertical="center"/>
    </xf>
    <xf numFmtId="200" fontId="22" fillId="2" borderId="6" xfId="4" applyNumberFormat="1" applyFont="1" applyFill="1" applyBorder="1" applyAlignment="1" applyProtection="1">
      <alignment horizontal="right" vertical="center" shrinkToFit="1"/>
    </xf>
    <xf numFmtId="200" fontId="22" fillId="2" borderId="8" xfId="4" applyNumberFormat="1" applyFont="1" applyFill="1" applyBorder="1" applyAlignment="1" applyProtection="1">
      <alignment horizontal="right" vertical="center" shrinkToFit="1"/>
    </xf>
    <xf numFmtId="204" fontId="9" fillId="2" borderId="6" xfId="1" applyNumberFormat="1" applyFont="1" applyFill="1" applyBorder="1" applyAlignment="1">
      <alignment horizontal="right" vertical="center" shrinkToFit="1"/>
    </xf>
    <xf numFmtId="204" fontId="9" fillId="2" borderId="8" xfId="1" applyNumberFormat="1" applyFont="1" applyFill="1" applyBorder="1" applyAlignment="1">
      <alignment horizontal="right" vertical="center" shrinkToFit="1"/>
    </xf>
    <xf numFmtId="204" fontId="46" fillId="2" borderId="6" xfId="4" applyNumberFormat="1" applyFont="1" applyFill="1" applyBorder="1" applyAlignment="1" applyProtection="1">
      <alignment horizontal="right" vertical="center" shrinkToFit="1"/>
    </xf>
    <xf numFmtId="204" fontId="46" fillId="2" borderId="8" xfId="4" applyNumberFormat="1" applyFont="1" applyFill="1" applyBorder="1" applyAlignment="1" applyProtection="1">
      <alignment horizontal="right" vertical="center" shrinkToFit="1"/>
    </xf>
    <xf numFmtId="0" fontId="22" fillId="2" borderId="4" xfId="0" applyFont="1" applyFill="1" applyBorder="1" applyAlignment="1">
      <alignment horizontal="left" vertical="center" shrinkToFit="1"/>
    </xf>
    <xf numFmtId="0" fontId="22" fillId="2" borderId="17" xfId="0" applyFont="1" applyFill="1" applyBorder="1" applyAlignment="1">
      <alignment horizontal="left" vertical="center" shrinkToFit="1"/>
    </xf>
    <xf numFmtId="0" fontId="22" fillId="2" borderId="395" xfId="0" applyFont="1" applyFill="1" applyBorder="1" applyAlignment="1">
      <alignment horizontal="center" vertical="center" shrinkToFit="1"/>
    </xf>
    <xf numFmtId="0" fontId="22" fillId="2" borderId="396" xfId="0" applyFont="1" applyFill="1" applyBorder="1" applyAlignment="1">
      <alignment horizontal="center" vertical="center" shrinkToFit="1"/>
    </xf>
    <xf numFmtId="0" fontId="22" fillId="2" borderId="387" xfId="0" applyFont="1" applyFill="1" applyBorder="1" applyAlignment="1">
      <alignment horizontal="center" vertical="center" shrinkToFit="1"/>
    </xf>
    <xf numFmtId="0" fontId="22" fillId="2" borderId="388" xfId="0" applyFont="1" applyFill="1" applyBorder="1" applyAlignment="1">
      <alignment horizontal="center" vertical="center" shrinkToFit="1"/>
    </xf>
    <xf numFmtId="0" fontId="22" fillId="2" borderId="4" xfId="0" applyFont="1" applyFill="1" applyBorder="1" applyAlignment="1">
      <alignment horizontal="left" vertical="center"/>
    </xf>
    <xf numFmtId="0" fontId="22" fillId="2" borderId="287" xfId="0" applyFont="1" applyFill="1" applyBorder="1" applyAlignment="1">
      <alignment horizontal="left" vertical="center" wrapText="1"/>
    </xf>
    <xf numFmtId="0" fontId="22" fillId="2" borderId="290" xfId="0" applyFont="1" applyFill="1" applyBorder="1" applyAlignment="1">
      <alignment horizontal="left" vertical="center" wrapText="1"/>
    </xf>
    <xf numFmtId="0" fontId="22" fillId="2" borderId="1"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6" xfId="0" applyFont="1" applyFill="1" applyBorder="1" applyAlignment="1">
      <alignment horizontal="center" vertical="center"/>
    </xf>
    <xf numFmtId="176" fontId="9" fillId="2" borderId="6" xfId="1" applyNumberFormat="1" applyFont="1" applyFill="1" applyBorder="1" applyAlignment="1">
      <alignment horizontal="center" vertical="center" shrinkToFit="1"/>
    </xf>
    <xf numFmtId="176" fontId="9" fillId="2" borderId="159" xfId="1" applyNumberFormat="1" applyFont="1" applyFill="1" applyBorder="1" applyAlignment="1">
      <alignment horizontal="center" vertical="center" shrinkToFit="1"/>
    </xf>
    <xf numFmtId="176" fontId="9" fillId="2" borderId="113" xfId="1" applyNumberFormat="1" applyFont="1" applyFill="1" applyBorder="1" applyAlignment="1">
      <alignment horizontal="center" vertical="center" shrinkToFit="1"/>
    </xf>
    <xf numFmtId="0" fontId="22" fillId="2" borderId="87" xfId="0" applyFont="1" applyFill="1" applyBorder="1" applyAlignment="1">
      <alignment horizontal="left" vertical="center" wrapText="1"/>
    </xf>
    <xf numFmtId="0" fontId="22" fillId="2" borderId="88" xfId="0" applyFont="1" applyFill="1" applyBorder="1" applyAlignment="1">
      <alignment horizontal="left" vertical="center" wrapText="1"/>
    </xf>
    <xf numFmtId="0" fontId="22" fillId="2" borderId="305" xfId="0" applyFont="1" applyFill="1" applyBorder="1" applyAlignment="1">
      <alignment horizontal="left" vertical="center" wrapText="1"/>
    </xf>
    <xf numFmtId="0" fontId="22" fillId="2" borderId="307" xfId="0" applyFont="1" applyFill="1" applyBorder="1" applyAlignment="1">
      <alignment horizontal="left" vertical="center" wrapText="1"/>
    </xf>
    <xf numFmtId="0" fontId="22" fillId="2" borderId="393" xfId="0" applyFont="1" applyFill="1" applyBorder="1" applyAlignment="1">
      <alignment horizontal="center" vertical="center" wrapText="1" shrinkToFit="1"/>
    </xf>
    <xf numFmtId="0" fontId="22" fillId="2" borderId="101" xfId="0" applyFont="1" applyFill="1" applyBorder="1" applyAlignment="1">
      <alignment horizontal="center" vertical="center" wrapText="1" shrinkToFit="1"/>
    </xf>
    <xf numFmtId="204" fontId="12" fillId="2" borderId="9" xfId="1" applyNumberFormat="1" applyFont="1" applyFill="1" applyBorder="1" applyAlignment="1">
      <alignment horizontal="right" vertical="center" shrinkToFit="1"/>
    </xf>
    <xf numFmtId="204" fontId="12" fillId="2" borderId="8" xfId="1" applyNumberFormat="1" applyFont="1" applyFill="1" applyBorder="1" applyAlignment="1">
      <alignment horizontal="right" vertical="center" shrinkToFit="1"/>
    </xf>
    <xf numFmtId="0" fontId="22" fillId="2" borderId="205" xfId="0" applyFont="1" applyFill="1" applyBorder="1" applyAlignment="1">
      <alignment horizontal="center" vertical="center"/>
    </xf>
    <xf numFmtId="0" fontId="22" fillId="2" borderId="65" xfId="0" applyFont="1" applyFill="1" applyBorder="1" applyAlignment="1">
      <alignment horizontal="center" vertical="center"/>
    </xf>
    <xf numFmtId="0" fontId="22" fillId="2" borderId="267" xfId="0" applyFont="1" applyFill="1" applyBorder="1" applyAlignment="1">
      <alignment horizontal="center" vertical="center" shrinkToFit="1"/>
    </xf>
    <xf numFmtId="0" fontId="22" fillId="2" borderId="268" xfId="0" applyFont="1" applyFill="1" applyBorder="1" applyAlignment="1">
      <alignment horizontal="center" vertical="center" shrinkToFit="1"/>
    </xf>
    <xf numFmtId="0" fontId="22" fillId="2" borderId="236" xfId="0" applyFont="1" applyFill="1" applyBorder="1" applyAlignment="1">
      <alignment horizontal="center" vertical="center" shrinkToFit="1"/>
    </xf>
    <xf numFmtId="0" fontId="22" fillId="2" borderId="234" xfId="0" applyFont="1" applyFill="1" applyBorder="1" applyAlignment="1">
      <alignment horizontal="center" vertical="center" shrinkToFit="1"/>
    </xf>
    <xf numFmtId="0" fontId="22" fillId="2" borderId="21" xfId="0" applyFont="1" applyFill="1" applyBorder="1" applyAlignment="1">
      <alignment horizontal="left" vertical="center" wrapText="1"/>
    </xf>
    <xf numFmtId="0" fontId="22" fillId="2" borderId="20" xfId="0" applyFont="1" applyFill="1" applyBorder="1" applyAlignment="1">
      <alignment horizontal="left" vertical="center" wrapText="1"/>
    </xf>
    <xf numFmtId="0" fontId="22" fillId="2" borderId="10" xfId="0" applyFont="1" applyFill="1" applyBorder="1" applyAlignment="1">
      <alignment horizontal="left" vertical="center" wrapText="1"/>
    </xf>
    <xf numFmtId="195" fontId="22" fillId="2" borderId="300" xfId="0" applyNumberFormat="1" applyFont="1" applyFill="1" applyBorder="1" applyAlignment="1">
      <alignment horizontal="right" vertical="center" shrinkToFit="1"/>
    </xf>
    <xf numFmtId="195" fontId="22" fillId="2" borderId="341" xfId="0" applyNumberFormat="1" applyFont="1" applyFill="1" applyBorder="1" applyAlignment="1">
      <alignment horizontal="right" vertical="center" shrinkToFit="1"/>
    </xf>
    <xf numFmtId="200" fontId="22" fillId="2" borderId="9" xfId="0" applyNumberFormat="1" applyFont="1" applyFill="1" applyBorder="1" applyAlignment="1">
      <alignment horizontal="right" vertical="center" shrinkToFit="1"/>
    </xf>
    <xf numFmtId="200" fontId="22" fillId="2" borderId="8" xfId="0" applyNumberFormat="1" applyFont="1" applyFill="1" applyBorder="1" applyAlignment="1">
      <alignment horizontal="right" vertical="center" shrinkToFit="1"/>
    </xf>
    <xf numFmtId="204" fontId="9" fillId="2" borderId="21" xfId="1" applyNumberFormat="1" applyFont="1" applyFill="1" applyBorder="1" applyAlignment="1">
      <alignment horizontal="right" vertical="center" shrinkToFit="1"/>
    </xf>
    <xf numFmtId="204" fontId="9" fillId="2" borderId="20" xfId="1" applyNumberFormat="1" applyFont="1" applyFill="1" applyBorder="1" applyAlignment="1">
      <alignment horizontal="right" vertical="center" shrinkToFit="1"/>
    </xf>
    <xf numFmtId="0" fontId="22" fillId="2" borderId="324" xfId="0" applyFont="1" applyFill="1" applyBorder="1" applyAlignment="1">
      <alignment horizontal="center" vertical="center"/>
    </xf>
    <xf numFmtId="0" fontId="22" fillId="2" borderId="284" xfId="0" applyFont="1" applyFill="1" applyBorder="1" applyAlignment="1">
      <alignment horizontal="center" vertical="center"/>
    </xf>
    <xf numFmtId="0" fontId="22" fillId="2" borderId="320" xfId="0" applyFont="1" applyFill="1" applyBorder="1" applyAlignment="1">
      <alignment horizontal="center" vertical="center"/>
    </xf>
    <xf numFmtId="200" fontId="9" fillId="2" borderId="6" xfId="1" applyNumberFormat="1" applyFont="1" applyFill="1" applyBorder="1" applyAlignment="1">
      <alignment horizontal="right" vertical="center" shrinkToFit="1"/>
    </xf>
    <xf numFmtId="200" fontId="9" fillId="2" borderId="9" xfId="1" applyNumberFormat="1" applyFont="1" applyFill="1" applyBorder="1" applyAlignment="1">
      <alignment horizontal="right" vertical="center" shrinkToFit="1"/>
    </xf>
    <xf numFmtId="200" fontId="9" fillId="2" borderId="8" xfId="1" applyNumberFormat="1" applyFont="1" applyFill="1" applyBorder="1" applyAlignment="1">
      <alignment horizontal="right" vertical="center" shrinkToFit="1"/>
    </xf>
    <xf numFmtId="204" fontId="9" fillId="2" borderId="9" xfId="1" applyNumberFormat="1" applyFont="1" applyFill="1" applyBorder="1" applyAlignment="1">
      <alignment horizontal="right" vertical="center" shrinkToFit="1"/>
    </xf>
    <xf numFmtId="204" fontId="12" fillId="2" borderId="6" xfId="1" applyNumberFormat="1" applyFont="1" applyFill="1" applyBorder="1" applyAlignment="1">
      <alignment horizontal="right" vertical="center" shrinkToFit="1"/>
    </xf>
    <xf numFmtId="20" fontId="22" fillId="2" borderId="339" xfId="0" applyNumberFormat="1" applyFont="1" applyFill="1" applyBorder="1" applyAlignment="1">
      <alignment horizontal="left" vertical="center" wrapText="1"/>
    </xf>
    <xf numFmtId="20" fontId="22" fillId="2" borderId="313" xfId="0" applyNumberFormat="1" applyFont="1" applyFill="1" applyBorder="1" applyAlignment="1">
      <alignment horizontal="left" vertical="center" wrapText="1"/>
    </xf>
    <xf numFmtId="20" fontId="22" fillId="2" borderId="340" xfId="0" applyNumberFormat="1" applyFont="1" applyFill="1" applyBorder="1" applyAlignment="1">
      <alignment horizontal="left" vertical="center" wrapText="1"/>
    </xf>
    <xf numFmtId="206" fontId="9" fillId="2" borderId="236" xfId="1" applyNumberFormat="1" applyFont="1" applyFill="1" applyBorder="1" applyAlignment="1">
      <alignment horizontal="center" vertical="center" shrinkToFit="1"/>
    </xf>
    <xf numFmtId="206" fontId="9" fillId="2" borderId="367" xfId="1" applyNumberFormat="1" applyFont="1" applyFill="1" applyBorder="1" applyAlignment="1">
      <alignment horizontal="center" vertical="center" shrinkToFit="1"/>
    </xf>
    <xf numFmtId="2" fontId="9" fillId="2" borderId="236" xfId="1" applyNumberFormat="1" applyFont="1" applyFill="1" applyBorder="1" applyAlignment="1">
      <alignment horizontal="right" vertical="center" shrinkToFit="1"/>
    </xf>
    <xf numFmtId="2" fontId="9" fillId="2" borderId="367" xfId="1" applyNumberFormat="1" applyFont="1" applyFill="1" applyBorder="1" applyAlignment="1">
      <alignment horizontal="right" vertical="center" shrinkToFit="1"/>
    </xf>
    <xf numFmtId="0" fontId="9" fillId="2" borderId="146" xfId="1" applyFont="1" applyFill="1" applyBorder="1" applyAlignment="1">
      <alignment horizontal="center" vertical="center" shrinkToFit="1"/>
    </xf>
    <xf numFmtId="0" fontId="9" fillId="2" borderId="390" xfId="1" applyFont="1" applyFill="1" applyBorder="1" applyAlignment="1">
      <alignment horizontal="center" vertical="center" shrinkToFit="1"/>
    </xf>
    <xf numFmtId="0" fontId="9" fillId="2" borderId="88" xfId="1" applyFont="1" applyFill="1" applyBorder="1" applyAlignment="1">
      <alignment horizontal="center" vertical="center" shrinkToFit="1"/>
    </xf>
    <xf numFmtId="0" fontId="9" fillId="2" borderId="298" xfId="1" applyFont="1" applyFill="1" applyBorder="1" applyAlignment="1">
      <alignment horizontal="center" vertical="center" shrinkToFit="1"/>
    </xf>
    <xf numFmtId="0" fontId="9" fillId="2" borderId="66" xfId="1" applyFont="1" applyFill="1" applyBorder="1" applyAlignment="1">
      <alignment horizontal="center" vertical="center" shrinkToFit="1"/>
    </xf>
    <xf numFmtId="0" fontId="9" fillId="2" borderId="316" xfId="1" applyFont="1" applyFill="1" applyBorder="1" applyAlignment="1">
      <alignment horizontal="center" vertical="center" shrinkToFit="1"/>
    </xf>
    <xf numFmtId="206" fontId="9" fillId="2" borderId="389" xfId="1" applyNumberFormat="1" applyFont="1" applyFill="1" applyBorder="1" applyAlignment="1">
      <alignment horizontal="center" vertical="center" shrinkToFit="1"/>
    </xf>
    <xf numFmtId="2" fontId="9" fillId="2" borderId="389" xfId="1" applyNumberFormat="1" applyFont="1" applyFill="1" applyBorder="1" applyAlignment="1">
      <alignment horizontal="right" vertical="center" shrinkToFit="1"/>
    </xf>
    <xf numFmtId="0" fontId="9" fillId="2" borderId="0" xfId="1" applyFont="1" applyFill="1" applyAlignment="1">
      <alignment horizontal="center" vertical="center" shrinkToFit="1"/>
    </xf>
    <xf numFmtId="0" fontId="9" fillId="2" borderId="302" xfId="1" applyFont="1" applyFill="1" applyBorder="1" applyAlignment="1">
      <alignment horizontal="center" vertical="center" shrinkToFit="1"/>
    </xf>
    <xf numFmtId="0" fontId="9" fillId="2" borderId="33" xfId="1" applyFont="1" applyFill="1" applyBorder="1" applyAlignment="1">
      <alignment horizontal="center" vertical="center" shrinkToFit="1"/>
    </xf>
    <xf numFmtId="0" fontId="9" fillId="2" borderId="347" xfId="1" applyFont="1" applyFill="1" applyBorder="1" applyAlignment="1">
      <alignment horizontal="center" vertical="center" shrinkToFit="1"/>
    </xf>
    <xf numFmtId="0" fontId="9" fillId="0" borderId="4" xfId="0" applyFont="1" applyBorder="1" applyAlignment="1">
      <alignment horizontal="center" vertical="center" shrinkToFit="1"/>
    </xf>
    <xf numFmtId="0" fontId="9" fillId="0" borderId="68"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27" xfId="0" applyFont="1" applyBorder="1" applyAlignment="1">
      <alignment horizontal="center" vertical="center" shrinkToFit="1"/>
    </xf>
    <xf numFmtId="0" fontId="9" fillId="3" borderId="266" xfId="1" applyFont="1" applyFill="1" applyBorder="1" applyAlignment="1">
      <alignment horizontal="center" vertical="center" wrapText="1" shrinkToFit="1"/>
    </xf>
    <xf numFmtId="0" fontId="9" fillId="3" borderId="267" xfId="1" applyFont="1" applyFill="1" applyBorder="1" applyAlignment="1">
      <alignment horizontal="center" vertical="center" wrapText="1" shrinkToFit="1"/>
    </xf>
    <xf numFmtId="0" fontId="9" fillId="3" borderId="268" xfId="1" applyFont="1" applyFill="1" applyBorder="1" applyAlignment="1">
      <alignment horizontal="center" vertical="center" wrapText="1" shrinkToFit="1"/>
    </xf>
    <xf numFmtId="0" fontId="9" fillId="3" borderId="3" xfId="1" applyFont="1" applyFill="1" applyBorder="1" applyAlignment="1">
      <alignment horizontal="center" vertical="center" wrapText="1" shrinkToFit="1"/>
    </xf>
    <xf numFmtId="0" fontId="9" fillId="3" borderId="1" xfId="1" applyFont="1" applyFill="1" applyBorder="1" applyAlignment="1">
      <alignment horizontal="center" vertical="center" wrapText="1" shrinkToFit="1"/>
    </xf>
    <xf numFmtId="0" fontId="9" fillId="3" borderId="79" xfId="1" applyFont="1" applyFill="1" applyBorder="1" applyAlignment="1">
      <alignment horizontal="center" vertical="center" wrapText="1" shrinkToFit="1"/>
    </xf>
    <xf numFmtId="0" fontId="9" fillId="3" borderId="75" xfId="1" applyFont="1" applyFill="1" applyBorder="1" applyAlignment="1">
      <alignment horizontal="center" vertical="center" wrapText="1" shrinkToFit="1"/>
    </xf>
    <xf numFmtId="0" fontId="9" fillId="3" borderId="131" xfId="1" applyFont="1" applyFill="1" applyBorder="1" applyAlignment="1">
      <alignment horizontal="center" vertical="center" wrapText="1" shrinkToFit="1"/>
    </xf>
    <xf numFmtId="0" fontId="22" fillId="3" borderId="210" xfId="0" applyFont="1" applyFill="1" applyBorder="1" applyAlignment="1">
      <alignment horizontal="center" vertical="center" wrapText="1"/>
    </xf>
    <xf numFmtId="0" fontId="22" fillId="3" borderId="384" xfId="0" applyFont="1" applyFill="1" applyBorder="1" applyAlignment="1">
      <alignment horizontal="center" vertical="center" wrapText="1"/>
    </xf>
    <xf numFmtId="0" fontId="9" fillId="3" borderId="5" xfId="1" applyFont="1" applyFill="1" applyBorder="1" applyAlignment="1">
      <alignment horizontal="center" vertical="center" shrinkToFit="1"/>
    </xf>
    <xf numFmtId="0" fontId="9" fillId="3" borderId="29" xfId="1" applyFont="1" applyFill="1" applyBorder="1" applyAlignment="1">
      <alignment horizontal="center" vertical="center" shrinkToFit="1"/>
    </xf>
    <xf numFmtId="0" fontId="34" fillId="0" borderId="52" xfId="0" applyFont="1" applyBorder="1" applyAlignment="1">
      <alignment horizontal="center" vertical="center" wrapText="1"/>
    </xf>
    <xf numFmtId="0" fontId="34" fillId="0" borderId="50" xfId="0" applyFont="1" applyBorder="1" applyAlignment="1">
      <alignment horizontal="center" vertical="center" wrapText="1"/>
    </xf>
    <xf numFmtId="0" fontId="34" fillId="0" borderId="54" xfId="0" applyFont="1" applyBorder="1" applyAlignment="1">
      <alignment horizontal="center" vertical="center" wrapText="1"/>
    </xf>
    <xf numFmtId="0" fontId="34" fillId="0" borderId="75" xfId="0" applyFont="1" applyBorder="1" applyAlignment="1">
      <alignment horizontal="center" vertical="center" wrapText="1"/>
    </xf>
    <xf numFmtId="0" fontId="34" fillId="0" borderId="51" xfId="0" applyFont="1" applyBorder="1" applyAlignment="1">
      <alignment horizontal="center" vertical="center" wrapText="1"/>
    </xf>
    <xf numFmtId="0" fontId="34" fillId="0" borderId="131" xfId="0" applyFont="1" applyBorder="1" applyAlignment="1">
      <alignment horizontal="center" vertical="center" wrapText="1"/>
    </xf>
    <xf numFmtId="0" fontId="60" fillId="0" borderId="59" xfId="0" applyFont="1" applyBorder="1" applyAlignment="1">
      <alignment horizontal="center" vertical="center" wrapText="1"/>
    </xf>
    <xf numFmtId="0" fontId="60" fillId="0" borderId="60" xfId="0" applyFont="1" applyBorder="1" applyAlignment="1">
      <alignment horizontal="center" vertical="center" wrapText="1"/>
    </xf>
    <xf numFmtId="0" fontId="60" fillId="0" borderId="2" xfId="0" applyFont="1" applyBorder="1" applyAlignment="1">
      <alignment horizontal="center" vertical="center" wrapText="1"/>
    </xf>
    <xf numFmtId="0" fontId="9" fillId="0" borderId="377" xfId="0" applyFont="1" applyBorder="1" applyAlignment="1">
      <alignment horizontal="center" vertical="center" wrapText="1"/>
    </xf>
    <xf numFmtId="0" fontId="9" fillId="0" borderId="381" xfId="0" applyFont="1" applyBorder="1" applyAlignment="1">
      <alignment horizontal="center" vertical="center" wrapText="1"/>
    </xf>
    <xf numFmtId="0" fontId="9" fillId="0" borderId="382"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0" xfId="0" applyFont="1" applyAlignment="1">
      <alignment horizontal="center" vertical="center" wrapText="1"/>
    </xf>
    <xf numFmtId="0" fontId="9" fillId="0" borderId="56" xfId="0" applyFont="1" applyBorder="1" applyAlignment="1">
      <alignment horizontal="center" vertical="center" wrapText="1"/>
    </xf>
    <xf numFmtId="0" fontId="9" fillId="0" borderId="39"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31" xfId="0" applyFont="1" applyBorder="1" applyAlignment="1">
      <alignment horizontal="center" vertical="center" wrapText="1"/>
    </xf>
    <xf numFmtId="0" fontId="39" fillId="0" borderId="37" xfId="0" applyFont="1" applyBorder="1" applyAlignment="1">
      <alignment horizontal="center" vertical="center" wrapText="1"/>
    </xf>
    <xf numFmtId="0" fontId="39" fillId="0" borderId="35" xfId="0" applyFont="1" applyBorder="1" applyAlignment="1">
      <alignment horizontal="center" vertical="center" wrapText="1"/>
    </xf>
    <xf numFmtId="0" fontId="39" fillId="0" borderId="38" xfId="0" applyFont="1" applyBorder="1" applyAlignment="1">
      <alignment horizontal="center" vertical="center" wrapText="1"/>
    </xf>
    <xf numFmtId="0" fontId="39" fillId="0" borderId="40" xfId="0" applyFont="1" applyBorder="1" applyAlignment="1">
      <alignment horizontal="center" vertical="center" wrapText="1"/>
    </xf>
    <xf numFmtId="2" fontId="46" fillId="2" borderId="156" xfId="0" applyNumberFormat="1" applyFont="1" applyFill="1" applyBorder="1" applyAlignment="1">
      <alignment horizontal="center" vertical="center" shrinkToFit="1"/>
    </xf>
    <xf numFmtId="2" fontId="46" fillId="2" borderId="158" xfId="0" applyNumberFormat="1" applyFont="1" applyFill="1" applyBorder="1" applyAlignment="1">
      <alignment horizontal="center" vertical="center" shrinkToFit="1"/>
    </xf>
    <xf numFmtId="0" fontId="22" fillId="3" borderId="52" xfId="0" applyFont="1" applyFill="1" applyBorder="1" applyAlignment="1">
      <alignment horizontal="center" vertical="center"/>
    </xf>
    <xf numFmtId="0" fontId="22" fillId="3" borderId="50" xfId="0" applyFont="1" applyFill="1" applyBorder="1" applyAlignment="1">
      <alignment horizontal="center" vertical="center"/>
    </xf>
    <xf numFmtId="0" fontId="22" fillId="3" borderId="54" xfId="0" applyFont="1" applyFill="1" applyBorder="1" applyAlignment="1">
      <alignment horizontal="center" vertical="center"/>
    </xf>
    <xf numFmtId="0" fontId="22" fillId="3" borderId="235" xfId="0" applyFont="1" applyFill="1" applyBorder="1" applyAlignment="1">
      <alignment horizontal="center" vertical="center" wrapText="1"/>
    </xf>
    <xf numFmtId="0" fontId="22" fillId="3" borderId="284" xfId="0" applyFont="1" applyFill="1" applyBorder="1" applyAlignment="1">
      <alignment horizontal="center" vertical="center" wrapText="1"/>
    </xf>
    <xf numFmtId="0" fontId="22" fillId="3" borderId="241" xfId="0" applyFont="1" applyFill="1" applyBorder="1" applyAlignment="1">
      <alignment horizontal="center" vertical="center" wrapText="1"/>
    </xf>
    <xf numFmtId="0" fontId="22" fillId="3" borderId="358" xfId="0" applyFont="1" applyFill="1" applyBorder="1" applyAlignment="1">
      <alignment horizontal="center" vertical="center" wrapText="1"/>
    </xf>
    <xf numFmtId="0" fontId="22" fillId="3" borderId="360" xfId="0" applyFont="1" applyFill="1" applyBorder="1" applyAlignment="1">
      <alignment horizontal="center" vertical="center" wrapText="1"/>
    </xf>
    <xf numFmtId="0" fontId="22" fillId="3" borderId="269" xfId="0" applyFont="1" applyFill="1" applyBorder="1" applyAlignment="1">
      <alignment horizontal="center" vertical="center" wrapText="1"/>
    </xf>
    <xf numFmtId="0" fontId="22" fillId="3" borderId="272" xfId="0" applyFont="1" applyFill="1" applyBorder="1" applyAlignment="1">
      <alignment horizontal="center" vertical="center" wrapText="1"/>
    </xf>
    <xf numFmtId="0" fontId="46" fillId="0" borderId="41" xfId="0" applyFont="1" applyBorder="1" applyAlignment="1">
      <alignment horizontal="center" vertical="center"/>
    </xf>
    <xf numFmtId="0" fontId="46" fillId="0" borderId="42" xfId="0" applyFont="1" applyBorder="1" applyAlignment="1">
      <alignment horizontal="center" vertical="center"/>
    </xf>
    <xf numFmtId="0" fontId="46" fillId="0" borderId="43" xfId="0" applyFont="1" applyBorder="1" applyAlignment="1">
      <alignment horizontal="center"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12" fillId="0" borderId="73" xfId="0" applyFont="1" applyBorder="1" applyAlignment="1">
      <alignment horizontal="center" vertical="center"/>
    </xf>
    <xf numFmtId="0" fontId="12" fillId="0" borderId="68" xfId="0" applyFont="1" applyBorder="1" applyAlignment="1">
      <alignment horizontal="center" vertical="center"/>
    </xf>
    <xf numFmtId="0" fontId="59" fillId="0" borderId="120" xfId="0" applyFont="1" applyBorder="1" applyAlignment="1">
      <alignment horizontal="center" vertical="center" wrapText="1" shrinkToFit="1"/>
    </xf>
    <xf numFmtId="0" fontId="59" fillId="0" borderId="57" xfId="0" applyFont="1" applyBorder="1" applyAlignment="1">
      <alignment horizontal="center" vertical="center" wrapText="1" shrinkToFit="1"/>
    </xf>
    <xf numFmtId="0" fontId="59" fillId="0" borderId="375" xfId="0" applyFont="1" applyBorder="1" applyAlignment="1">
      <alignment horizontal="center" vertical="center" wrapText="1" shrinkToFit="1"/>
    </xf>
    <xf numFmtId="0" fontId="12" fillId="0" borderId="370" xfId="0" applyFont="1" applyBorder="1" applyAlignment="1">
      <alignment horizontal="center" vertical="center" wrapText="1"/>
    </xf>
    <xf numFmtId="0" fontId="12" fillId="0" borderId="374" xfId="0" applyFont="1" applyBorder="1" applyAlignment="1">
      <alignment horizontal="center" vertical="center" wrapText="1"/>
    </xf>
    <xf numFmtId="0" fontId="12" fillId="0" borderId="376" xfId="0" applyFont="1" applyBorder="1" applyAlignment="1">
      <alignment horizontal="center" vertical="center" wrapText="1"/>
    </xf>
    <xf numFmtId="0" fontId="12" fillId="0" borderId="3" xfId="0" applyFont="1" applyBorder="1" applyAlignment="1">
      <alignment horizontal="center" vertical="center"/>
    </xf>
    <xf numFmtId="0" fontId="12" fillId="0" borderId="4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6" xfId="0" applyFont="1" applyBorder="1" applyAlignment="1">
      <alignment horizontal="center" vertical="center" wrapText="1"/>
    </xf>
    <xf numFmtId="0" fontId="59" fillId="0" borderId="73" xfId="0" applyFont="1" applyBorder="1" applyAlignment="1">
      <alignment horizontal="center" vertical="center" wrapText="1" shrinkToFit="1"/>
    </xf>
    <xf numFmtId="0" fontId="59" fillId="0" borderId="47" xfId="0" applyFont="1" applyBorder="1" applyAlignment="1">
      <alignment horizontal="center" vertical="center" wrapText="1" shrinkToFit="1"/>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4" xfId="0" applyFont="1" applyBorder="1" applyAlignment="1">
      <alignment horizontal="center" vertical="center" wrapText="1" shrinkToFit="1"/>
    </xf>
    <xf numFmtId="0" fontId="12" fillId="0" borderId="6" xfId="0" applyFont="1" applyBorder="1" applyAlignment="1">
      <alignment horizontal="center" vertical="center" wrapText="1" shrinkToFit="1"/>
    </xf>
    <xf numFmtId="0" fontId="12" fillId="0" borderId="4"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16" xfId="0" applyFont="1" applyBorder="1" applyAlignment="1">
      <alignment horizontal="center" vertical="center"/>
    </xf>
    <xf numFmtId="0" fontId="12" fillId="0" borderId="48" xfId="0" applyFont="1" applyBorder="1" applyAlignment="1">
      <alignment horizontal="center" vertical="center"/>
    </xf>
    <xf numFmtId="0" fontId="57" fillId="0" borderId="73" xfId="0" applyFont="1" applyBorder="1" applyAlignment="1">
      <alignment horizontal="center" vertical="center" wrapText="1"/>
    </xf>
    <xf numFmtId="0" fontId="57" fillId="0" borderId="47"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237" xfId="0" applyFont="1" applyBorder="1" applyAlignment="1">
      <alignment horizontal="center" vertical="center" wrapText="1"/>
    </xf>
    <xf numFmtId="0" fontId="46" fillId="0" borderId="244" xfId="0" applyFont="1" applyBorder="1" applyAlignment="1">
      <alignment horizontal="center" vertical="center" wrapText="1"/>
    </xf>
    <xf numFmtId="0" fontId="12" fillId="0" borderId="5" xfId="0" applyFont="1" applyBorder="1" applyAlignment="1">
      <alignment horizontal="center" vertical="center" shrinkToFit="1"/>
    </xf>
    <xf numFmtId="0" fontId="12" fillId="0" borderId="29" xfId="0" applyFont="1" applyBorder="1" applyAlignment="1">
      <alignment horizontal="center" vertical="center" shrinkToFit="1"/>
    </xf>
    <xf numFmtId="0" fontId="12" fillId="0" borderId="59" xfId="0" applyFont="1" applyBorder="1" applyAlignment="1">
      <alignment horizontal="center" vertical="center" wrapText="1" shrinkToFit="1"/>
    </xf>
    <xf numFmtId="0" fontId="12" fillId="0" borderId="60" xfId="0" applyFont="1" applyBorder="1" applyAlignment="1">
      <alignment horizontal="center" vertical="center" wrapText="1" shrinkToFit="1"/>
    </xf>
    <xf numFmtId="0" fontId="12" fillId="0" borderId="2" xfId="0" applyFont="1" applyBorder="1" applyAlignment="1">
      <alignment horizontal="center" vertical="center" wrapText="1" shrinkToFit="1"/>
    </xf>
    <xf numFmtId="2" fontId="46" fillId="2" borderId="19" xfId="0" applyNumberFormat="1" applyFont="1" applyFill="1" applyBorder="1" applyAlignment="1">
      <alignment horizontal="center" vertical="center" shrinkToFit="1"/>
    </xf>
    <xf numFmtId="2" fontId="46" fillId="2" borderId="16" xfId="0" applyNumberFormat="1" applyFont="1" applyFill="1" applyBorder="1" applyAlignment="1">
      <alignment horizontal="center" vertical="center" shrinkToFit="1"/>
    </xf>
    <xf numFmtId="2" fontId="46" fillId="2" borderId="21" xfId="0" applyNumberFormat="1" applyFont="1" applyFill="1" applyBorder="1" applyAlignment="1">
      <alignment horizontal="center" vertical="center" shrinkToFit="1"/>
    </xf>
    <xf numFmtId="2" fontId="46" fillId="2" borderId="15" xfId="0" applyNumberFormat="1" applyFont="1" applyFill="1" applyBorder="1" applyAlignment="1">
      <alignment horizontal="center" vertical="center" shrinkToFit="1"/>
    </xf>
    <xf numFmtId="0" fontId="22" fillId="4" borderId="269" xfId="0" applyFont="1" applyFill="1" applyBorder="1" applyAlignment="1" applyProtection="1">
      <alignment horizontal="center" vertical="center"/>
      <protection locked="0"/>
    </xf>
    <xf numFmtId="0" fontId="22" fillId="4" borderId="67" xfId="0" applyFont="1" applyFill="1" applyBorder="1" applyAlignment="1" applyProtection="1">
      <alignment horizontal="center" vertical="center"/>
      <protection locked="0"/>
    </xf>
    <xf numFmtId="0" fontId="22" fillId="2" borderId="65" xfId="0" applyFont="1" applyFill="1" applyBorder="1" applyAlignment="1">
      <alignment horizontal="center" vertical="center" shrinkToFit="1"/>
    </xf>
    <xf numFmtId="0" fontId="22" fillId="2" borderId="315" xfId="0" applyFont="1" applyFill="1" applyBorder="1" applyAlignment="1">
      <alignment horizontal="center" vertical="center" shrinkToFit="1"/>
    </xf>
    <xf numFmtId="0" fontId="22" fillId="6" borderId="342" xfId="0" applyFont="1" applyFill="1" applyBorder="1" applyAlignment="1" applyProtection="1">
      <alignment horizontal="center" vertical="center" shrinkToFit="1"/>
      <protection locked="0"/>
    </xf>
    <xf numFmtId="0" fontId="22" fillId="6" borderId="66" xfId="0" applyFont="1" applyFill="1" applyBorder="1" applyAlignment="1" applyProtection="1">
      <alignment horizontal="center" vertical="center" shrinkToFit="1"/>
      <protection locked="0"/>
    </xf>
    <xf numFmtId="0" fontId="22" fillId="2" borderId="324" xfId="0" applyFont="1" applyFill="1" applyBorder="1" applyAlignment="1">
      <alignment horizontal="center" vertical="center" wrapText="1"/>
    </xf>
    <xf numFmtId="0" fontId="22" fillId="2" borderId="284" xfId="0" applyFont="1" applyFill="1" applyBorder="1" applyAlignment="1">
      <alignment horizontal="center" vertical="center" wrapText="1"/>
    </xf>
    <xf numFmtId="0" fontId="22" fillId="4" borderId="356" xfId="0" applyFont="1" applyFill="1" applyBorder="1" applyAlignment="1" applyProtection="1">
      <alignment horizontal="center" vertical="center"/>
      <protection locked="0"/>
    </xf>
    <xf numFmtId="0" fontId="22" fillId="4" borderId="63" xfId="0" applyFont="1" applyFill="1" applyBorder="1" applyAlignment="1" applyProtection="1">
      <alignment horizontal="center" vertical="center"/>
      <protection locked="0"/>
    </xf>
    <xf numFmtId="0" fontId="22" fillId="2" borderId="61" xfId="0" applyFont="1" applyFill="1" applyBorder="1" applyAlignment="1">
      <alignment horizontal="center" vertical="center" shrinkToFit="1"/>
    </xf>
    <xf numFmtId="0" fontId="22" fillId="2" borderId="353" xfId="0" applyFont="1" applyFill="1" applyBorder="1" applyAlignment="1">
      <alignment horizontal="center" vertical="center" shrinkToFit="1"/>
    </xf>
    <xf numFmtId="0" fontId="22" fillId="6" borderId="354" xfId="0" applyFont="1" applyFill="1" applyBorder="1" applyAlignment="1" applyProtection="1">
      <alignment horizontal="center" vertical="center" shrinkToFit="1"/>
      <protection locked="0"/>
    </xf>
    <xf numFmtId="0" fontId="22" fillId="6" borderId="62" xfId="0" applyFont="1" applyFill="1" applyBorder="1" applyAlignment="1" applyProtection="1">
      <alignment horizontal="center" vertical="center" shrinkToFit="1"/>
      <protection locked="0"/>
    </xf>
    <xf numFmtId="0" fontId="22" fillId="2" borderId="90" xfId="0" applyFont="1" applyFill="1" applyBorder="1" applyAlignment="1">
      <alignment horizontal="center" vertical="center" shrinkToFit="1"/>
    </xf>
    <xf numFmtId="0" fontId="22" fillId="2" borderId="350" xfId="0" applyFont="1" applyFill="1" applyBorder="1" applyAlignment="1">
      <alignment horizontal="center" vertical="center" shrinkToFit="1"/>
    </xf>
    <xf numFmtId="0" fontId="22" fillId="6" borderId="351" xfId="0" applyFont="1" applyFill="1" applyBorder="1" applyAlignment="1" applyProtection="1">
      <alignment horizontal="center" vertical="center" shrinkToFit="1"/>
      <protection locked="0"/>
    </xf>
    <xf numFmtId="0" fontId="22" fillId="6" borderId="91" xfId="0" applyFont="1" applyFill="1" applyBorder="1" applyAlignment="1" applyProtection="1">
      <alignment horizontal="center" vertical="center" shrinkToFit="1"/>
      <protection locked="0"/>
    </xf>
    <xf numFmtId="2" fontId="46" fillId="2" borderId="20" xfId="0" applyNumberFormat="1" applyFont="1" applyFill="1" applyBorder="1" applyAlignment="1">
      <alignment horizontal="center" vertical="center" shrinkToFit="1"/>
    </xf>
    <xf numFmtId="2" fontId="46" fillId="2" borderId="13" xfId="0" applyNumberFormat="1" applyFont="1" applyFill="1" applyBorder="1" applyAlignment="1">
      <alignment horizontal="center" vertical="center" shrinkToFit="1"/>
    </xf>
    <xf numFmtId="0" fontId="22" fillId="2" borderId="150" xfId="0" applyFont="1" applyFill="1" applyBorder="1" applyAlignment="1">
      <alignment horizontal="center" vertical="center" wrapText="1"/>
    </xf>
    <xf numFmtId="0" fontId="22" fillId="2" borderId="151" xfId="0" applyFont="1" applyFill="1" applyBorder="1" applyAlignment="1">
      <alignment horizontal="center" vertical="center" wrapText="1"/>
    </xf>
    <xf numFmtId="0" fontId="22" fillId="2" borderId="152" xfId="0" applyFont="1" applyFill="1" applyBorder="1" applyAlignment="1">
      <alignment horizontal="center" vertical="center" wrapText="1"/>
    </xf>
    <xf numFmtId="0" fontId="22" fillId="2" borderId="153" xfId="0" applyFont="1" applyFill="1" applyBorder="1" applyAlignment="1">
      <alignment horizontal="center" vertical="center" wrapText="1"/>
    </xf>
    <xf numFmtId="0" fontId="22" fillId="2" borderId="154" xfId="0" applyFont="1" applyFill="1" applyBorder="1" applyAlignment="1">
      <alignment horizontal="center" vertical="center" wrapText="1"/>
    </xf>
    <xf numFmtId="0" fontId="22" fillId="2" borderId="155" xfId="0" applyFont="1" applyFill="1" applyBorder="1" applyAlignment="1">
      <alignment horizontal="center" vertical="center" wrapText="1"/>
    </xf>
    <xf numFmtId="0" fontId="22" fillId="2" borderId="156" xfId="0" applyFont="1" applyFill="1" applyBorder="1" applyAlignment="1">
      <alignment horizontal="center" vertical="center" wrapText="1"/>
    </xf>
    <xf numFmtId="0" fontId="22" fillId="2" borderId="157" xfId="0" applyFont="1" applyFill="1" applyBorder="1" applyAlignment="1">
      <alignment horizontal="center" vertical="center" wrapText="1"/>
    </xf>
    <xf numFmtId="0" fontId="22" fillId="2" borderId="158" xfId="0" applyFont="1" applyFill="1" applyBorder="1" applyAlignment="1">
      <alignment horizontal="center" vertical="center" wrapText="1"/>
    </xf>
    <xf numFmtId="0" fontId="22" fillId="3" borderId="233" xfId="0" applyFont="1" applyFill="1" applyBorder="1" applyAlignment="1">
      <alignment horizontal="center" vertical="center" wrapText="1"/>
    </xf>
    <xf numFmtId="0" fontId="22" fillId="3" borderId="239" xfId="0" applyFont="1" applyFill="1" applyBorder="1" applyAlignment="1">
      <alignment horizontal="center" vertical="center" wrapText="1"/>
    </xf>
    <xf numFmtId="0" fontId="22" fillId="3" borderId="67" xfId="0" applyFont="1" applyFill="1" applyBorder="1" applyAlignment="1">
      <alignment horizontal="center" vertical="center" wrapText="1"/>
    </xf>
    <xf numFmtId="0" fontId="22" fillId="3" borderId="96" xfId="0" applyFont="1" applyFill="1" applyBorder="1" applyAlignment="1">
      <alignment horizontal="center" vertical="center" wrapText="1"/>
    </xf>
    <xf numFmtId="0" fontId="22" fillId="3" borderId="99" xfId="0" applyFont="1" applyFill="1" applyBorder="1" applyAlignment="1">
      <alignment horizontal="center" vertical="center" shrinkToFit="1"/>
    </xf>
    <xf numFmtId="0" fontId="22" fillId="3" borderId="270" xfId="0" applyFont="1" applyFill="1" applyBorder="1" applyAlignment="1">
      <alignment horizontal="center" vertical="center" shrinkToFit="1"/>
    </xf>
    <xf numFmtId="0" fontId="22" fillId="3" borderId="56" xfId="0" applyFont="1" applyFill="1" applyBorder="1" applyAlignment="1">
      <alignment horizontal="center" vertical="center" shrinkToFit="1"/>
    </xf>
    <xf numFmtId="0" fontId="22" fillId="3" borderId="273" xfId="0" applyFont="1" applyFill="1" applyBorder="1" applyAlignment="1">
      <alignment horizontal="center" vertical="center" shrinkToFit="1"/>
    </xf>
    <xf numFmtId="0" fontId="22" fillId="2" borderId="276" xfId="0" applyFont="1" applyFill="1" applyBorder="1" applyAlignment="1">
      <alignment horizontal="center" vertical="center"/>
    </xf>
    <xf numFmtId="0" fontId="22" fillId="2" borderId="321" xfId="0" applyFont="1" applyFill="1" applyBorder="1" applyAlignment="1">
      <alignment horizontal="center" vertical="center" shrinkToFit="1"/>
    </xf>
    <xf numFmtId="0" fontId="22" fillId="2" borderId="158" xfId="0" applyFont="1" applyFill="1" applyBorder="1" applyAlignment="1">
      <alignment horizontal="center" vertical="center" shrinkToFit="1"/>
    </xf>
    <xf numFmtId="0" fontId="22" fillId="2" borderId="289" xfId="0" applyFont="1" applyFill="1" applyBorder="1" applyAlignment="1">
      <alignment horizontal="left" vertical="center" shrinkToFit="1"/>
    </xf>
    <xf numFmtId="0" fontId="22" fillId="2" borderId="290" xfId="0" applyFont="1" applyFill="1" applyBorder="1" applyAlignment="1">
      <alignment horizontal="left" vertical="center" shrinkToFit="1"/>
    </xf>
    <xf numFmtId="0" fontId="22" fillId="2" borderId="288" xfId="0" applyFont="1" applyFill="1" applyBorder="1" applyAlignment="1">
      <alignment horizontal="left" vertical="center" shrinkToFit="1"/>
    </xf>
    <xf numFmtId="0" fontId="22" fillId="2" borderId="297" xfId="0" applyFont="1" applyFill="1" applyBorder="1" applyAlignment="1">
      <alignment horizontal="left" vertical="center" shrinkToFit="1"/>
    </xf>
    <xf numFmtId="0" fontId="22" fillId="2" borderId="88" xfId="0" applyFont="1" applyFill="1" applyBorder="1" applyAlignment="1">
      <alignment horizontal="left" vertical="center" shrinkToFit="1"/>
    </xf>
    <xf numFmtId="0" fontId="22" fillId="2" borderId="296" xfId="0" applyFont="1" applyFill="1" applyBorder="1" applyAlignment="1">
      <alignment horizontal="left" vertical="center" shrinkToFit="1"/>
    </xf>
    <xf numFmtId="0" fontId="22" fillId="2" borderId="357" xfId="0" applyFont="1" applyFill="1" applyBorder="1" applyAlignment="1">
      <alignment horizontal="left" vertical="center" shrinkToFit="1"/>
    </xf>
    <xf numFmtId="0" fontId="22" fillId="2" borderId="322" xfId="0" applyFont="1" applyFill="1" applyBorder="1" applyAlignment="1">
      <alignment horizontal="left" vertical="center" shrinkToFit="1"/>
    </xf>
    <xf numFmtId="0" fontId="22" fillId="2" borderId="346" xfId="0" applyFont="1" applyFill="1" applyBorder="1" applyAlignment="1">
      <alignment horizontal="left" vertical="center" shrinkToFit="1"/>
    </xf>
    <xf numFmtId="0" fontId="22" fillId="2" borderId="33" xfId="0" applyFont="1" applyFill="1" applyBorder="1" applyAlignment="1">
      <alignment horizontal="left" vertical="center" shrinkToFit="1"/>
    </xf>
    <xf numFmtId="0" fontId="22" fillId="2" borderId="344" xfId="0" applyFont="1" applyFill="1" applyBorder="1" applyAlignment="1">
      <alignment horizontal="left" vertical="center" shrinkToFit="1"/>
    </xf>
    <xf numFmtId="0" fontId="22" fillId="2" borderId="400" xfId="0" applyFont="1" applyFill="1" applyBorder="1" applyAlignment="1">
      <alignment horizontal="center" vertical="center" shrinkToFit="1"/>
    </xf>
    <xf numFmtId="0" fontId="22" fillId="2" borderId="152" xfId="0" applyFont="1" applyFill="1" applyBorder="1" applyAlignment="1">
      <alignment horizontal="center" vertical="center" shrinkToFit="1"/>
    </xf>
    <xf numFmtId="0" fontId="22" fillId="2" borderId="339" xfId="0" applyFont="1" applyFill="1" applyBorder="1" applyAlignment="1">
      <alignment horizontal="center" vertical="center" shrinkToFit="1"/>
    </xf>
    <xf numFmtId="0" fontId="22" fillId="2" borderId="312" xfId="0" applyFont="1" applyFill="1" applyBorder="1" applyAlignment="1">
      <alignment horizontal="center" vertical="center" shrinkToFit="1"/>
    </xf>
    <xf numFmtId="0" fontId="22" fillId="6" borderId="296" xfId="0" applyFont="1" applyFill="1" applyBorder="1" applyAlignment="1" applyProtection="1">
      <alignment horizontal="center" vertical="center" shrinkToFit="1"/>
      <protection locked="0"/>
    </xf>
    <xf numFmtId="0" fontId="22" fillId="6" borderId="331" xfId="0" applyFont="1" applyFill="1" applyBorder="1" applyAlignment="1" applyProtection="1">
      <alignment horizontal="center" vertical="center" shrinkToFit="1"/>
      <protection locked="0"/>
    </xf>
    <xf numFmtId="0" fontId="22" fillId="2" borderId="330" xfId="0" applyFont="1" applyFill="1" applyBorder="1" applyAlignment="1">
      <alignment horizontal="center" vertical="center" wrapText="1" shrinkToFit="1"/>
    </xf>
    <xf numFmtId="0" fontId="46" fillId="0" borderId="6" xfId="0" applyFont="1" applyBorder="1" applyAlignment="1">
      <alignment horizontal="center" vertical="center"/>
    </xf>
    <xf numFmtId="0" fontId="46" fillId="0" borderId="96" xfId="0" applyFont="1" applyBorder="1" applyAlignment="1">
      <alignment horizontal="center" vertical="center"/>
    </xf>
    <xf numFmtId="0" fontId="46" fillId="0" borderId="48" xfId="0" applyFont="1" applyBorder="1" applyAlignment="1">
      <alignment horizontal="center" vertical="center"/>
    </xf>
    <xf numFmtId="0" fontId="46" fillId="0" borderId="131" xfId="0" applyFont="1" applyBorder="1" applyAlignment="1">
      <alignment horizontal="center" vertical="center"/>
    </xf>
    <xf numFmtId="0" fontId="22" fillId="2" borderId="311" xfId="0" applyFont="1" applyFill="1" applyBorder="1" applyAlignment="1">
      <alignment horizontal="center" vertical="center" wrapText="1" shrinkToFit="1"/>
    </xf>
    <xf numFmtId="0" fontId="22" fillId="2" borderId="300" xfId="0" applyFont="1" applyFill="1" applyBorder="1" applyAlignment="1">
      <alignment horizontal="center" vertical="center" wrapText="1" shrinkToFit="1"/>
    </xf>
    <xf numFmtId="0" fontId="22" fillId="2" borderId="303" xfId="0" applyFont="1" applyFill="1" applyBorder="1" applyAlignment="1">
      <alignment horizontal="center" vertical="center" wrapText="1" shrinkToFit="1"/>
    </xf>
    <xf numFmtId="0" fontId="58" fillId="2" borderId="326" xfId="0" applyFont="1" applyFill="1" applyBorder="1" applyAlignment="1">
      <alignment horizontal="center" vertical="center" wrapText="1" shrinkToFit="1"/>
    </xf>
    <xf numFmtId="0" fontId="58" fillId="2" borderId="330" xfId="0" applyFont="1" applyFill="1" applyBorder="1" applyAlignment="1">
      <alignment horizontal="center" vertical="center" wrapText="1" shrinkToFit="1"/>
    </xf>
    <xf numFmtId="0" fontId="22" fillId="2" borderId="287" xfId="0" applyFont="1" applyFill="1" applyBorder="1" applyAlignment="1">
      <alignment horizontal="center" vertical="center" shrinkToFit="1"/>
    </xf>
    <xf numFmtId="0" fontId="22" fillId="2" borderId="288" xfId="0" applyFont="1" applyFill="1" applyBorder="1" applyAlignment="1">
      <alignment horizontal="center" vertical="center" shrinkToFit="1"/>
    </xf>
    <xf numFmtId="0" fontId="22" fillId="0" borderId="336" xfId="0" applyFont="1" applyBorder="1" applyAlignment="1">
      <alignment horizontal="center" vertical="center" shrinkToFit="1"/>
    </xf>
    <xf numFmtId="0" fontId="22" fillId="0" borderId="307" xfId="0" applyFont="1" applyBorder="1" applyAlignment="1">
      <alignment horizontal="center" vertical="center" shrinkToFit="1"/>
    </xf>
    <xf numFmtId="0" fontId="22" fillId="2" borderId="328" xfId="0" applyFont="1" applyFill="1" applyBorder="1" applyAlignment="1">
      <alignment horizontal="center" vertical="center" shrinkToFit="1"/>
    </xf>
    <xf numFmtId="0" fontId="22" fillId="2" borderId="332" xfId="0" applyFont="1" applyFill="1" applyBorder="1" applyAlignment="1">
      <alignment horizontal="center" vertical="center" shrinkToFit="1"/>
    </xf>
    <xf numFmtId="0" fontId="22" fillId="2" borderId="441" xfId="0" applyFont="1" applyFill="1" applyBorder="1" applyAlignment="1">
      <alignment horizontal="center" vertical="center" shrinkToFit="1"/>
    </xf>
    <xf numFmtId="0" fontId="46" fillId="2" borderId="329" xfId="0" applyFont="1" applyFill="1" applyBorder="1" applyAlignment="1">
      <alignment horizontal="center" vertical="center" shrinkToFit="1"/>
    </xf>
    <xf numFmtId="0" fontId="46" fillId="2" borderId="333" xfId="0" applyFont="1" applyFill="1" applyBorder="1" applyAlignment="1">
      <alignment horizontal="center" vertical="center" shrinkToFit="1"/>
    </xf>
    <xf numFmtId="0" fontId="46" fillId="2" borderId="442" xfId="0" applyFont="1" applyFill="1" applyBorder="1" applyAlignment="1">
      <alignment horizontal="center" vertical="center" shrinkToFit="1"/>
    </xf>
    <xf numFmtId="0" fontId="23" fillId="0" borderId="293" xfId="0" applyFont="1" applyBorder="1" applyAlignment="1">
      <alignment horizontal="center" vertical="center" shrinkToFit="1"/>
    </xf>
    <xf numFmtId="0" fontId="23" fillId="0" borderId="334" xfId="0" applyFont="1" applyBorder="1" applyAlignment="1">
      <alignment horizontal="center" vertical="center" shrinkToFit="1"/>
    </xf>
    <xf numFmtId="0" fontId="23" fillId="0" borderId="232" xfId="0" applyFont="1" applyBorder="1" applyAlignment="1">
      <alignment horizontal="center" vertical="center" shrinkToFit="1"/>
    </xf>
    <xf numFmtId="0" fontId="22" fillId="2" borderId="247" xfId="0" applyFont="1" applyFill="1" applyBorder="1" applyAlignment="1">
      <alignment horizontal="center" vertical="center" wrapText="1" shrinkToFit="1"/>
    </xf>
    <xf numFmtId="0" fontId="22" fillId="0" borderId="48" xfId="0" applyFont="1" applyBorder="1" applyAlignment="1">
      <alignment horizontal="center" vertical="center" wrapText="1" shrinkToFit="1"/>
    </xf>
    <xf numFmtId="0" fontId="22" fillId="0" borderId="51" xfId="0" applyFont="1" applyBorder="1" applyAlignment="1">
      <alignment horizontal="center" vertical="center" wrapText="1" shrinkToFit="1"/>
    </xf>
    <xf numFmtId="0" fontId="22" fillId="0" borderId="76" xfId="0" applyFont="1" applyBorder="1" applyAlignment="1">
      <alignment horizontal="center" vertical="center" wrapText="1" shrinkToFit="1"/>
    </xf>
    <xf numFmtId="0" fontId="22" fillId="3" borderId="28" xfId="0" applyFont="1" applyFill="1" applyBorder="1" applyAlignment="1">
      <alignment horizontal="center" vertical="center" shrinkToFit="1"/>
    </xf>
    <xf numFmtId="0" fontId="22" fillId="3" borderId="53" xfId="0" applyFont="1" applyFill="1" applyBorder="1" applyAlignment="1">
      <alignment horizontal="center" vertical="center" shrinkToFit="1"/>
    </xf>
    <xf numFmtId="0" fontId="22" fillId="0" borderId="19" xfId="0" applyFont="1" applyBorder="1" applyAlignment="1">
      <alignment horizontal="center" vertical="center" wrapText="1" shrinkToFit="1"/>
    </xf>
    <xf numFmtId="0" fontId="22" fillId="0" borderId="21" xfId="0" applyFont="1" applyBorder="1" applyAlignment="1">
      <alignment horizontal="center" vertical="center" wrapText="1" shrinkToFit="1"/>
    </xf>
    <xf numFmtId="0" fontId="22" fillId="0" borderId="34" xfId="0" applyFont="1" applyBorder="1" applyAlignment="1">
      <alignment horizontal="center" vertical="center" wrapText="1" shrinkToFit="1"/>
    </xf>
    <xf numFmtId="0" fontId="46" fillId="0" borderId="11" xfId="0" applyFont="1" applyBorder="1" applyAlignment="1">
      <alignment horizontal="center" vertical="center"/>
    </xf>
    <xf numFmtId="0" fontId="46" fillId="0" borderId="31" xfId="0" applyFont="1" applyBorder="1" applyAlignment="1">
      <alignment horizontal="center" vertical="center"/>
    </xf>
    <xf numFmtId="0" fontId="46" fillId="0" borderId="95" xfId="0" applyFont="1" applyBorder="1" applyAlignment="1">
      <alignment horizontal="center" vertical="center"/>
    </xf>
    <xf numFmtId="0" fontId="46" fillId="0" borderId="97" xfId="0" applyFont="1" applyBorder="1" applyAlignment="1">
      <alignment horizontal="center" vertical="center"/>
    </xf>
    <xf numFmtId="0" fontId="46" fillId="0" borderId="68" xfId="0" applyFont="1" applyBorder="1" applyAlignment="1">
      <alignment horizontal="center" vertical="center" wrapText="1"/>
    </xf>
    <xf numFmtId="0" fontId="46" fillId="0" borderId="69" xfId="0" applyFont="1" applyBorder="1" applyAlignment="1">
      <alignment horizontal="center" vertical="center" wrapText="1"/>
    </xf>
    <xf numFmtId="0" fontId="22" fillId="3" borderId="274" xfId="0" applyFont="1" applyFill="1" applyBorder="1" applyAlignment="1">
      <alignment horizontal="center" vertical="center" shrinkToFit="1"/>
    </xf>
    <xf numFmtId="0" fontId="22" fillId="3" borderId="271" xfId="0" applyFont="1" applyFill="1" applyBorder="1" applyAlignment="1">
      <alignment horizontal="center" vertical="center"/>
    </xf>
    <xf numFmtId="0" fontId="22" fillId="3" borderId="275" xfId="0" applyFont="1" applyFill="1" applyBorder="1" applyAlignment="1">
      <alignment horizontal="center" vertical="center"/>
    </xf>
    <xf numFmtId="0" fontId="46" fillId="3" borderId="35" xfId="0" applyFont="1" applyFill="1" applyBorder="1" applyAlignment="1">
      <alignment horizontal="center" vertical="center" wrapText="1"/>
    </xf>
    <xf numFmtId="0" fontId="46" fillId="3" borderId="40" xfId="0" applyFont="1" applyFill="1" applyBorder="1" applyAlignment="1">
      <alignment horizontal="center" vertical="center" wrapText="1"/>
    </xf>
    <xf numFmtId="0" fontId="57" fillId="0" borderId="37" xfId="0" applyFont="1" applyBorder="1" applyAlignment="1">
      <alignment horizontal="center" vertical="center" wrapText="1"/>
    </xf>
    <xf numFmtId="0" fontId="46" fillId="0" borderId="9" xfId="0" applyFont="1" applyBorder="1" applyAlignment="1">
      <alignment horizontal="center" vertical="center"/>
    </xf>
    <xf numFmtId="0" fontId="46" fillId="0" borderId="6" xfId="0" applyFont="1" applyBorder="1" applyAlignment="1">
      <alignment horizontal="center" vertical="center" wrapText="1" shrinkToFit="1"/>
    </xf>
    <xf numFmtId="0" fontId="46" fillId="0" borderId="79" xfId="0" applyFont="1" applyBorder="1" applyAlignment="1">
      <alignment horizontal="center" vertical="center" wrapText="1" shrinkToFit="1"/>
    </xf>
    <xf numFmtId="0" fontId="46" fillId="0" borderId="59" xfId="0" applyFont="1" applyBorder="1" applyAlignment="1">
      <alignment horizontal="center" vertical="center"/>
    </xf>
    <xf numFmtId="0" fontId="46" fillId="0" borderId="60" xfId="0" applyFont="1" applyBorder="1" applyAlignment="1">
      <alignment horizontal="center" vertical="center"/>
    </xf>
    <xf numFmtId="0" fontId="46" fillId="0" borderId="93" xfId="0" applyFont="1" applyBorder="1" applyAlignment="1">
      <alignment horizontal="center" vertical="center"/>
    </xf>
    <xf numFmtId="0" fontId="57" fillId="0" borderId="59" xfId="0" applyFont="1" applyBorder="1" applyAlignment="1">
      <alignment horizontal="center" vertical="center" wrapText="1" shrinkToFit="1"/>
    </xf>
    <xf numFmtId="0" fontId="57" fillId="0" borderId="60" xfId="0" applyFont="1" applyBorder="1" applyAlignment="1">
      <alignment horizontal="center" vertical="center" wrapText="1" shrinkToFit="1"/>
    </xf>
    <xf numFmtId="0" fontId="46" fillId="0" borderId="59" xfId="0" applyFont="1" applyBorder="1" applyAlignment="1">
      <alignment horizontal="center" vertical="center" wrapText="1"/>
    </xf>
    <xf numFmtId="0" fontId="46" fillId="0" borderId="60"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36" xfId="0" applyFont="1" applyBorder="1" applyAlignment="1">
      <alignment horizontal="center" vertical="center"/>
    </xf>
    <xf numFmtId="0" fontId="46" fillId="0" borderId="10" xfId="0" applyFont="1" applyBorder="1" applyAlignment="1">
      <alignment horizontal="center" vertical="center"/>
    </xf>
    <xf numFmtId="0" fontId="46" fillId="0" borderId="11" xfId="0" applyFont="1" applyBorder="1" applyAlignment="1">
      <alignment horizontal="center" vertical="center" wrapText="1"/>
    </xf>
    <xf numFmtId="0" fontId="46" fillId="0" borderId="36" xfId="0" applyFont="1" applyBorder="1" applyAlignment="1">
      <alignment horizontal="center" vertical="center" wrapText="1"/>
    </xf>
    <xf numFmtId="0" fontId="46" fillId="0" borderId="31" xfId="0" applyFont="1" applyBorder="1" applyAlignment="1">
      <alignment horizontal="center" vertical="center" wrapText="1"/>
    </xf>
    <xf numFmtId="0" fontId="46" fillId="0" borderId="17" xfId="0" applyFont="1" applyBorder="1" applyAlignment="1">
      <alignment horizontal="center" vertical="center" shrinkToFit="1"/>
    </xf>
    <xf numFmtId="0" fontId="46" fillId="0" borderId="18" xfId="0" applyFont="1" applyBorder="1" applyAlignment="1">
      <alignment horizontal="center" vertical="center" shrinkToFit="1"/>
    </xf>
    <xf numFmtId="0" fontId="46" fillId="0" borderId="33" xfId="0" applyFont="1" applyBorder="1" applyAlignment="1">
      <alignment horizontal="center" vertical="center" shrinkToFit="1"/>
    </xf>
    <xf numFmtId="0" fontId="22" fillId="0" borderId="4" xfId="0" applyFont="1" applyBorder="1" applyAlignment="1">
      <alignment horizontal="center" vertical="center" shrinkToFit="1"/>
    </xf>
    <xf numFmtId="0" fontId="22" fillId="0" borderId="95" xfId="0" applyFont="1" applyBorder="1" applyAlignment="1">
      <alignment horizontal="center" vertical="center" shrinkToFit="1"/>
    </xf>
    <xf numFmtId="0" fontId="22" fillId="0" borderId="97" xfId="0" applyFont="1" applyBorder="1" applyAlignment="1">
      <alignment horizontal="center" vertical="center" shrinkToFit="1"/>
    </xf>
    <xf numFmtId="0" fontId="41" fillId="0" borderId="95" xfId="0" applyFont="1" applyBorder="1" applyAlignment="1">
      <alignment horizontal="center" vertical="center" shrinkToFit="1"/>
    </xf>
    <xf numFmtId="0" fontId="22" fillId="6" borderId="0" xfId="0" applyFont="1" applyFill="1" applyAlignment="1" applyProtection="1">
      <alignment horizontal="center" vertical="center" shrinkToFit="1"/>
      <protection locked="0"/>
    </xf>
    <xf numFmtId="0" fontId="22" fillId="2" borderId="305" xfId="0" applyFont="1" applyFill="1" applyBorder="1" applyAlignment="1">
      <alignment horizontal="center" vertical="center" shrinkToFit="1"/>
    </xf>
    <xf numFmtId="0" fontId="22" fillId="2" borderId="306" xfId="0" applyFont="1" applyFill="1" applyBorder="1" applyAlignment="1">
      <alignment horizontal="center" vertical="center" shrinkToFit="1"/>
    </xf>
    <xf numFmtId="0" fontId="22" fillId="6" borderId="307" xfId="0" applyFont="1" applyFill="1" applyBorder="1" applyAlignment="1" applyProtection="1">
      <alignment horizontal="center" vertical="center" shrinkToFit="1"/>
      <protection locked="0"/>
    </xf>
    <xf numFmtId="0" fontId="22" fillId="2" borderId="303" xfId="0" applyFont="1" applyFill="1" applyBorder="1" applyAlignment="1">
      <alignment horizontal="center" vertical="center" shrinkToFit="1"/>
    </xf>
    <xf numFmtId="0" fontId="22" fillId="2" borderId="245" xfId="0" applyFont="1" applyFill="1" applyBorder="1" applyAlignment="1">
      <alignment horizontal="center" vertical="center" shrinkToFit="1"/>
    </xf>
    <xf numFmtId="0" fontId="22" fillId="2" borderId="277" xfId="0" applyFont="1" applyFill="1" applyBorder="1" applyAlignment="1">
      <alignment horizontal="center" vertical="center" shrinkToFit="1"/>
    </xf>
    <xf numFmtId="0" fontId="22" fillId="2" borderId="169" xfId="0" applyFont="1" applyFill="1" applyBorder="1" applyAlignment="1">
      <alignment horizontal="center" vertical="center" shrinkToFit="1"/>
    </xf>
    <xf numFmtId="0" fontId="22" fillId="2" borderId="30" xfId="0" applyFont="1" applyFill="1" applyBorder="1" applyAlignment="1">
      <alignment horizontal="center" vertical="center" shrinkToFit="1"/>
    </xf>
    <xf numFmtId="0" fontId="22" fillId="2" borderId="278" xfId="0" applyFont="1" applyFill="1" applyBorder="1" applyAlignment="1">
      <alignment horizontal="center" vertical="center" shrinkToFit="1"/>
    </xf>
    <xf numFmtId="0" fontId="22" fillId="6" borderId="279" xfId="0" applyFont="1" applyFill="1" applyBorder="1" applyAlignment="1" applyProtection="1">
      <alignment horizontal="center" vertical="center" shrinkToFit="1"/>
      <protection locked="0"/>
    </xf>
    <xf numFmtId="0" fontId="22" fillId="2" borderId="285" xfId="0" applyFont="1" applyFill="1" applyBorder="1" applyAlignment="1">
      <alignment horizontal="center" vertical="center" shrinkToFit="1"/>
    </xf>
    <xf numFmtId="0" fontId="22" fillId="2" borderId="286" xfId="0" applyFont="1" applyFill="1" applyBorder="1" applyAlignment="1">
      <alignment horizontal="center" vertical="center" shrinkToFit="1"/>
    </xf>
    <xf numFmtId="0" fontId="56" fillId="2" borderId="0" xfId="0" applyFont="1" applyFill="1" applyAlignment="1">
      <alignment horizontal="center" vertical="center"/>
    </xf>
    <xf numFmtId="0" fontId="22" fillId="3" borderId="208" xfId="0" applyFont="1" applyFill="1" applyBorder="1" applyAlignment="1">
      <alignment horizontal="center" vertical="center" shrinkToFit="1"/>
    </xf>
    <xf numFmtId="0" fontId="22" fillId="3" borderId="128" xfId="0" applyFont="1" applyFill="1" applyBorder="1" applyAlignment="1">
      <alignment horizontal="center" vertical="center" shrinkToFit="1"/>
    </xf>
    <xf numFmtId="0" fontId="22" fillId="3" borderId="121" xfId="0" applyFont="1" applyFill="1" applyBorder="1" applyAlignment="1">
      <alignment horizontal="center" vertical="center" shrinkToFit="1"/>
    </xf>
    <xf numFmtId="0" fontId="22" fillId="3" borderId="101" xfId="0" applyFont="1" applyFill="1" applyBorder="1" applyAlignment="1">
      <alignment horizontal="center" vertical="center" shrinkToFit="1"/>
    </xf>
    <xf numFmtId="0" fontId="22" fillId="3" borderId="266" xfId="0" applyFont="1" applyFill="1" applyBorder="1" applyAlignment="1">
      <alignment horizontal="center" vertical="center" wrapText="1"/>
    </xf>
    <xf numFmtId="0" fontId="22" fillId="3" borderId="267" xfId="0" applyFont="1" applyFill="1" applyBorder="1" applyAlignment="1">
      <alignment horizontal="center" vertical="center" wrapText="1"/>
    </xf>
    <xf numFmtId="0" fontId="22" fillId="3" borderId="268" xfId="0" applyFont="1" applyFill="1" applyBorder="1" applyAlignment="1">
      <alignment horizontal="center" vertical="center" wrapText="1"/>
    </xf>
    <xf numFmtId="0" fontId="22" fillId="3" borderId="186" xfId="0" applyFont="1" applyFill="1" applyBorder="1" applyAlignment="1">
      <alignment horizontal="center" vertical="center" shrinkToFit="1"/>
    </xf>
    <xf numFmtId="0" fontId="22" fillId="3" borderId="187" xfId="0" applyFont="1" applyFill="1" applyBorder="1" applyAlignment="1">
      <alignment horizontal="center" vertical="center" shrinkToFit="1"/>
    </xf>
    <xf numFmtId="0" fontId="22" fillId="3" borderId="188" xfId="0" applyFont="1" applyFill="1" applyBorder="1" applyAlignment="1">
      <alignment horizontal="center" vertical="center" shrinkToFit="1"/>
    </xf>
    <xf numFmtId="0" fontId="46" fillId="3" borderId="30" xfId="0" applyFont="1" applyFill="1" applyBorder="1" applyAlignment="1">
      <alignment horizontal="center" vertical="center" wrapText="1"/>
    </xf>
    <xf numFmtId="0" fontId="46" fillId="3" borderId="31" xfId="0" applyFont="1" applyFill="1" applyBorder="1" applyAlignment="1">
      <alignment horizontal="center" vertical="center" wrapText="1"/>
    </xf>
    <xf numFmtId="0" fontId="22" fillId="3" borderId="11" xfId="0" applyFont="1" applyFill="1" applyBorder="1" applyAlignment="1">
      <alignment horizontal="center" vertical="center" shrinkToFit="1"/>
    </xf>
    <xf numFmtId="0" fontId="22" fillId="3" borderId="38" xfId="0" applyFont="1" applyFill="1" applyBorder="1" applyAlignment="1">
      <alignment horizontal="center" vertical="center" shrinkToFit="1"/>
    </xf>
    <xf numFmtId="0" fontId="22" fillId="3" borderId="31" xfId="0" applyFont="1" applyFill="1" applyBorder="1" applyAlignment="1">
      <alignment horizontal="center" vertical="center" shrinkToFit="1"/>
    </xf>
    <xf numFmtId="0" fontId="56" fillId="2" borderId="0" xfId="0" applyFont="1" applyFill="1" applyAlignment="1">
      <alignment horizontal="right" vertical="center"/>
    </xf>
    <xf numFmtId="0" fontId="46" fillId="2" borderId="408" xfId="0" applyFont="1" applyFill="1" applyBorder="1" applyAlignment="1">
      <alignment horizontal="center" vertical="center" shrinkToFit="1"/>
    </xf>
    <xf numFmtId="0" fontId="46" fillId="2" borderId="409" xfId="0" applyFont="1" applyFill="1" applyBorder="1" applyAlignment="1">
      <alignment horizontal="center" vertical="center" shrinkToFit="1"/>
    </xf>
    <xf numFmtId="0" fontId="22" fillId="2" borderId="17" xfId="0" applyFont="1" applyFill="1" applyBorder="1" applyAlignment="1">
      <alignment horizontal="left" vertical="center" wrapText="1"/>
    </xf>
    <xf numFmtId="0" fontId="22" fillId="2" borderId="18" xfId="0" applyFont="1" applyFill="1" applyBorder="1" applyAlignment="1">
      <alignment horizontal="left" vertical="center" wrapText="1"/>
    </xf>
    <xf numFmtId="0" fontId="22" fillId="2" borderId="405" xfId="0" applyFont="1" applyFill="1" applyBorder="1" applyAlignment="1">
      <alignment horizontal="left" vertical="center" wrapText="1"/>
    </xf>
    <xf numFmtId="0" fontId="22" fillId="2" borderId="269" xfId="0" applyFont="1" applyFill="1" applyBorder="1" applyAlignment="1">
      <alignment horizontal="center" vertical="center" shrinkToFit="1"/>
    </xf>
    <xf numFmtId="0" fontId="22" fillId="2" borderId="67" xfId="0" applyFont="1" applyFill="1" applyBorder="1" applyAlignment="1">
      <alignment horizontal="center" vertical="center" shrinkToFit="1"/>
    </xf>
    <xf numFmtId="0" fontId="22" fillId="2" borderId="300" xfId="0" applyFont="1" applyFill="1" applyBorder="1" applyAlignment="1">
      <alignment horizontal="center" vertical="center" shrinkToFit="1"/>
    </xf>
    <xf numFmtId="0" fontId="22" fillId="2" borderId="15" xfId="0" applyFont="1" applyFill="1" applyBorder="1" applyAlignment="1">
      <alignment horizontal="center" vertical="center" shrinkToFit="1"/>
    </xf>
    <xf numFmtId="0" fontId="22" fillId="2" borderId="368" xfId="0" applyFont="1" applyFill="1" applyBorder="1" applyAlignment="1">
      <alignment horizontal="center" vertical="center" shrinkToFit="1"/>
    </xf>
    <xf numFmtId="0" fontId="22" fillId="2" borderId="398" xfId="0" applyFont="1" applyFill="1" applyBorder="1" applyAlignment="1">
      <alignment horizontal="center" vertical="center" shrinkToFit="1"/>
    </xf>
    <xf numFmtId="0" fontId="22" fillId="2" borderId="21" xfId="0" applyFont="1" applyFill="1" applyBorder="1" applyAlignment="1">
      <alignment horizontal="center" vertical="center" shrinkToFit="1"/>
    </xf>
    <xf numFmtId="0" fontId="22" fillId="2" borderId="403" xfId="0" applyFont="1" applyFill="1" applyBorder="1" applyAlignment="1">
      <alignment horizontal="center" vertical="center" shrinkToFit="1"/>
    </xf>
    <xf numFmtId="0" fontId="22" fillId="2" borderId="311" xfId="0" applyFont="1" applyFill="1" applyBorder="1" applyAlignment="1">
      <alignment horizontal="center" vertical="center" shrinkToFit="1"/>
    </xf>
    <xf numFmtId="0" fontId="22" fillId="2" borderId="265" xfId="0" applyFont="1" applyFill="1" applyBorder="1" applyAlignment="1">
      <alignment horizontal="center" vertical="center" shrinkToFit="1"/>
    </xf>
    <xf numFmtId="0" fontId="9" fillId="2" borderId="402" xfId="1" applyFont="1" applyFill="1" applyBorder="1" applyAlignment="1">
      <alignment horizontal="center" vertical="center" shrinkToFit="1"/>
    </xf>
    <xf numFmtId="0" fontId="9" fillId="2" borderId="307" xfId="1" applyFont="1" applyFill="1" applyBorder="1" applyAlignment="1">
      <alignment horizontal="center" vertical="center" shrinkToFit="1"/>
    </xf>
    <xf numFmtId="0" fontId="42" fillId="2" borderId="19" xfId="0" applyFont="1" applyFill="1" applyBorder="1" applyAlignment="1">
      <alignment horizontal="center" vertical="center" wrapText="1"/>
    </xf>
    <xf numFmtId="0" fontId="42" fillId="2" borderId="347" xfId="0" applyFont="1" applyFill="1" applyBorder="1" applyAlignment="1">
      <alignment horizontal="center" vertical="center" wrapText="1"/>
    </xf>
    <xf numFmtId="0" fontId="42" fillId="2" borderId="21" xfId="0" applyFont="1" applyFill="1" applyBorder="1" applyAlignment="1">
      <alignment horizontal="center" vertical="center" wrapText="1"/>
    </xf>
    <xf numFmtId="0" fontId="42" fillId="2" borderId="302" xfId="0" applyFont="1" applyFill="1" applyBorder="1" applyAlignment="1">
      <alignment horizontal="center" vertical="center" wrapText="1"/>
    </xf>
    <xf numFmtId="0" fontId="42" fillId="2" borderId="246" xfId="0" applyFont="1" applyFill="1" applyBorder="1" applyAlignment="1">
      <alignment horizontal="center" vertical="center" wrapText="1"/>
    </xf>
    <xf numFmtId="0" fontId="42" fillId="2" borderId="325" xfId="0" applyFont="1" applyFill="1" applyBorder="1" applyAlignment="1">
      <alignment horizontal="center" vertical="center" wrapText="1"/>
    </xf>
    <xf numFmtId="0" fontId="22" fillId="2" borderId="343" xfId="0" applyFont="1" applyFill="1" applyBorder="1" applyAlignment="1">
      <alignment horizontal="center" vertical="center" wrapText="1" shrinkToFit="1"/>
    </xf>
    <xf numFmtId="0" fontId="22" fillId="2" borderId="16" xfId="0" applyFont="1" applyFill="1" applyBorder="1" applyAlignment="1">
      <alignment horizontal="center" vertical="center" wrapText="1" shrinkToFit="1"/>
    </xf>
    <xf numFmtId="0" fontId="22" fillId="2" borderId="15" xfId="0" applyFont="1" applyFill="1" applyBorder="1" applyAlignment="1">
      <alignment horizontal="center" vertical="center" wrapText="1" shrinkToFit="1"/>
    </xf>
    <xf numFmtId="0" fontId="22" fillId="2" borderId="245" xfId="0" applyFont="1" applyFill="1" applyBorder="1" applyAlignment="1">
      <alignment horizontal="center" vertical="center" wrapText="1" shrinkToFit="1"/>
    </xf>
    <xf numFmtId="206" fontId="9" fillId="2" borderId="300" xfId="1" applyNumberFormat="1" applyFont="1" applyFill="1" applyBorder="1" applyAlignment="1">
      <alignment horizontal="center" vertical="center" wrapText="1" shrinkToFit="1"/>
    </xf>
    <xf numFmtId="206" fontId="9" fillId="2" borderId="303" xfId="1" applyNumberFormat="1" applyFont="1" applyFill="1" applyBorder="1" applyAlignment="1">
      <alignment horizontal="center" vertical="center" wrapText="1" shrinkToFit="1"/>
    </xf>
    <xf numFmtId="206" fontId="9" fillId="2" borderId="389" xfId="1" applyNumberFormat="1" applyFont="1" applyFill="1" applyBorder="1" applyAlignment="1">
      <alignment horizontal="center" vertical="center" wrapText="1" shrinkToFit="1"/>
    </xf>
    <xf numFmtId="206" fontId="9" fillId="2" borderId="248" xfId="1" applyNumberFormat="1" applyFont="1" applyFill="1" applyBorder="1" applyAlignment="1">
      <alignment horizontal="center" vertical="center" wrapText="1" shrinkToFit="1"/>
    </xf>
    <xf numFmtId="195" fontId="9" fillId="2" borderId="388" xfId="1" applyNumberFormat="1" applyFont="1" applyFill="1" applyBorder="1" applyAlignment="1">
      <alignment horizontal="right" vertical="center" shrinkToFit="1"/>
    </xf>
    <xf numFmtId="195" fontId="9" fillId="2" borderId="330" xfId="1" applyNumberFormat="1" applyFont="1" applyFill="1" applyBorder="1" applyAlignment="1">
      <alignment horizontal="right" vertical="center" shrinkToFit="1"/>
    </xf>
    <xf numFmtId="195" fontId="9" fillId="2" borderId="247" xfId="1" applyNumberFormat="1" applyFont="1" applyFill="1" applyBorder="1" applyAlignment="1">
      <alignment horizontal="right" vertical="center" shrinkToFit="1"/>
    </xf>
    <xf numFmtId="0" fontId="22" fillId="2" borderId="392" xfId="0" applyFont="1" applyFill="1" applyBorder="1" applyAlignment="1">
      <alignment horizontal="center" vertical="center" shrinkToFit="1"/>
    </xf>
    <xf numFmtId="0" fontId="22" fillId="2" borderId="389" xfId="0" applyFont="1" applyFill="1" applyBorder="1" applyAlignment="1">
      <alignment horizontal="center" vertical="center" shrinkToFit="1"/>
    </xf>
    <xf numFmtId="0" fontId="22" fillId="2" borderId="248" xfId="0" applyFont="1" applyFill="1" applyBorder="1" applyAlignment="1">
      <alignment horizontal="center" vertical="center" shrinkToFit="1"/>
    </xf>
    <xf numFmtId="0" fontId="22" fillId="6" borderId="288" xfId="0" applyFont="1" applyFill="1" applyBorder="1" applyAlignment="1" applyProtection="1">
      <alignment horizontal="center" vertical="center" shrinkToFit="1"/>
      <protection locked="0"/>
    </xf>
    <xf numFmtId="0" fontId="22" fillId="6" borderId="327" xfId="0" applyFont="1" applyFill="1" applyBorder="1" applyAlignment="1" applyProtection="1">
      <alignment horizontal="center" vertical="center" shrinkToFit="1"/>
      <protection locked="0"/>
    </xf>
    <xf numFmtId="0" fontId="22" fillId="6" borderId="289" xfId="0" applyFont="1" applyFill="1" applyBorder="1" applyAlignment="1" applyProtection="1">
      <alignment horizontal="center" vertical="center" shrinkToFit="1"/>
      <protection locked="0"/>
    </xf>
    <xf numFmtId="0" fontId="22" fillId="6" borderId="350" xfId="0" applyFont="1" applyFill="1" applyBorder="1" applyAlignment="1" applyProtection="1">
      <alignment horizontal="center" vertical="center" shrinkToFit="1"/>
      <protection locked="0"/>
    </xf>
    <xf numFmtId="0" fontId="22" fillId="6" borderId="202" xfId="0" applyFont="1" applyFill="1" applyBorder="1" applyAlignment="1" applyProtection="1">
      <alignment horizontal="center" vertical="center" shrinkToFit="1"/>
      <protection locked="0"/>
    </xf>
    <xf numFmtId="0" fontId="22" fillId="2" borderId="343" xfId="0" applyFont="1" applyFill="1" applyBorder="1" applyAlignment="1">
      <alignment horizontal="center" vertical="center" shrinkToFit="1"/>
    </xf>
    <xf numFmtId="0" fontId="22" fillId="2" borderId="344" xfId="0" applyFont="1" applyFill="1" applyBorder="1" applyAlignment="1">
      <alignment horizontal="center" vertical="center" shrinkToFit="1"/>
    </xf>
    <xf numFmtId="0" fontId="22" fillId="6" borderId="344" xfId="0" applyFont="1" applyFill="1" applyBorder="1" applyAlignment="1" applyProtection="1">
      <alignment horizontal="center" vertical="center" shrinkToFit="1"/>
      <protection locked="0"/>
    </xf>
    <xf numFmtId="0" fontId="22" fillId="6" borderId="345" xfId="0" applyFont="1" applyFill="1" applyBorder="1" applyAlignment="1" applyProtection="1">
      <alignment horizontal="center" vertical="center" shrinkToFit="1"/>
      <protection locked="0"/>
    </xf>
    <xf numFmtId="0" fontId="22" fillId="6" borderId="346" xfId="0" applyFont="1" applyFill="1" applyBorder="1" applyAlignment="1" applyProtection="1">
      <alignment horizontal="center" vertical="center" shrinkToFit="1"/>
      <protection locked="0"/>
    </xf>
    <xf numFmtId="0" fontId="46" fillId="3" borderId="36" xfId="0" applyFont="1" applyFill="1" applyBorder="1" applyAlignment="1">
      <alignment horizontal="center" vertical="center" wrapText="1"/>
    </xf>
    <xf numFmtId="0" fontId="46" fillId="3" borderId="21" xfId="0" applyFont="1" applyFill="1" applyBorder="1" applyAlignment="1">
      <alignment horizontal="center" vertical="center" wrapText="1"/>
    </xf>
    <xf numFmtId="0" fontId="46" fillId="3" borderId="0" xfId="0" applyFont="1" applyFill="1" applyAlignment="1">
      <alignment horizontal="center" vertical="center" wrapText="1"/>
    </xf>
    <xf numFmtId="0" fontId="46" fillId="3" borderId="56" xfId="0" applyFont="1" applyFill="1" applyBorder="1" applyAlignment="1">
      <alignment horizontal="center" vertical="center" wrapText="1"/>
    </xf>
    <xf numFmtId="0" fontId="46" fillId="3" borderId="39" xfId="0" applyFont="1" applyFill="1" applyBorder="1" applyAlignment="1">
      <alignment horizontal="center" vertical="center" wrapText="1"/>
    </xf>
    <xf numFmtId="0" fontId="22" fillId="3" borderId="30" xfId="0" applyFont="1" applyFill="1" applyBorder="1" applyAlignment="1">
      <alignment horizontal="center" vertical="center"/>
    </xf>
    <xf numFmtId="0" fontId="22" fillId="3" borderId="36" xfId="0" applyFont="1" applyFill="1" applyBorder="1" applyAlignment="1">
      <alignment horizontal="center" vertical="center"/>
    </xf>
    <xf numFmtId="0" fontId="22" fillId="3" borderId="295" xfId="0" applyFont="1" applyFill="1" applyBorder="1" applyAlignment="1">
      <alignment horizontal="center" vertical="center"/>
    </xf>
    <xf numFmtId="0" fontId="22" fillId="3" borderId="88" xfId="0" applyFont="1" applyFill="1" applyBorder="1" applyAlignment="1">
      <alignment horizontal="center" vertical="center"/>
    </xf>
    <xf numFmtId="0" fontId="22" fillId="3" borderId="391" xfId="0" applyFont="1" applyFill="1" applyBorder="1" applyAlignment="1">
      <alignment horizontal="center" vertical="center" shrinkToFit="1"/>
    </xf>
    <xf numFmtId="0" fontId="22" fillId="3" borderId="210" xfId="0" applyFont="1" applyFill="1" applyBorder="1" applyAlignment="1">
      <alignment horizontal="center" vertical="center" shrinkToFit="1"/>
    </xf>
    <xf numFmtId="0" fontId="22" fillId="3" borderId="368" xfId="0" applyFont="1" applyFill="1" applyBorder="1" applyAlignment="1">
      <alignment horizontal="center" vertical="center" shrinkToFit="1"/>
    </xf>
    <xf numFmtId="0" fontId="22" fillId="3" borderId="146" xfId="0" applyFont="1" applyFill="1" applyBorder="1" applyAlignment="1">
      <alignment horizontal="center" vertical="center" shrinkToFit="1"/>
    </xf>
    <xf numFmtId="0" fontId="22" fillId="3" borderId="390" xfId="0" applyFont="1" applyFill="1" applyBorder="1" applyAlignment="1">
      <alignment horizontal="center" vertical="center" shrinkToFit="1"/>
    </xf>
    <xf numFmtId="0" fontId="46" fillId="2" borderId="337" xfId="0" applyFont="1" applyFill="1" applyBorder="1" applyAlignment="1">
      <alignment horizontal="center" vertical="center" shrinkToFit="1"/>
    </xf>
    <xf numFmtId="0" fontId="22" fillId="2" borderId="342" xfId="0" applyFont="1" applyFill="1" applyBorder="1" applyAlignment="1">
      <alignment horizontal="center" vertical="center" shrinkToFit="1"/>
    </xf>
    <xf numFmtId="0" fontId="22" fillId="2" borderId="66" xfId="0" applyFont="1" applyFill="1" applyBorder="1" applyAlignment="1">
      <alignment horizontal="center" vertical="center" shrinkToFit="1"/>
    </xf>
    <xf numFmtId="0" fontId="22" fillId="2" borderId="284" xfId="0" applyFont="1" applyFill="1" applyBorder="1" applyAlignment="1">
      <alignment horizontal="center" vertical="center" shrinkToFit="1"/>
    </xf>
    <xf numFmtId="0" fontId="22" fillId="2" borderId="318" xfId="0" applyFont="1" applyFill="1" applyBorder="1" applyAlignment="1">
      <alignment horizontal="center" vertical="center" shrinkToFit="1"/>
    </xf>
    <xf numFmtId="0" fontId="22" fillId="3" borderId="435" xfId="0" applyFont="1" applyFill="1" applyBorder="1" applyAlignment="1">
      <alignment horizontal="center" vertical="center" wrapText="1"/>
    </xf>
    <xf numFmtId="0" fontId="22" fillId="3" borderId="436" xfId="0" applyFont="1" applyFill="1" applyBorder="1" applyAlignment="1">
      <alignment horizontal="center" vertical="center" wrapText="1"/>
    </xf>
    <xf numFmtId="0" fontId="22" fillId="3" borderId="437" xfId="0" applyFont="1" applyFill="1" applyBorder="1" applyAlignment="1">
      <alignment horizontal="center" vertical="center" wrapText="1"/>
    </xf>
    <xf numFmtId="0" fontId="22" fillId="3" borderId="438" xfId="0" applyFont="1" applyFill="1" applyBorder="1" applyAlignment="1">
      <alignment horizontal="center" vertical="center" wrapText="1"/>
    </xf>
    <xf numFmtId="0" fontId="22" fillId="3" borderId="100" xfId="0" applyFont="1" applyFill="1" applyBorder="1" applyAlignment="1">
      <alignment horizontal="center" vertical="center" wrapText="1"/>
    </xf>
    <xf numFmtId="0" fontId="22" fillId="3" borderId="101" xfId="0" applyFont="1" applyFill="1" applyBorder="1" applyAlignment="1">
      <alignment horizontal="center" vertical="center" wrapText="1"/>
    </xf>
    <xf numFmtId="0" fontId="22" fillId="3" borderId="38" xfId="0" applyFont="1" applyFill="1" applyBorder="1" applyAlignment="1">
      <alignment horizontal="center" vertical="center" wrapText="1"/>
    </xf>
    <xf numFmtId="0" fontId="22" fillId="3" borderId="39" xfId="0" applyFont="1" applyFill="1" applyBorder="1" applyAlignment="1">
      <alignment horizontal="center" vertical="center" wrapText="1"/>
    </xf>
    <xf numFmtId="0" fontId="22" fillId="3" borderId="39" xfId="0" applyFont="1" applyFill="1" applyBorder="1" applyAlignment="1">
      <alignment horizontal="center" vertical="center" shrinkToFit="1"/>
    </xf>
    <xf numFmtId="0" fontId="22" fillId="3" borderId="96" xfId="0" applyFont="1" applyFill="1" applyBorder="1" applyAlignment="1">
      <alignment horizontal="center" vertical="center" shrinkToFit="1"/>
    </xf>
    <xf numFmtId="0" fontId="22" fillId="2" borderId="21" xfId="0" applyFont="1" applyFill="1" applyBorder="1" applyAlignment="1">
      <alignment horizontal="center" vertical="center"/>
    </xf>
    <xf numFmtId="0" fontId="22" fillId="2" borderId="15" xfId="0" applyFont="1" applyFill="1" applyBorder="1" applyAlignment="1">
      <alignment horizontal="center" vertical="center"/>
    </xf>
    <xf numFmtId="0" fontId="22" fillId="2" borderId="20" xfId="0" applyFont="1" applyFill="1" applyBorder="1" applyAlignment="1">
      <alignment horizontal="center" vertical="center"/>
    </xf>
    <xf numFmtId="0" fontId="21" fillId="6" borderId="1" xfId="0" applyFont="1" applyFill="1" applyBorder="1" applyAlignment="1" applyProtection="1">
      <alignment horizontal="center" vertical="center" shrinkToFit="1"/>
      <protection locked="0"/>
    </xf>
    <xf numFmtId="0" fontId="21" fillId="6" borderId="9" xfId="0" applyFont="1" applyFill="1" applyBorder="1" applyAlignment="1" applyProtection="1">
      <alignment horizontal="center" vertical="center" shrinkToFit="1"/>
      <protection locked="0"/>
    </xf>
    <xf numFmtId="0" fontId="21" fillId="6" borderId="79" xfId="0" applyFont="1" applyFill="1" applyBorder="1" applyAlignment="1" applyProtection="1">
      <alignment horizontal="center" vertical="center" shrinkToFit="1"/>
      <protection locked="0"/>
    </xf>
    <xf numFmtId="0" fontId="21" fillId="6" borderId="75" xfId="0" applyFont="1" applyFill="1" applyBorder="1" applyAlignment="1" applyProtection="1">
      <alignment horizontal="center" vertical="center" shrinkToFit="1"/>
      <protection locked="0"/>
    </xf>
    <xf numFmtId="0" fontId="21" fillId="6" borderId="51" xfId="0" applyFont="1" applyFill="1" applyBorder="1" applyAlignment="1" applyProtection="1">
      <alignment horizontal="center" vertical="center" shrinkToFit="1"/>
      <protection locked="0"/>
    </xf>
    <xf numFmtId="0" fontId="21" fillId="6" borderId="131" xfId="0" applyFont="1" applyFill="1" applyBorder="1" applyAlignment="1" applyProtection="1">
      <alignment horizontal="center" vertical="center" shrinkToFit="1"/>
      <protection locked="0"/>
    </xf>
    <xf numFmtId="0" fontId="21" fillId="2" borderId="20" xfId="0" applyFont="1" applyFill="1" applyBorder="1" applyAlignment="1">
      <alignment horizontal="center" vertical="top" textRotation="255" shrinkToFit="1"/>
    </xf>
    <xf numFmtId="0" fontId="21" fillId="2" borderId="13" xfId="0" applyFont="1" applyFill="1" applyBorder="1" applyAlignment="1">
      <alignment horizontal="center" vertical="top" textRotation="255" shrinkToFit="1"/>
    </xf>
    <xf numFmtId="182" fontId="21" fillId="2" borderId="1" xfId="5" applyNumberFormat="1" applyFont="1" applyFill="1" applyBorder="1" applyAlignment="1" applyProtection="1">
      <alignment horizontal="center" vertical="center"/>
    </xf>
    <xf numFmtId="182" fontId="21" fillId="2" borderId="9" xfId="5" applyNumberFormat="1" applyFont="1" applyFill="1" applyBorder="1" applyAlignment="1" applyProtection="1">
      <alignment horizontal="center" vertical="center"/>
    </xf>
    <xf numFmtId="182" fontId="21" fillId="2" borderId="79" xfId="5" applyNumberFormat="1" applyFont="1" applyFill="1" applyBorder="1" applyAlignment="1" applyProtection="1">
      <alignment horizontal="center" vertical="center"/>
    </xf>
    <xf numFmtId="0" fontId="22" fillId="2" borderId="0" xfId="0" applyFont="1" applyFill="1" applyAlignment="1">
      <alignment horizontal="left" vertical="center" shrinkToFit="1"/>
    </xf>
    <xf numFmtId="182" fontId="21" fillId="3" borderId="471" xfId="0" applyNumberFormat="1" applyFont="1" applyFill="1" applyBorder="1" applyAlignment="1">
      <alignment horizontal="center" vertical="center"/>
    </xf>
    <xf numFmtId="182" fontId="21" fillId="3" borderId="472" xfId="0" applyNumberFormat="1" applyFont="1" applyFill="1" applyBorder="1" applyAlignment="1">
      <alignment horizontal="center" vertical="center"/>
    </xf>
    <xf numFmtId="182" fontId="21" fillId="3" borderId="473" xfId="0" applyNumberFormat="1" applyFont="1" applyFill="1" applyBorder="1" applyAlignment="1">
      <alignment horizontal="center" vertical="center"/>
    </xf>
    <xf numFmtId="182" fontId="21" fillId="3" borderId="474" xfId="5" applyNumberFormat="1" applyFont="1" applyFill="1" applyBorder="1" applyAlignment="1" applyProtection="1">
      <alignment horizontal="center" vertical="center"/>
    </xf>
    <xf numFmtId="182" fontId="21" fillId="3" borderId="475" xfId="5" applyNumberFormat="1" applyFont="1" applyFill="1" applyBorder="1" applyAlignment="1" applyProtection="1">
      <alignment horizontal="center" vertical="center"/>
    </xf>
    <xf numFmtId="182" fontId="21" fillId="3" borderId="476" xfId="5" applyNumberFormat="1" applyFont="1" applyFill="1" applyBorder="1" applyAlignment="1" applyProtection="1">
      <alignment horizontal="center" vertical="center"/>
    </xf>
    <xf numFmtId="0" fontId="21" fillId="2" borderId="1" xfId="0" applyFont="1" applyFill="1" applyBorder="1" applyAlignment="1">
      <alignment horizontal="center" vertical="center" shrinkToFit="1"/>
    </xf>
    <xf numFmtId="0" fontId="21" fillId="2" borderId="9" xfId="0" applyFont="1" applyFill="1" applyBorder="1" applyAlignment="1">
      <alignment horizontal="center" vertical="center" shrinkToFit="1"/>
    </xf>
    <xf numFmtId="0" fontId="21" fillId="2" borderId="79" xfId="0" applyFont="1" applyFill="1" applyBorder="1" applyAlignment="1">
      <alignment horizontal="center" vertical="center" shrinkToFit="1"/>
    </xf>
    <xf numFmtId="0" fontId="21" fillId="2" borderId="30" xfId="0" applyFont="1" applyFill="1" applyBorder="1" applyAlignment="1">
      <alignment horizontal="center" vertical="center" shrinkToFit="1"/>
    </xf>
    <xf numFmtId="0" fontId="21" fillId="2" borderId="12" xfId="0" applyFont="1" applyFill="1" applyBorder="1" applyAlignment="1">
      <alignment horizontal="center" vertical="center" shrinkToFit="1"/>
    </xf>
    <xf numFmtId="0" fontId="21" fillId="2" borderId="77" xfId="0" applyFont="1" applyFill="1" applyBorder="1" applyAlignment="1">
      <alignment horizontal="center" vertical="center" textRotation="255"/>
    </xf>
    <xf numFmtId="0" fontId="21" fillId="2" borderId="78" xfId="0" applyFont="1" applyFill="1" applyBorder="1" applyAlignment="1">
      <alignment horizontal="center" vertical="center" textRotation="255"/>
    </xf>
    <xf numFmtId="0" fontId="21" fillId="2" borderId="145" xfId="0" applyFont="1" applyFill="1" applyBorder="1" applyAlignment="1">
      <alignment horizontal="center" vertical="center" textRotation="255"/>
    </xf>
    <xf numFmtId="0" fontId="21" fillId="2" borderId="80" xfId="0" applyFont="1" applyFill="1" applyBorder="1" applyAlignment="1">
      <alignment horizontal="center" vertical="center"/>
    </xf>
    <xf numFmtId="0" fontId="21" fillId="2" borderId="36" xfId="0" applyFont="1" applyFill="1" applyBorder="1" applyAlignment="1">
      <alignment horizontal="center" vertical="center"/>
    </xf>
    <xf numFmtId="0" fontId="21" fillId="2" borderId="12" xfId="0" applyFont="1" applyFill="1" applyBorder="1" applyAlignment="1">
      <alignment horizontal="center" vertical="center"/>
    </xf>
    <xf numFmtId="0" fontId="21" fillId="2" borderId="144" xfId="0" applyFont="1" applyFill="1" applyBorder="1" applyAlignment="1">
      <alignment horizontal="center" vertical="top" textRotation="255"/>
    </xf>
    <xf numFmtId="0" fontId="21" fillId="2" borderId="10" xfId="0" applyFont="1" applyFill="1" applyBorder="1" applyAlignment="1">
      <alignment horizontal="center" vertical="top" textRotation="255"/>
    </xf>
    <xf numFmtId="0" fontId="21" fillId="2" borderId="13" xfId="0" applyFont="1" applyFill="1" applyBorder="1" applyAlignment="1">
      <alignment horizontal="center" vertical="top" textRotation="255"/>
    </xf>
    <xf numFmtId="0" fontId="37" fillId="2" borderId="17" xfId="0" applyFont="1" applyFill="1" applyBorder="1" applyAlignment="1">
      <alignment horizontal="center" vertical="center" shrinkToFit="1"/>
    </xf>
    <xf numFmtId="0" fontId="37" fillId="2" borderId="18" xfId="0" applyFont="1" applyFill="1" applyBorder="1" applyAlignment="1">
      <alignment horizontal="center" vertical="center" shrinkToFit="1"/>
    </xf>
    <xf numFmtId="0" fontId="37" fillId="2" borderId="14" xfId="0" applyFont="1" applyFill="1" applyBorder="1" applyAlignment="1">
      <alignment horizontal="center" vertical="center" shrinkToFit="1"/>
    </xf>
    <xf numFmtId="0" fontId="21" fillId="2" borderId="0" xfId="0" applyFont="1" applyFill="1" applyAlignment="1">
      <alignment horizontal="center" vertical="center" shrinkToFit="1"/>
    </xf>
    <xf numFmtId="0" fontId="21" fillId="2" borderId="18" xfId="0" applyFont="1" applyFill="1" applyBorder="1" applyAlignment="1">
      <alignment horizontal="left" vertical="center"/>
    </xf>
    <xf numFmtId="0" fontId="21" fillId="2" borderId="14" xfId="0" applyFont="1" applyFill="1" applyBorder="1" applyAlignment="1">
      <alignment horizontal="left" vertical="center"/>
    </xf>
    <xf numFmtId="0" fontId="21" fillId="2" borderId="17" xfId="0" applyFont="1" applyFill="1" applyBorder="1" applyAlignment="1">
      <alignment horizontal="center" vertical="center"/>
    </xf>
    <xf numFmtId="0" fontId="21" fillId="2" borderId="18" xfId="0" applyFont="1" applyFill="1" applyBorder="1" applyAlignment="1">
      <alignment horizontal="center" vertical="center"/>
    </xf>
    <xf numFmtId="0" fontId="21" fillId="2" borderId="14" xfId="0" applyFont="1" applyFill="1" applyBorder="1" applyAlignment="1">
      <alignment horizontal="center" vertical="center"/>
    </xf>
    <xf numFmtId="0" fontId="9" fillId="4" borderId="18" xfId="0" applyFont="1" applyFill="1" applyBorder="1" applyAlignment="1" applyProtection="1">
      <alignment horizontal="center" vertical="center"/>
      <protection locked="0"/>
    </xf>
    <xf numFmtId="0" fontId="9" fillId="4" borderId="477" xfId="0" applyFont="1" applyFill="1" applyBorder="1" applyAlignment="1" applyProtection="1">
      <alignment horizontal="left" vertical="center" shrinkToFit="1"/>
      <protection locked="0"/>
    </xf>
    <xf numFmtId="0" fontId="9" fillId="4" borderId="478" xfId="0" applyFont="1" applyFill="1" applyBorder="1" applyAlignment="1" applyProtection="1">
      <alignment horizontal="left" vertical="center" shrinkToFit="1"/>
      <protection locked="0"/>
    </xf>
    <xf numFmtId="0" fontId="9" fillId="4" borderId="479" xfId="0" applyFont="1" applyFill="1" applyBorder="1" applyAlignment="1" applyProtection="1">
      <alignment horizontal="left" vertical="center" shrinkToFit="1"/>
      <protection locked="0"/>
    </xf>
    <xf numFmtId="0" fontId="9" fillId="4" borderId="84" xfId="0" applyFont="1" applyFill="1" applyBorder="1" applyAlignment="1" applyProtection="1">
      <alignment horizontal="left" vertical="center" shrinkToFit="1"/>
      <protection locked="0"/>
    </xf>
    <xf numFmtId="0" fontId="9" fillId="4" borderId="85" xfId="0" applyFont="1" applyFill="1" applyBorder="1" applyAlignment="1" applyProtection="1">
      <alignment horizontal="left" vertical="center" shrinkToFit="1"/>
      <protection locked="0"/>
    </xf>
    <xf numFmtId="0" fontId="9" fillId="4" borderId="86" xfId="0" applyFont="1" applyFill="1" applyBorder="1" applyAlignment="1" applyProtection="1">
      <alignment horizontal="left" vertical="center" shrinkToFit="1"/>
      <protection locked="0"/>
    </xf>
    <xf numFmtId="0" fontId="9" fillId="6" borderId="64" xfId="0" applyFont="1" applyFill="1" applyBorder="1" applyAlignment="1" applyProtection="1">
      <alignment horizontal="center" vertical="center" shrinkToFit="1"/>
      <protection locked="0"/>
    </xf>
    <xf numFmtId="0" fontId="9" fillId="4" borderId="64" xfId="0" applyFont="1" applyFill="1" applyBorder="1" applyAlignment="1" applyProtection="1">
      <alignment horizontal="left" vertical="center" shrinkToFit="1"/>
      <protection locked="0"/>
    </xf>
  </cellXfs>
  <cellStyles count="16">
    <cellStyle name="パーセント" xfId="5" builtinId="5"/>
    <cellStyle name="ハイパーリンク" xfId="12" builtinId="8"/>
    <cellStyle name="桁区切り" xfId="4" builtinId="6"/>
    <cellStyle name="桁区切り 2" xfId="2" xr:uid="{00000000-0005-0000-0000-000003000000}"/>
    <cellStyle name="標準" xfId="0" builtinId="0"/>
    <cellStyle name="標準 15" xfId="9" xr:uid="{00000000-0005-0000-0000-000005000000}"/>
    <cellStyle name="標準 2" xfId="1" xr:uid="{00000000-0005-0000-0000-000006000000}"/>
    <cellStyle name="標準 2 2" xfId="10" xr:uid="{00000000-0005-0000-0000-000007000000}"/>
    <cellStyle name="標準 2 4" xfId="6" xr:uid="{00000000-0005-0000-0000-000008000000}"/>
    <cellStyle name="標準 20" xfId="13" xr:uid="{00000000-0005-0000-0000-000009000000}"/>
    <cellStyle name="標準 22" xfId="15" xr:uid="{00000000-0005-0000-0000-00000A000000}"/>
    <cellStyle name="標準 3" xfId="3" xr:uid="{00000000-0005-0000-0000-00000B000000}"/>
    <cellStyle name="標準 3 2" xfId="7" xr:uid="{00000000-0005-0000-0000-00000C000000}"/>
    <cellStyle name="標準 3 2 4" xfId="14" xr:uid="{00000000-0005-0000-0000-00000D000000}"/>
    <cellStyle name="標準 4" xfId="11" xr:uid="{00000000-0005-0000-0000-00000E000000}"/>
    <cellStyle name="標準 4 2" xfId="8" xr:uid="{00000000-0005-0000-0000-00000F000000}"/>
  </cellStyles>
  <dxfs count="130">
    <dxf>
      <fill>
        <patternFill>
          <bgColor rgb="FFFF000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theme="6" tint="0.79998168889431442"/>
        </patternFill>
      </fill>
    </dxf>
    <dxf>
      <fill>
        <patternFill patternType="gray0625">
          <bgColor theme="0"/>
        </patternFill>
      </fill>
    </dxf>
    <dxf>
      <fill>
        <patternFill patternType="gray0625">
          <fgColor theme="1"/>
          <bgColor theme="0"/>
        </patternFill>
      </fill>
    </dxf>
    <dxf>
      <font>
        <strike/>
      </font>
      <fill>
        <patternFill>
          <bgColor theme="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FF0000"/>
      </font>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theme="6" tint="0.79998168889431442"/>
        </patternFill>
      </fill>
    </dxf>
    <dxf>
      <fill>
        <patternFill>
          <bgColor rgb="FFFF0000"/>
        </patternFill>
      </fill>
    </dxf>
    <dxf>
      <fill>
        <patternFill>
          <bgColor theme="9" tint="0.79998168889431442"/>
        </patternFill>
      </fill>
    </dxf>
    <dxf>
      <fill>
        <patternFill>
          <bgColor theme="6" tint="0.79998168889431442"/>
        </patternFill>
      </fill>
    </dxf>
    <dxf>
      <fill>
        <patternFill>
          <bgColor rgb="FFFF0000"/>
        </patternFill>
      </fill>
    </dxf>
    <dxf>
      <fill>
        <patternFill>
          <bgColor theme="9" tint="0.79998168889431442"/>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6" tint="0.79998168889431442"/>
        </patternFill>
      </fill>
    </dxf>
    <dxf>
      <fill>
        <patternFill>
          <bgColor rgb="FFFF0000"/>
        </patternFill>
      </fill>
    </dxf>
    <dxf>
      <fill>
        <patternFill>
          <bgColor theme="9"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theme="0" tint="-4.9989318521683403E-2"/>
        </patternFill>
      </fill>
    </dxf>
    <dxf>
      <font>
        <color rgb="FFFF0000"/>
      </font>
    </dxf>
    <dxf>
      <font>
        <color rgb="FFFF0000"/>
      </font>
    </dxf>
    <dxf>
      <font>
        <color rgb="FFFF0000"/>
      </font>
    </dxf>
    <dxf>
      <font>
        <color rgb="FFFF0000"/>
      </font>
    </dxf>
    <dxf>
      <fill>
        <patternFill>
          <bgColor theme="0" tint="-4.9989318521683403E-2"/>
        </patternFill>
      </fill>
    </dxf>
    <dxf>
      <fill>
        <patternFill>
          <bgColor theme="0" tint="-4.9989318521683403E-2"/>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protection locked="1" hidden="0"/>
    </dxf>
    <dxf>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border outline="0">
        <left style="thin">
          <color rgb="FF000000"/>
        </left>
        <right style="thin">
          <color rgb="FF000000"/>
        </right>
        <top style="thin">
          <color rgb="FF000000"/>
        </top>
        <bottom style="thin">
          <color rgb="FF000000"/>
        </bottom>
      </border>
    </dxf>
    <dxf>
      <protection locked="1" hidden="0"/>
    </dxf>
    <dxf>
      <font>
        <b/>
        <i val="0"/>
        <strike val="0"/>
        <condense val="0"/>
        <extend val="0"/>
        <outline val="0"/>
        <shadow val="0"/>
        <u val="none"/>
        <vertAlign val="baseline"/>
        <sz val="9"/>
        <color theme="1"/>
        <name val="ＭＳ ゴシック"/>
        <scheme val="none"/>
      </font>
      <numFmt numFmtId="0" formatCode="General"/>
      <alignment horizontal="center" vertical="center" textRotation="0" wrapText="0" indent="0" justifyLastLine="0" shrinkToFit="0" readingOrder="0"/>
      <protection locked="1" hidden="0"/>
    </dxf>
  </dxfs>
  <tableStyles count="0" defaultTableStyle="TableStyleMedium2" defaultPivotStyle="PivotStyleLight16"/>
  <colors>
    <mruColors>
      <color rgb="FFFFFFCC"/>
      <color rgb="FFFFCCFF"/>
      <color rgb="FFFF99FF"/>
      <color rgb="FFFF9900"/>
      <color rgb="FFCCECFF"/>
      <color rgb="FFFF99CC"/>
      <color rgb="FFFFCCCC"/>
      <color rgb="FFCC99FF"/>
      <color rgb="FF99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19</xdr:col>
      <xdr:colOff>0</xdr:colOff>
      <xdr:row>0</xdr:row>
      <xdr:rowOff>0</xdr:rowOff>
    </xdr:from>
    <xdr:to>
      <xdr:col>23</xdr:col>
      <xdr:colOff>476250</xdr:colOff>
      <xdr:row>2</xdr:row>
      <xdr:rowOff>295275</xdr:rowOff>
    </xdr:to>
    <xdr:sp macro="" textlink="">
      <xdr:nvSpPr>
        <xdr:cNvPr id="2" name="線吹き出し 1 (枠付き) 1">
          <a:extLst>
            <a:ext uri="{FF2B5EF4-FFF2-40B4-BE49-F238E27FC236}">
              <a16:creationId xmlns:a16="http://schemas.microsoft.com/office/drawing/2014/main" id="{00000000-0008-0000-0000-000002000000}"/>
            </a:ext>
          </a:extLst>
        </xdr:cNvPr>
        <xdr:cNvSpPr/>
      </xdr:nvSpPr>
      <xdr:spPr>
        <a:xfrm>
          <a:off x="14620875" y="0"/>
          <a:ext cx="3781425" cy="1019175"/>
        </a:xfrm>
        <a:prstGeom prst="borderCallout1">
          <a:avLst>
            <a:gd name="adj1" fmla="val 63983"/>
            <a:gd name="adj2" fmla="val 100767"/>
            <a:gd name="adj3" fmla="val 127791"/>
            <a:gd name="adj4" fmla="val 108812"/>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en-US" altLang="ja-JP" sz="1100"/>
            <a:t>=INDEX($S$4:$V$700,MATCH($W4&amp;X$3,INDEX($S$4:$S$700&amp;$U$4:$U$700,),0),MATCH("</a:t>
          </a:r>
          <a:r>
            <a:rPr kumimoji="1" lang="ja-JP" altLang="en-US" sz="1100"/>
            <a:t>施設名</a:t>
          </a:r>
          <a:r>
            <a:rPr kumimoji="1" lang="en-US" altLang="ja-JP" sz="1100"/>
            <a:t>",$S$3:$V$3,0))</a:t>
          </a:r>
          <a:r>
            <a:rPr kumimoji="1" lang="ja-JP" altLang="en-US" sz="1100"/>
            <a:t>と貼り付けてコピー</a:t>
          </a:r>
        </a:p>
      </xdr:txBody>
    </xdr:sp>
    <xdr:clientData/>
  </xdr:twoCellAnchor>
  <xdr:twoCellAnchor>
    <xdr:from>
      <xdr:col>23</xdr:col>
      <xdr:colOff>504824</xdr:colOff>
      <xdr:row>0</xdr:row>
      <xdr:rowOff>47624</xdr:rowOff>
    </xdr:from>
    <xdr:to>
      <xdr:col>29</xdr:col>
      <xdr:colOff>219074</xdr:colOff>
      <xdr:row>1</xdr:row>
      <xdr:rowOff>66675</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18430874" y="47624"/>
          <a:ext cx="3971925" cy="371476"/>
        </a:xfrm>
        <a:prstGeom prst="wedgeRectCallout">
          <a:avLst>
            <a:gd name="adj1" fmla="val -33775"/>
            <a:gd name="adj2" fmla="val 122828"/>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100"/>
            <a:t>=VLOOKUP(X2,$T$4:$U$700,2,FALSE)</a:t>
          </a:r>
          <a:r>
            <a:rPr kumimoji="1" lang="ja-JP" altLang="en-US" sz="1100"/>
            <a:t>と貼り付けてコピー</a:t>
          </a:r>
        </a:p>
      </xdr:txBody>
    </xdr:sp>
    <xdr:clientData/>
  </xdr:twoCellAnchor>
  <xdr:twoCellAnchor>
    <xdr:from>
      <xdr:col>25</xdr:col>
      <xdr:colOff>95250</xdr:colOff>
      <xdr:row>493</xdr:row>
      <xdr:rowOff>123825</xdr:rowOff>
    </xdr:from>
    <xdr:to>
      <xdr:col>31</xdr:col>
      <xdr:colOff>419100</xdr:colOff>
      <xdr:row>505</xdr:row>
      <xdr:rowOff>104775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9535775" y="83810475"/>
          <a:ext cx="4438650" cy="16954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a:t>
          </a:r>
          <a:r>
            <a:rPr kumimoji="1" lang="ja-JP" altLang="en-US" sz="1400"/>
            <a:t>　札幌市外の児童について</a:t>
          </a:r>
          <a:endParaRPr kumimoji="1" lang="en-US" altLang="ja-JP" sz="1400"/>
        </a:p>
        <a:p>
          <a:r>
            <a:rPr kumimoji="1" lang="ja-JP" altLang="en-US" sz="1400"/>
            <a:t>　貴施設に通所（園）している児童のうち、札幌市以外の児童全てを指します。</a:t>
          </a:r>
          <a:endParaRPr kumimoji="1" lang="en-US" altLang="ja-JP" sz="1400"/>
        </a:p>
        <a:p>
          <a:r>
            <a:rPr kumimoji="1" lang="ja-JP" altLang="en-US" sz="1400"/>
            <a:t>例）札幌市</a:t>
          </a:r>
          <a:r>
            <a:rPr kumimoji="1" lang="en-US" altLang="ja-JP" sz="1400"/>
            <a:t>2</a:t>
          </a:r>
          <a:r>
            <a:rPr kumimoji="1" lang="ja-JP" altLang="en-US" sz="1400"/>
            <a:t>人、○○市</a:t>
          </a:r>
          <a:r>
            <a:rPr kumimoji="1" lang="en-US" altLang="ja-JP" sz="1400"/>
            <a:t>5</a:t>
          </a:r>
          <a:r>
            <a:rPr kumimoji="1" lang="ja-JP" altLang="en-US" sz="1400"/>
            <a:t>人、△△市</a:t>
          </a:r>
          <a:r>
            <a:rPr kumimoji="1" lang="en-US" altLang="ja-JP" sz="1400"/>
            <a:t>3</a:t>
          </a:r>
          <a:r>
            <a:rPr kumimoji="1" lang="ja-JP" altLang="en-US" sz="1400"/>
            <a:t>人、貴施設の属する市</a:t>
          </a:r>
          <a:r>
            <a:rPr kumimoji="1" lang="en-US" altLang="ja-JP" sz="1400"/>
            <a:t>25</a:t>
          </a:r>
          <a:r>
            <a:rPr kumimoji="1" lang="ja-JP" altLang="en-US" sz="1400"/>
            <a:t>人</a:t>
          </a:r>
          <a:endParaRPr kumimoji="1" lang="en-US" altLang="ja-JP" sz="1400"/>
        </a:p>
        <a:p>
          <a:r>
            <a:rPr kumimoji="1" lang="ja-JP" altLang="en-US" sz="1400"/>
            <a:t>　⇒札幌市外：</a:t>
          </a:r>
          <a:r>
            <a:rPr kumimoji="1" lang="en-US" altLang="ja-JP" sz="1400"/>
            <a:t>33</a:t>
          </a:r>
          <a:r>
            <a:rPr kumimoji="1" lang="ja-JP" altLang="en-US" sz="1400"/>
            <a:t>人（＝</a:t>
          </a:r>
          <a:r>
            <a:rPr kumimoji="1" lang="en-US" altLang="ja-JP" sz="1400"/>
            <a:t>5+3+25</a:t>
          </a:r>
          <a:r>
            <a:rPr kumimoji="1" lang="ja-JP" altLang="en-US" sz="14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13</xdr:row>
      <xdr:rowOff>142874</xdr:rowOff>
    </xdr:from>
    <xdr:to>
      <xdr:col>12</xdr:col>
      <xdr:colOff>428625</xdr:colOff>
      <xdr:row>24</xdr:row>
      <xdr:rowOff>38099</xdr:rowOff>
    </xdr:to>
    <xdr:sp macro="" textlink="">
      <xdr:nvSpPr>
        <xdr:cNvPr id="2" name="左矢印吹き出し 1">
          <a:extLst>
            <a:ext uri="{FF2B5EF4-FFF2-40B4-BE49-F238E27FC236}">
              <a16:creationId xmlns:a16="http://schemas.microsoft.com/office/drawing/2014/main" id="{00000000-0008-0000-0100-000002000000}"/>
            </a:ext>
          </a:extLst>
        </xdr:cNvPr>
        <xdr:cNvSpPr/>
      </xdr:nvSpPr>
      <xdr:spPr>
        <a:xfrm>
          <a:off x="8229600" y="2752724"/>
          <a:ext cx="1666875" cy="1781175"/>
        </a:xfrm>
        <a:prstGeom prst="leftArrowCallou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不足している場合、「西暦</a:t>
          </a:r>
          <a:r>
            <a:rPr kumimoji="1" lang="en-US" altLang="ja-JP" sz="1100">
              <a:solidFill>
                <a:sysClr val="windowText" lastClr="000000"/>
              </a:solidFill>
            </a:rPr>
            <a:t>/</a:t>
          </a:r>
          <a:r>
            <a:rPr kumimoji="1" lang="ja-JP" altLang="en-US" sz="1100">
              <a:solidFill>
                <a:sysClr val="windowText" lastClr="000000"/>
              </a:solidFill>
            </a:rPr>
            <a:t>月</a:t>
          </a:r>
          <a:r>
            <a:rPr kumimoji="1" lang="en-US" altLang="ja-JP" sz="1100">
              <a:solidFill>
                <a:sysClr val="windowText" lastClr="000000"/>
              </a:solidFill>
            </a:rPr>
            <a:t>/</a:t>
          </a:r>
          <a:r>
            <a:rPr kumimoji="1" lang="ja-JP" altLang="en-US" sz="1100">
              <a:solidFill>
                <a:sysClr val="windowText" lastClr="000000"/>
              </a:solidFill>
            </a:rPr>
            <a:t>日」の形式で追加してください。</a:t>
          </a:r>
        </a:p>
      </xdr:txBody>
    </xdr:sp>
    <xdr:clientData/>
  </xdr:twoCellAnchor>
  <xdr:twoCellAnchor>
    <xdr:from>
      <xdr:col>10</xdr:col>
      <xdr:colOff>161925</xdr:colOff>
      <xdr:row>25</xdr:row>
      <xdr:rowOff>104775</xdr:rowOff>
    </xdr:from>
    <xdr:to>
      <xdr:col>12</xdr:col>
      <xdr:colOff>457200</xdr:colOff>
      <xdr:row>36</xdr:row>
      <xdr:rowOff>0</xdr:rowOff>
    </xdr:to>
    <xdr:sp macro="" textlink="">
      <xdr:nvSpPr>
        <xdr:cNvPr id="3" name="左矢印吹き出し 2">
          <a:extLst>
            <a:ext uri="{FF2B5EF4-FFF2-40B4-BE49-F238E27FC236}">
              <a16:creationId xmlns:a16="http://schemas.microsoft.com/office/drawing/2014/main" id="{00000000-0008-0000-0100-000003000000}"/>
            </a:ext>
          </a:extLst>
        </xdr:cNvPr>
        <xdr:cNvSpPr/>
      </xdr:nvSpPr>
      <xdr:spPr>
        <a:xfrm>
          <a:off x="8258175" y="4772025"/>
          <a:ext cx="1666875" cy="1781175"/>
        </a:xfrm>
        <a:prstGeom prst="leftArrowCallou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ysClr val="windowText" lastClr="000000"/>
              </a:solidFill>
            </a:rPr>
            <a:t>12/29</a:t>
          </a:r>
          <a:r>
            <a:rPr kumimoji="1" lang="ja-JP" altLang="en-US" sz="1100">
              <a:solidFill>
                <a:sysClr val="windowText" lastClr="000000"/>
              </a:solidFill>
            </a:rPr>
            <a:t>～</a:t>
          </a:r>
          <a:r>
            <a:rPr kumimoji="1" lang="en-US" altLang="ja-JP" sz="1100">
              <a:solidFill>
                <a:sysClr val="windowText" lastClr="000000"/>
              </a:solidFill>
            </a:rPr>
            <a:t>1/3</a:t>
          </a:r>
          <a:r>
            <a:rPr kumimoji="1" lang="ja-JP" altLang="en-US" sz="1100">
              <a:solidFill>
                <a:sysClr val="windowText" lastClr="000000"/>
              </a:solidFill>
            </a:rPr>
            <a:t>のうち、土曜日がある場合は入力すること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33</xdr:col>
      <xdr:colOff>38100</xdr:colOff>
      <xdr:row>0</xdr:row>
      <xdr:rowOff>0</xdr:rowOff>
    </xdr:from>
    <xdr:to>
      <xdr:col>33</xdr:col>
      <xdr:colOff>4178100</xdr:colOff>
      <xdr:row>6</xdr:row>
      <xdr:rowOff>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7490012" y="0"/>
          <a:ext cx="4140000" cy="11430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32</xdr:col>
      <xdr:colOff>214030</xdr:colOff>
      <xdr:row>6</xdr:row>
      <xdr:rowOff>38100</xdr:rowOff>
    </xdr:from>
    <xdr:to>
      <xdr:col>33</xdr:col>
      <xdr:colOff>4129912</xdr:colOff>
      <xdr:row>44</xdr:row>
      <xdr:rowOff>114301</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7441824" y="1181100"/>
          <a:ext cx="4140000" cy="724796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000" b="0">
              <a:solidFill>
                <a:srgbClr val="FF0000"/>
              </a:solidFill>
              <a:latin typeface="ＭＳ ゴシック" panose="020B0609070205080204" pitchFamily="49" charset="-128"/>
              <a:ea typeface="ＭＳ ゴシック" panose="020B0609070205080204" pitchFamily="49" charset="-128"/>
            </a:rPr>
            <a:t>・総括表は毎月分提出が必要です。</a:t>
          </a:r>
          <a:endParaRPr kumimoji="1" lang="en-US" altLang="ja-JP" sz="1000" b="0">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法人名・代表者名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給付係に登録した債権者と同一とすること。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申請月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申請月をドロップダウンから選択。様式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6</a:t>
          </a:r>
          <a:r>
            <a:rPr kumimoji="1" lang="ja-JP" altLang="en-US" sz="1000">
              <a:latin typeface="ＭＳ ゴシック" panose="020B0609070205080204" pitchFamily="49" charset="-128"/>
              <a:ea typeface="ＭＳ ゴシック" panose="020B0609070205080204" pitchFamily="49" charset="-128"/>
            </a:rPr>
            <a:t>全ての様式に反映されます。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所在区・施設名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所在区→施設名の順に入力</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所在地</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施設所在地を記入</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利用定員</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前述の施設名を入れると自動出力します。年度内途中で利用定員を変更した場合のみ、上書き修正してください。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判定</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個票を入力すると判定結果が表示されます。申請・取得したい加算が正しく表示されているかを確認したうえで印刷・押印し提出してください。誤ったままご提出いただいた場合は加算が取得できません。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　「土曜日に閉所する場合」については、備考欄に前月分の実績が表示されます。実績で変更があった場合、</a:t>
          </a:r>
          <a:r>
            <a:rPr kumimoji="1" lang="en-US" altLang="ja-JP" sz="1000">
              <a:solidFill>
                <a:srgbClr val="FF0000"/>
              </a:solidFill>
              <a:latin typeface="ＭＳ ゴシック" panose="020B0609070205080204" pitchFamily="49" charset="-128"/>
              <a:ea typeface="ＭＳ ゴシック" panose="020B0609070205080204" pitchFamily="49" charset="-128"/>
            </a:rPr>
            <a:t>4</a:t>
          </a:r>
          <a:r>
            <a:rPr kumimoji="1" lang="ja-JP" altLang="en-US" sz="1000">
              <a:solidFill>
                <a:srgbClr val="FF0000"/>
              </a:solidFill>
              <a:latin typeface="ＭＳ ゴシック" panose="020B0609070205080204" pitchFamily="49" charset="-128"/>
              <a:ea typeface="ＭＳ ゴシック" panose="020B0609070205080204" pitchFamily="49" charset="-128"/>
            </a:rPr>
            <a:t>月及び</a:t>
          </a:r>
          <a:r>
            <a:rPr kumimoji="1" lang="en-US" altLang="ja-JP" sz="1000">
              <a:solidFill>
                <a:srgbClr val="FF0000"/>
              </a:solidFill>
              <a:latin typeface="ＭＳ ゴシック" panose="020B0609070205080204" pitchFamily="49" charset="-128"/>
              <a:ea typeface="ＭＳ ゴシック" panose="020B0609070205080204" pitchFamily="49" charset="-128"/>
            </a:rPr>
            <a:t>3</a:t>
          </a:r>
          <a:r>
            <a:rPr kumimoji="1" lang="ja-JP" altLang="en-US" sz="1000">
              <a:solidFill>
                <a:srgbClr val="FF0000"/>
              </a:solidFill>
              <a:latin typeface="ＭＳ ゴシック" panose="020B0609070205080204" pitchFamily="49" charset="-128"/>
              <a:ea typeface="ＭＳ ゴシック" panose="020B0609070205080204" pitchFamily="49" charset="-128"/>
            </a:rPr>
            <a:t>月をのぞき、遡及変更申請扱いとなります。</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加算適用開始（変更）月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加算を取得開始または変更した月を入力してください。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例１）</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月分作成時：処遇改善等加算</a:t>
          </a:r>
          <a:r>
            <a:rPr kumimoji="1" lang="en-US" altLang="ja-JP" sz="1000">
              <a:latin typeface="ＭＳ ゴシック" panose="020B0609070205080204" pitchFamily="49" charset="-128"/>
              <a:ea typeface="ＭＳ ゴシック" panose="020B0609070205080204" pitchFamily="49" charset="-128"/>
            </a:rPr>
            <a:t>Ⅰ</a:t>
          </a:r>
          <a:r>
            <a:rPr kumimoji="1" lang="ja-JP" altLang="en-US" sz="1000">
              <a:latin typeface="ＭＳ ゴシック" panose="020B0609070205080204" pitchFamily="49" charset="-128"/>
              <a:ea typeface="ＭＳ ゴシック" panose="020B0609070205080204" pitchFamily="49" charset="-128"/>
            </a:rPr>
            <a:t>を</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月から取得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　</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月から継続中のため「</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例２）</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月分作成時：栄養管理加算</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a:t>
          </a:r>
          <a:r>
            <a:rPr kumimoji="1" lang="en-US" altLang="ja-JP" sz="1000">
              <a:latin typeface="ＭＳ ゴシック" panose="020B0609070205080204" pitchFamily="49" charset="-128"/>
              <a:ea typeface="ＭＳ ゴシック" panose="020B0609070205080204" pitchFamily="49" charset="-128"/>
            </a:rPr>
            <a:t>B</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a:t>
          </a:r>
          <a:r>
            <a:rPr kumimoji="1" lang="en-US" altLang="ja-JP" sz="1000">
              <a:latin typeface="ＭＳ ゴシック" panose="020B0609070205080204" pitchFamily="49" charset="-128"/>
              <a:ea typeface="ＭＳ ゴシック" panose="020B0609070205080204" pitchFamily="49" charset="-128"/>
            </a:rPr>
            <a:t>A</a:t>
          </a:r>
        </a:p>
        <a:p>
          <a:pPr algn="l"/>
          <a:r>
            <a:rPr kumimoji="1" lang="ja-JP" altLang="en-US" sz="1000">
              <a:latin typeface="ＭＳ ゴシック" panose="020B0609070205080204" pitchFamily="49" charset="-128"/>
              <a:ea typeface="ＭＳ ゴシック" panose="020B0609070205080204" pitchFamily="49" charset="-128"/>
            </a:rPr>
            <a:t>　　→　</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月から変更のため「</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なお、未来の月を入れるとエラー表示されます。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45</xdr:row>
      <xdr:rowOff>0</xdr:rowOff>
    </xdr:from>
    <xdr:to>
      <xdr:col>33</xdr:col>
      <xdr:colOff>4178100</xdr:colOff>
      <xdr:row>69</xdr:row>
      <xdr:rowOff>104775</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490012" y="8505265"/>
          <a:ext cx="4140000" cy="529309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基本配置職員</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をすべて入力すること。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は①～③のうち一つずつ選択してください。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・基本配置は公定価格の基本単価に含まれている費用です。必ず満たすように配置してください</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満たさない配置はできません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処遇改善等加算</a:t>
          </a:r>
          <a:r>
            <a:rPr kumimoji="1" lang="en-US" altLang="ja-JP" sz="1000" b="1">
              <a:latin typeface="ＭＳ ゴシック" panose="020B0609070205080204" pitchFamily="49" charset="-128"/>
              <a:ea typeface="ＭＳ ゴシック" panose="020B0609070205080204" pitchFamily="49" charset="-128"/>
            </a:rPr>
            <a:t>Ⅰ】</a:t>
          </a:r>
        </a:p>
        <a:p>
          <a:pPr algn="l"/>
          <a:r>
            <a:rPr kumimoji="1" lang="ja-JP" altLang="en-US" sz="1000">
              <a:latin typeface="ＭＳ ゴシック" panose="020B0609070205080204" pitchFamily="49" charset="-128"/>
              <a:ea typeface="ＭＳ ゴシック" panose="020B0609070205080204" pitchFamily="49" charset="-128"/>
            </a:rPr>
            <a:t>・申請する場合は「申請する」を選択してください。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障害児保育加算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・申請する場合は「申請する」を選択してください。</a:t>
          </a:r>
        </a:p>
        <a:p>
          <a:pPr algn="l"/>
          <a:r>
            <a:rPr kumimoji="1" lang="ja-JP" altLang="en-US" sz="1000" b="0">
              <a:latin typeface="ＭＳ ゴシック" panose="020B0609070205080204" pitchFamily="49" charset="-128"/>
              <a:ea typeface="ＭＳ ゴシック" panose="020B0609070205080204" pitchFamily="49" charset="-128"/>
            </a:rPr>
            <a:t>・様式</a:t>
          </a:r>
          <a:r>
            <a:rPr kumimoji="1" lang="en-US" altLang="ja-JP" sz="1000" b="0">
              <a:latin typeface="ＭＳ ゴシック" panose="020B0609070205080204" pitchFamily="49" charset="-128"/>
              <a:ea typeface="ＭＳ ゴシック" panose="020B0609070205080204" pitchFamily="49" charset="-128"/>
            </a:rPr>
            <a:t>5</a:t>
          </a:r>
          <a:r>
            <a:rPr kumimoji="1" lang="ja-JP" altLang="en-US" sz="1000" b="0">
              <a:latin typeface="ＭＳ ゴシック" panose="020B0609070205080204" pitchFamily="49" charset="-128"/>
              <a:ea typeface="ＭＳ ゴシック" panose="020B0609070205080204" pitchFamily="49" charset="-128"/>
            </a:rPr>
            <a:t>で職員配置を確認します。</a:t>
          </a:r>
        </a:p>
        <a:p>
          <a:pPr algn="l"/>
          <a:r>
            <a:rPr kumimoji="1" lang="ja-JP" altLang="en-US" sz="1000" b="0">
              <a:latin typeface="ＭＳ ゴシック" panose="020B0609070205080204" pitchFamily="49" charset="-128"/>
              <a:ea typeface="ＭＳ ゴシック" panose="020B0609070205080204" pitchFamily="49" charset="-128"/>
            </a:rPr>
            <a:t>・対象児童の情報を入力してください。不整合な情報を入力すると対象外と判定いたします。</a:t>
          </a:r>
        </a:p>
        <a:p>
          <a:pPr algn="l"/>
          <a:r>
            <a:rPr kumimoji="1" lang="ja-JP" altLang="en-US" sz="1000" b="0">
              <a:latin typeface="ＭＳ ゴシック" panose="020B0609070205080204" pitchFamily="49" charset="-128"/>
              <a:ea typeface="ＭＳ ゴシック" panose="020B0609070205080204" pitchFamily="49" charset="-128"/>
            </a:rPr>
            <a:t>・障がい児は原則札幌市の障がい児保育認定又は障がい者手帳を取得しているものとしております。併せて挙証書類をご提出ください。</a:t>
          </a: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38099</xdr:colOff>
      <xdr:row>77</xdr:row>
      <xdr:rowOff>0</xdr:rowOff>
    </xdr:from>
    <xdr:to>
      <xdr:col>33</xdr:col>
      <xdr:colOff>4178099</xdr:colOff>
      <xdr:row>98</xdr:row>
      <xdr:rowOff>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7490011" y="15464118"/>
          <a:ext cx="4140000" cy="676835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休日保育加算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solidFill>
                <a:srgbClr val="FF0000"/>
              </a:solidFill>
              <a:latin typeface="ＭＳ ゴシック" panose="020B0609070205080204" pitchFamily="49" charset="-128"/>
              <a:ea typeface="ＭＳ ゴシック" panose="020B0609070205080204" pitchFamily="49" charset="-128"/>
            </a:rPr>
            <a:t>・毎月提出すること。</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の全ての要件に該当し、利用児童数表をすべて入力した場合加算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：実施体制の確認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自園のみで休日保育を年間実施</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輪番制により、自園＋その他の園で休日保育を年間実施</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事前に運営係にご相談・認定を受ける必要があります。</a:t>
          </a:r>
          <a:r>
            <a:rPr kumimoji="1" lang="en-US" altLang="ja-JP" sz="1000">
              <a:latin typeface="ＭＳ ゴシック" panose="020B0609070205080204" pitchFamily="49" charset="-128"/>
              <a:ea typeface="ＭＳ ゴシック" panose="020B0609070205080204" pitchFamily="49" charset="-128"/>
            </a:rPr>
            <a:t>)</a:t>
          </a:r>
        </a:p>
        <a:p>
          <a:pPr algn="l"/>
          <a:endParaRPr kumimoji="1" lang="ja-JP" altLang="en-US"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：職員配置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・職員配置のルールの確認</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確認後「○」を選択</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・月当たりの利用児童内訳を入力</a:t>
          </a: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－③加算担当職員で「休日保育担当」を選択</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：利用児童数表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前年度延べ利用子ども数</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実績値を計上してください。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当年度延べ利用子ども数</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計画数を計上してください。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実績と見込が</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割以上乖離している場合</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前述の</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①と</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②が</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割以上乖離している場合は理由をご記載ください。不適切な場合は理由の再記載又は当年度延べ利用子ども数の見直しを指示いたします。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38099</xdr:colOff>
      <xdr:row>101</xdr:row>
      <xdr:rowOff>47627</xdr:rowOff>
    </xdr:from>
    <xdr:to>
      <xdr:col>33</xdr:col>
      <xdr:colOff>4178099</xdr:colOff>
      <xdr:row>121</xdr:row>
      <xdr:rowOff>123825</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7490011" y="22974862"/>
          <a:ext cx="4140000" cy="593687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減価償却費加算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・公定価格</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FAQ</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を参照してください。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の全ての要件に該当する場合加算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：建物の自己所有の確認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：建物の整備・改修・取得する際に自己資金の発生</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：国庫補助金の交付を受けていない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取得又は増築する際に補助金を受けた場合は原則対象外になります。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なお、①～③の一定要件を全て満たす場合は国庫補助を受けていても対象といたしますが、その際は事前に給付係までご相談ください。相談もなく①～③を○としても認定は致しません。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改修の必要性の認定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老朽化等により建物全体を改修</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一部の改修・補強等は不可</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②　①の回収について国庫補助を受けていない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②の改修費用の割合</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：賃借料加算の対象となっていないことの確認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賃借料</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の全ての要件に該当する場合加算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建物が賃貸物件であること</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の確認</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賃借料が発生していることの確認</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：国庫補助金の交付を受けていない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詳しくは公定価格</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FAQ</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を参照してください。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63</xdr:col>
      <xdr:colOff>85724</xdr:colOff>
      <xdr:row>101</xdr:row>
      <xdr:rowOff>19051</xdr:rowOff>
    </xdr:from>
    <xdr:to>
      <xdr:col>70</xdr:col>
      <xdr:colOff>609599</xdr:colOff>
      <xdr:row>121</xdr:row>
      <xdr:rowOff>104776</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11268074" y="21945601"/>
          <a:ext cx="5324475" cy="56388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参考</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減価償却費加算についての公定価格</a:t>
          </a:r>
          <a:r>
            <a:rPr kumimoji="1" lang="en-US" altLang="ja-JP" sz="1000" b="1">
              <a:latin typeface="ＭＳ ゴシック" panose="020B0609070205080204" pitchFamily="49" charset="-128"/>
              <a:ea typeface="ＭＳ ゴシック" panose="020B0609070205080204" pitchFamily="49" charset="-128"/>
            </a:rPr>
            <a:t>FAQ</a:t>
          </a:r>
          <a:r>
            <a:rPr kumimoji="1" lang="ja-JP" altLang="en-US" sz="1000" b="1">
              <a:latin typeface="ＭＳ ゴシック" panose="020B0609070205080204" pitchFamily="49" charset="-128"/>
              <a:ea typeface="ＭＳ ゴシック" panose="020B0609070205080204" pitchFamily="49" charset="-128"/>
            </a:rPr>
            <a:t>について</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b="1">
              <a:latin typeface="ＭＳ ゴシック" panose="020B0609070205080204" pitchFamily="49" charset="-128"/>
              <a:ea typeface="ＭＳ ゴシック" panose="020B0609070205080204" pitchFamily="49" charset="-128"/>
            </a:rPr>
            <a:t>Q122</a:t>
          </a:r>
          <a:r>
            <a:rPr kumimoji="1" lang="ja-JP" altLang="en-US" sz="1000" b="1">
              <a:latin typeface="ＭＳ ゴシック" panose="020B0609070205080204" pitchFamily="49" charset="-128"/>
              <a:ea typeface="ＭＳ ゴシック" panose="020B0609070205080204" pitchFamily="49" charset="-128"/>
            </a:rPr>
            <a:t>　自己所有であることとは？</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a:t>
          </a:r>
          <a:r>
            <a:rPr kumimoji="1" lang="ja-JP" altLang="en-US" sz="1000" b="1">
              <a:latin typeface="ＭＳ ゴシック" panose="020B0609070205080204" pitchFamily="49" charset="-128"/>
              <a:ea typeface="ＭＳ ゴシック" panose="020B0609070205080204" pitchFamily="49" charset="-128"/>
            </a:rPr>
            <a:t>　</a:t>
          </a:r>
          <a:r>
            <a:rPr kumimoji="1" lang="ja-JP" altLang="en-US" sz="1000" b="0">
              <a:latin typeface="ＭＳ ゴシック" panose="020B0609070205080204" pitchFamily="49" charset="-128"/>
              <a:ea typeface="ＭＳ ゴシック" panose="020B0609070205080204" pitchFamily="49" charset="-128"/>
            </a:rPr>
            <a:t>建物の名義が事業主でなければいけません。例えば、事業主体が法人で、法人代表者の建物を使用している場合は、名義が異なりますので認定できません。</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なお、家庭的保育事業等は、建物が配偶者や生計を一にしている者の名義であるなど、社会通念上、要件の趣旨に反しないと判断される場合は認定して差し支えありません。</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Q128</a:t>
          </a:r>
          <a:r>
            <a:rPr kumimoji="1" lang="ja-JP" altLang="en-US" sz="1000" b="1">
              <a:latin typeface="ＭＳ ゴシック" panose="020B0609070205080204" pitchFamily="49" charset="-128"/>
              <a:ea typeface="ＭＳ ゴシック" panose="020B0609070205080204" pitchFamily="49" charset="-128"/>
            </a:rPr>
            <a:t>　国庫補助を受けていないの判定基準とは？</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a:t>
          </a:r>
          <a:r>
            <a:rPr kumimoji="1" lang="ja-JP" altLang="en-US" sz="1000" b="1">
              <a:latin typeface="ＭＳ ゴシック" panose="020B0609070205080204" pitchFamily="49" charset="-128"/>
              <a:ea typeface="ＭＳ ゴシック" panose="020B0609070205080204" pitchFamily="49" charset="-128"/>
            </a:rPr>
            <a:t>　</a:t>
          </a:r>
          <a:r>
            <a:rPr kumimoji="1" lang="ja-JP" altLang="en-US" sz="1000" b="0">
              <a:latin typeface="ＭＳ ゴシック" panose="020B0609070205080204" pitchFamily="49" charset="-128"/>
              <a:ea typeface="ＭＳ ゴシック" panose="020B0609070205080204" pitchFamily="49" charset="-128"/>
            </a:rPr>
            <a:t>以下のとおり</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①　保育所の場合</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減価償却費加算の適用の判断は施設ごとに行う。このため、建物の一部</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分園を含む</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でも整備補助金を受けている場合は対象外。</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無償譲渡を受けて実施、整備や建物の購入をしていない場合は対象外。</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　整備補助金に該当しないもの</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地方自治体の単独事業による整備補助金</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創設・増改築・改築・大規模修繕以外の補助金</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スプリンクラーの整備補助など</a:t>
          </a:r>
          <a:r>
            <a:rPr kumimoji="1" lang="en-US" altLang="ja-JP" sz="1000" b="0">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②　認定こども園の場合</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保育所部分について、①と同様に一部でも補助を受けている場合は対象外。</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このため、幼稚園部分のみを国補助を受けて整備し、保育所部分を自己資金で整備した場合は補助の対象となります。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賃借料加算についての公定価格</a:t>
          </a:r>
          <a:r>
            <a:rPr kumimoji="1" lang="en-US" altLang="ja-JP" sz="1000" b="1">
              <a:latin typeface="ＭＳ ゴシック" panose="020B0609070205080204" pitchFamily="49" charset="-128"/>
              <a:ea typeface="ＭＳ ゴシック" panose="020B0609070205080204" pitchFamily="49" charset="-128"/>
            </a:rPr>
            <a:t>FAQ</a:t>
          </a:r>
          <a:r>
            <a:rPr kumimoji="1" lang="ja-JP" altLang="en-US" sz="1000" b="1">
              <a:latin typeface="ＭＳ ゴシック" panose="020B0609070205080204" pitchFamily="49" charset="-128"/>
              <a:ea typeface="ＭＳ ゴシック" panose="020B0609070205080204" pitchFamily="49" charset="-128"/>
            </a:rPr>
            <a:t>について</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b="1">
              <a:latin typeface="ＭＳ ゴシック" panose="020B0609070205080204" pitchFamily="49" charset="-128"/>
              <a:ea typeface="ＭＳ ゴシック" panose="020B0609070205080204" pitchFamily="49" charset="-128"/>
            </a:rPr>
            <a:t>Q124</a:t>
          </a:r>
          <a:r>
            <a:rPr kumimoji="1" lang="ja-JP" altLang="en-US" sz="1000" b="0">
              <a:latin typeface="ＭＳ ゴシック" panose="020B0609070205080204" pitchFamily="49" charset="-128"/>
              <a:ea typeface="ＭＳ ゴシック" panose="020B0609070205080204" pitchFamily="49" charset="-128"/>
            </a:rPr>
            <a:t>　</a:t>
          </a:r>
          <a:r>
            <a:rPr kumimoji="1" lang="ja-JP" altLang="en-US" sz="1000" b="1">
              <a:latin typeface="ＭＳ ゴシック" panose="020B0609070205080204" pitchFamily="49" charset="-128"/>
              <a:ea typeface="ＭＳ ゴシック" panose="020B0609070205080204" pitchFamily="49" charset="-128"/>
            </a:rPr>
            <a:t>国庫補助金の残額について</a:t>
          </a:r>
        </a:p>
        <a:p>
          <a:pPr algn="l"/>
          <a:r>
            <a:rPr kumimoji="1" lang="en-US" altLang="ja-JP" sz="1000" b="0">
              <a:latin typeface="ＭＳ ゴシック" panose="020B0609070205080204" pitchFamily="49" charset="-128"/>
              <a:ea typeface="ＭＳ ゴシック" panose="020B0609070205080204" pitchFamily="49" charset="-128"/>
            </a:rPr>
            <a:t>A</a:t>
          </a:r>
          <a:r>
            <a:rPr kumimoji="1" lang="ja-JP" altLang="en-US" sz="1000" b="0">
              <a:latin typeface="ＭＳ ゴシック" panose="020B0609070205080204" pitchFamily="49" charset="-128"/>
              <a:ea typeface="ＭＳ ゴシック" panose="020B0609070205080204" pitchFamily="49" charset="-128"/>
            </a:rPr>
            <a:t>　国庫補助基準額から礼金を差し引いた額を軽減前の各月の賃借料で除して得られた月数を経過するまでは残額が生じているものと判定する。</a:t>
          </a:r>
        </a:p>
        <a:p>
          <a:pPr algn="l"/>
          <a:r>
            <a:rPr kumimoji="1" lang="ja-JP" altLang="en-US" sz="1000" b="0">
              <a:latin typeface="ＭＳ ゴシック" panose="020B0609070205080204" pitchFamily="49" charset="-128"/>
              <a:ea typeface="ＭＳ ゴシック" panose="020B0609070205080204" pitchFamily="49" charset="-128"/>
            </a:rPr>
            <a:t>例）賃借料</a:t>
          </a:r>
          <a:r>
            <a:rPr kumimoji="1" lang="en-US" altLang="ja-JP" sz="1000" b="0">
              <a:latin typeface="ＭＳ ゴシック" panose="020B0609070205080204" pitchFamily="49" charset="-128"/>
              <a:ea typeface="ＭＳ ゴシック" panose="020B0609070205080204" pitchFamily="49" charset="-128"/>
            </a:rPr>
            <a:t>120</a:t>
          </a:r>
          <a:r>
            <a:rPr kumimoji="1" lang="ja-JP" altLang="en-US" sz="1000" b="0">
              <a:latin typeface="ＭＳ ゴシック" panose="020B0609070205080204" pitchFamily="49" charset="-128"/>
              <a:ea typeface="ＭＳ ゴシック" panose="020B0609070205080204" pitchFamily="49" charset="-128"/>
            </a:rPr>
            <a:t>万円</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月、礼金</a:t>
          </a:r>
          <a:r>
            <a:rPr kumimoji="1" lang="en-US" altLang="ja-JP" sz="1000" b="0">
              <a:latin typeface="ＭＳ ゴシック" panose="020B0609070205080204" pitchFamily="49" charset="-128"/>
              <a:ea typeface="ＭＳ ゴシック" panose="020B0609070205080204" pitchFamily="49" charset="-128"/>
            </a:rPr>
            <a:t>240</a:t>
          </a:r>
          <a:r>
            <a:rPr kumimoji="1" lang="ja-JP" altLang="en-US" sz="1000" b="0">
              <a:latin typeface="ＭＳ ゴシック" panose="020B0609070205080204" pitchFamily="49" charset="-128"/>
              <a:ea typeface="ＭＳ ゴシック" panose="020B0609070205080204" pitchFamily="49" charset="-128"/>
            </a:rPr>
            <a:t>万円、国庫補助基準額</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国</a:t>
          </a:r>
          <a:r>
            <a:rPr kumimoji="1" lang="en-US" altLang="ja-JP" sz="1000" b="0">
              <a:latin typeface="ＭＳ ゴシック" panose="020B0609070205080204" pitchFamily="49" charset="-128"/>
              <a:ea typeface="ＭＳ ゴシック" panose="020B0609070205080204" pitchFamily="49" charset="-128"/>
            </a:rPr>
            <a:t>1/2</a:t>
          </a:r>
          <a:r>
            <a:rPr kumimoji="1" lang="ja-JP" altLang="en-US" sz="1000" b="0">
              <a:latin typeface="ＭＳ ゴシック" panose="020B0609070205080204" pitchFamily="49" charset="-128"/>
              <a:ea typeface="ＭＳ ゴシック" panose="020B0609070205080204" pitchFamily="49" charset="-128"/>
            </a:rPr>
            <a:t>、地方自治体</a:t>
          </a:r>
          <a:r>
            <a:rPr kumimoji="1" lang="en-US" altLang="ja-JP" sz="1000" b="0">
              <a:latin typeface="ＭＳ ゴシック" panose="020B0609070205080204" pitchFamily="49" charset="-128"/>
              <a:ea typeface="ＭＳ ゴシック" panose="020B0609070205080204" pitchFamily="49" charset="-128"/>
            </a:rPr>
            <a:t>1/2)4100</a:t>
          </a:r>
          <a:r>
            <a:rPr kumimoji="1" lang="ja-JP" altLang="en-US" sz="1000" b="0">
              <a:latin typeface="ＭＳ ゴシック" panose="020B0609070205080204" pitchFamily="49" charset="-128"/>
              <a:ea typeface="ＭＳ ゴシック" panose="020B0609070205080204" pitchFamily="49" charset="-128"/>
            </a:rPr>
            <a:t>万円</a:t>
          </a:r>
        </a:p>
        <a:p>
          <a:pPr algn="l"/>
          <a:r>
            <a:rPr kumimoji="1" lang="ja-JP" altLang="en-US" sz="1000" b="0">
              <a:latin typeface="ＭＳ ゴシック" panose="020B0609070205080204" pitchFamily="49" charset="-128"/>
              <a:ea typeface="ＭＳ ゴシック" panose="020B0609070205080204" pitchFamily="49" charset="-128"/>
            </a:rPr>
            <a:t>→　（</a:t>
          </a:r>
          <a:r>
            <a:rPr kumimoji="1" lang="en-US" altLang="ja-JP" sz="1000" b="0">
              <a:latin typeface="ＭＳ ゴシック" panose="020B0609070205080204" pitchFamily="49" charset="-128"/>
              <a:ea typeface="ＭＳ ゴシック" panose="020B0609070205080204" pitchFamily="49" charset="-128"/>
            </a:rPr>
            <a:t>4100-240</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÷120</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32.2≒33(</a:t>
          </a:r>
          <a:r>
            <a:rPr kumimoji="1" lang="ja-JP" altLang="en-US" sz="1000" b="0">
              <a:latin typeface="ＭＳ ゴシック" panose="020B0609070205080204" pitchFamily="49" charset="-128"/>
              <a:ea typeface="ＭＳ ゴシック" panose="020B0609070205080204" pitchFamily="49" charset="-128"/>
            </a:rPr>
            <a:t>端数切り上げ</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となるため</a:t>
          </a:r>
          <a:r>
            <a:rPr kumimoji="1" lang="en-US" altLang="ja-JP" sz="1000" b="0">
              <a:latin typeface="ＭＳ ゴシック" panose="020B0609070205080204" pitchFamily="49" charset="-128"/>
              <a:ea typeface="ＭＳ ゴシック" panose="020B0609070205080204" pitchFamily="49" charset="-128"/>
            </a:rPr>
            <a:t>34</a:t>
          </a:r>
          <a:r>
            <a:rPr kumimoji="1" lang="ja-JP" altLang="en-US" sz="1000" b="0">
              <a:latin typeface="ＭＳ ゴシック" panose="020B0609070205080204" pitchFamily="49" charset="-128"/>
              <a:ea typeface="ＭＳ ゴシック" panose="020B0609070205080204" pitchFamily="49" charset="-128"/>
            </a:rPr>
            <a:t>か月目から賃借料加算の適用が可能</a:t>
          </a:r>
        </a:p>
        <a:p>
          <a:pPr algn="l"/>
          <a:r>
            <a:rPr kumimoji="1" lang="ja-JP" altLang="en-US" sz="1000" b="0">
              <a:latin typeface="ＭＳ ゴシック" panose="020B0609070205080204" pitchFamily="49" charset="-128"/>
              <a:ea typeface="ＭＳ ゴシック" panose="020B0609070205080204" pitchFamily="49" charset="-128"/>
            </a:rPr>
            <a:t>　</a:t>
          </a: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　</a:t>
          </a:r>
          <a:endParaRPr kumimoji="1" lang="en-US" altLang="ja-JP" sz="1000" b="1">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38099</xdr:colOff>
      <xdr:row>122</xdr:row>
      <xdr:rowOff>0</xdr:rowOff>
    </xdr:from>
    <xdr:to>
      <xdr:col>33</xdr:col>
      <xdr:colOff>4178099</xdr:colOff>
      <xdr:row>143</xdr:row>
      <xdr:rowOff>171450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7490011" y="29101676"/>
          <a:ext cx="4140000" cy="5359774"/>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連携施設を設定しない場合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の要件をすべて満たさない場合減算</a:t>
          </a:r>
        </a:p>
        <a:p>
          <a:pPr algn="l"/>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：連携施設名</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：連携施設からの相談・助言の支援</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：連携施設からの代替保育の提供</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緊急時に代替で保育を提供してくれる体制の確保</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：卒園自分の受け入れ枠の確保</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実際の</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歳児の児童数ではなく、</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歳児の利用定員分の確保が必要です。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食事の提供について</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の要件のどちらも満たさない場合減算</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：自園調理</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：食事について連携施設等から搬入している</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連携施設等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家庭的保育事業等の設備及び運営に関する基準第</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項の施設を参照すること。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63</xdr:col>
      <xdr:colOff>95250</xdr:colOff>
      <xdr:row>122</xdr:row>
      <xdr:rowOff>19050</xdr:rowOff>
    </xdr:from>
    <xdr:to>
      <xdr:col>70</xdr:col>
      <xdr:colOff>628650</xdr:colOff>
      <xdr:row>139</xdr:row>
      <xdr:rowOff>28575</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11277600" y="27689175"/>
          <a:ext cx="5334000" cy="431482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参考</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家庭的保育事業等の設備及び運営に関する基準第</a:t>
          </a:r>
          <a:r>
            <a:rPr kumimoji="1" lang="en-US" altLang="ja-JP" sz="1000" b="1">
              <a:latin typeface="ＭＳ ゴシック" panose="020B0609070205080204" pitchFamily="49" charset="-128"/>
              <a:ea typeface="ＭＳ ゴシック" panose="020B0609070205080204" pitchFamily="49" charset="-128"/>
            </a:rPr>
            <a:t>16</a:t>
          </a:r>
          <a:r>
            <a:rPr kumimoji="1" lang="ja-JP" altLang="en-US" sz="1000" b="1">
              <a:latin typeface="ＭＳ ゴシック" panose="020B0609070205080204" pitchFamily="49" charset="-128"/>
              <a:ea typeface="ＭＳ ゴシック" panose="020B0609070205080204" pitchFamily="49" charset="-128"/>
            </a:rPr>
            <a:t>条</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項</a:t>
          </a:r>
          <a:r>
            <a:rPr kumimoji="1" lang="en-US" altLang="ja-JP" sz="1000" b="1">
              <a:latin typeface="ＭＳ ゴシック" panose="020B0609070205080204" pitchFamily="49" charset="-128"/>
              <a:ea typeface="ＭＳ ゴシック" panose="020B0609070205080204" pitchFamily="49" charset="-128"/>
            </a:rPr>
            <a:t>&lt;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&gt;</a:t>
          </a:r>
        </a:p>
        <a:p>
          <a:pPr algn="l"/>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　連携施設</a:t>
          </a: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　当該家庭的保育事業者等と同一の法人又は関連法人が運営する小規模保育事業若しくは事業所内保育事業を行う事業所、社会福祉施設、医療機関等</a:t>
          </a: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　省略</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本市は該当なし</a:t>
          </a:r>
          <a:r>
            <a:rPr kumimoji="1" lang="en-US" altLang="ja-JP" sz="1000" b="0">
              <a:latin typeface="ＭＳ ゴシック" panose="020B0609070205080204" pitchFamily="49" charset="-128"/>
              <a:ea typeface="ＭＳ ゴシック" panose="020B0609070205080204" pitchFamily="49" charset="-128"/>
            </a:rPr>
            <a:t>)</a:t>
          </a: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　保育所、幼稚園、認定こども園等から調理業務を受託している事業者のうち、当該家庭的保育事業者等による給食の趣旨を十分に認識し、衛生面、栄養面等、調理業務を適切に遂行できる能力を有するとともに、利用乳幼児の年齢及び発達の段階並びに健康状態に応じた食事の提供や、アレルギー、アトピー等への配慮、必要な栄養素量の給与等、利用乳幼児の食事の内容、回数及び時機に適切に応じることができる者として市町村が適当と認めるもの</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家庭的保育事業者が第二十二条に規定する家庭的保育事業を行う場所</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第二十三条第二項に規定する家庭的保育者の居宅に限る。</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において家庭的保育事業を行う場合に限る。</a:t>
          </a:r>
          <a:r>
            <a:rPr kumimoji="1" lang="en-US" altLang="ja-JP" sz="1000" b="0">
              <a:latin typeface="ＭＳ ゴシック" panose="020B0609070205080204" pitchFamily="49" charset="-128"/>
              <a:ea typeface="ＭＳ ゴシック" panose="020B0609070205080204" pitchFamily="49" charset="-128"/>
            </a:rPr>
            <a:t>)</a:t>
          </a:r>
        </a:p>
        <a:p>
          <a:pPr algn="l"/>
          <a:endParaRPr kumimoji="1" lang="en-US" altLang="ja-JP" sz="1000" b="1">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38099</xdr:colOff>
      <xdr:row>145</xdr:row>
      <xdr:rowOff>0</xdr:rowOff>
    </xdr:from>
    <xdr:to>
      <xdr:col>33</xdr:col>
      <xdr:colOff>4178099</xdr:colOff>
      <xdr:row>182</xdr:row>
      <xdr:rowOff>38100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490011" y="34671000"/>
          <a:ext cx="4140000" cy="853215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管理者を配置していない場合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の要件を</a:t>
          </a:r>
        </a:p>
        <a:p>
          <a:pPr algn="l"/>
          <a:r>
            <a:rPr kumimoji="1" lang="ja-JP" altLang="en-US" sz="1000">
              <a:latin typeface="ＭＳ ゴシック" panose="020B0609070205080204" pitchFamily="49" charset="-128"/>
              <a:ea typeface="ＭＳ ゴシック" panose="020B0609070205080204" pitchFamily="49" charset="-128"/>
            </a:rPr>
            <a:t>　すべて満たす場合：</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（減算しない）</a:t>
          </a:r>
        </a:p>
        <a:p>
          <a:pPr algn="l"/>
          <a:r>
            <a:rPr kumimoji="1" lang="ja-JP" altLang="en-US" sz="1000">
              <a:latin typeface="ＭＳ ゴシック" panose="020B0609070205080204" pitchFamily="49" charset="-128"/>
              <a:ea typeface="ＭＳ ゴシック" panose="020B0609070205080204" pitchFamily="49" charset="-128"/>
            </a:rPr>
            <a:t>　一つでも満たさない場合：○（減算する）</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：従事経験の確認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各選択肢の説明</a:t>
          </a:r>
        </a:p>
        <a:p>
          <a:pPr algn="l"/>
          <a:r>
            <a:rPr kumimoji="1" lang="ja-JP" altLang="en-US" sz="1000">
              <a:latin typeface="ＭＳ ゴシック" panose="020B0609070205080204" pitchFamily="49" charset="-128"/>
              <a:ea typeface="ＭＳ ゴシック" panose="020B0609070205080204" pitchFamily="49" charset="-128"/>
            </a:rPr>
            <a:t>①　児童福祉事業の経験が</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年以上あること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②</a:t>
          </a:r>
          <a:r>
            <a:rPr kumimoji="1" lang="ja-JP" altLang="en-US" sz="1000">
              <a:latin typeface="ＭＳ ゴシック" panose="020B0609070205080204" pitchFamily="49" charset="-128"/>
              <a:ea typeface="ＭＳ ゴシック" panose="020B0609070205080204" pitchFamily="49" charset="-128"/>
            </a:rPr>
            <a:t>　①を満たさない場合、厚労省等から委託を受けた所長研修を受けていること</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都道府県が実施するの所長研修は不可</a:t>
          </a:r>
          <a:r>
            <a:rPr kumimoji="1" lang="en-US" altLang="ja-JP" sz="100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②の研修を現時点では受けていないが、年度内に受講する予定の場合</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特例措置</a:t>
          </a:r>
          <a:r>
            <a:rPr kumimoji="1" lang="en-US" altLang="ja-JP" sz="1000">
              <a:latin typeface="ＭＳ ゴシック" panose="020B0609070205080204" pitchFamily="49" charset="-128"/>
              <a:ea typeface="ＭＳ ゴシック" panose="020B0609070205080204" pitchFamily="49" charset="-128"/>
            </a:rPr>
            <a:t>)</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：常時専従の確認</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：給付費からの給与支出の確認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：資格の有無の確認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管理者について、社会福祉法人又は学校法人は資格不要。それ以外の法人形態の場合は保育士資格の保有が必要。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：管理者の配置</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で確認</a:t>
          </a:r>
          <a:r>
            <a:rPr kumimoji="1" lang="en-US" altLang="ja-JP" sz="1000">
              <a:latin typeface="ＭＳ ゴシック" panose="020B0609070205080204" pitchFamily="49" charset="-128"/>
              <a:ea typeface="ＭＳ ゴシック" panose="020B0609070205080204" pitchFamily="49" charset="-128"/>
            </a:rPr>
            <a:t>)</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別紙</a:t>
          </a:r>
          <a:r>
            <a:rPr kumimoji="1" lang="en-US" altLang="ja-JP" sz="1000">
              <a:latin typeface="ＭＳ ゴシック" panose="020B0609070205080204" pitchFamily="49" charset="-128"/>
              <a:ea typeface="ＭＳ ゴシック" panose="020B0609070205080204" pitchFamily="49" charset="-128"/>
            </a:rPr>
            <a:t>1-1</a:t>
          </a:r>
          <a:r>
            <a:rPr kumimoji="1" lang="ja-JP" altLang="en-US" sz="1000">
              <a:latin typeface="ＭＳ ゴシック" panose="020B0609070205080204" pitchFamily="49" charset="-128"/>
              <a:ea typeface="ＭＳ ゴシック" panose="020B0609070205080204" pitchFamily="49" charset="-128"/>
            </a:rPr>
            <a:t>：経歴書</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別紙</a:t>
          </a:r>
          <a:r>
            <a:rPr kumimoji="1" lang="en-US" altLang="ja-JP" sz="1000">
              <a:latin typeface="ＭＳ ゴシック" panose="020B0609070205080204" pitchFamily="49" charset="-128"/>
              <a:ea typeface="ＭＳ ゴシック" panose="020B0609070205080204" pitchFamily="49" charset="-128"/>
            </a:rPr>
            <a:t>1-2</a:t>
          </a:r>
          <a:r>
            <a:rPr kumimoji="1" lang="ja-JP" altLang="en-US" sz="1000">
              <a:latin typeface="ＭＳ ゴシック" panose="020B0609070205080204" pitchFamily="49" charset="-128"/>
              <a:ea typeface="ＭＳ ゴシック" panose="020B0609070205080204" pitchFamily="49" charset="-128"/>
            </a:rPr>
            <a:t>：園長等の兼務実態確認。同一法人で複数施設又は事業を実施している場合は作成すること。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土曜日に閉所する場合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・毎月作成すること。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・別紙</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確認する。</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・当月については見込みで認定し、翌月に実績に報告すること。また、見込みと実績に差異があった場合は実績により精算を行う。ただし、</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月分については実績確認を行わない。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・減算区分は「</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日」「</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日」「</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日以上」「全て」の</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区分</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33</xdr:col>
      <xdr:colOff>38100</xdr:colOff>
      <xdr:row>183</xdr:row>
      <xdr:rowOff>0</xdr:rowOff>
    </xdr:from>
    <xdr:to>
      <xdr:col>33</xdr:col>
      <xdr:colOff>4179794</xdr:colOff>
      <xdr:row>215</xdr:row>
      <xdr:rowOff>112059</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7490012" y="43792588"/>
          <a:ext cx="4141694" cy="620805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定員を恒常的に超過する場合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・年度開始月に必ず作成し提出すること。</a:t>
          </a:r>
        </a:p>
        <a:p>
          <a:pPr algn="l"/>
          <a:r>
            <a:rPr kumimoji="1" lang="ja-JP" altLang="en-US" sz="1000" b="0">
              <a:latin typeface="ＭＳ ゴシック" panose="020B0609070205080204" pitchFamily="49" charset="-128"/>
              <a:ea typeface="ＭＳ ゴシック" panose="020B0609070205080204" pitchFamily="49" charset="-128"/>
            </a:rPr>
            <a:t>・未入力の場合は「未入力」又は「減算適用」と判定されます。</a:t>
          </a:r>
        </a:p>
        <a:p>
          <a:pPr algn="l"/>
          <a:endParaRPr kumimoji="1" lang="ja-JP" altLang="en-US"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↓各項目の説明</a:t>
          </a:r>
        </a:p>
        <a:p>
          <a:pPr algn="l"/>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：施設型給付認定開始月</a:t>
          </a:r>
        </a:p>
        <a:p>
          <a:pPr algn="l"/>
          <a:r>
            <a:rPr kumimoji="1" lang="ja-JP" altLang="en-US" sz="1000" b="0">
              <a:latin typeface="ＭＳ ゴシック" panose="020B0609070205080204" pitchFamily="49" charset="-128"/>
              <a:ea typeface="ＭＳ ゴシック" panose="020B0609070205080204" pitchFamily="49" charset="-128"/>
            </a:rPr>
            <a:t>　施設型給付費</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委託費</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を受けるようになった開始月を選択。施設型給付の受給を開始した年月を西暦で入力すること。なお、本制度は平成</a:t>
          </a:r>
          <a:r>
            <a:rPr kumimoji="1" lang="en-US" altLang="ja-JP" sz="1000" b="0">
              <a:latin typeface="ＭＳ ゴシック" panose="020B0609070205080204" pitchFamily="49" charset="-128"/>
              <a:ea typeface="ＭＳ ゴシック" panose="020B0609070205080204" pitchFamily="49" charset="-128"/>
            </a:rPr>
            <a:t>27</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2015</a:t>
          </a:r>
          <a:r>
            <a:rPr kumimoji="1" lang="ja-JP" altLang="en-US" sz="1000" b="0">
              <a:latin typeface="ＭＳ ゴシック" panose="020B0609070205080204" pitchFamily="49" charset="-128"/>
              <a:ea typeface="ＭＳ ゴシック" panose="020B0609070205080204" pitchFamily="49" charset="-128"/>
            </a:rPr>
            <a:t>）年</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月から開始されましたので、それ以降の年月を入力することになります。</a:t>
          </a:r>
        </a:p>
        <a:p>
          <a:pPr algn="l"/>
          <a:endParaRPr kumimoji="1" lang="ja-JP" altLang="en-US"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：月初日利用定員</a:t>
          </a:r>
        </a:p>
        <a:p>
          <a:pPr algn="l"/>
          <a:r>
            <a:rPr kumimoji="1" lang="ja-JP" altLang="en-US" sz="1000" b="0">
              <a:latin typeface="ＭＳ ゴシック" panose="020B0609070205080204" pitchFamily="49" charset="-128"/>
              <a:ea typeface="ＭＳ ゴシック" panose="020B0609070205080204" pitchFamily="49" charset="-128"/>
            </a:rPr>
            <a:t>　現在の利用定員が自動引用されています。定員変更等があった場合は上書き修正してください。</a:t>
          </a:r>
        </a:p>
        <a:p>
          <a:pPr algn="l"/>
          <a:endParaRPr kumimoji="1" lang="ja-JP" altLang="en-US"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：月初日在籍子ども数</a:t>
          </a:r>
        </a:p>
        <a:p>
          <a:pPr algn="l"/>
          <a:r>
            <a:rPr kumimoji="1" lang="ja-JP" altLang="en-US" sz="1000" b="0">
              <a:latin typeface="ＭＳ ゴシック" panose="020B0609070205080204" pitchFamily="49" charset="-128"/>
              <a:ea typeface="ＭＳ ゴシック" panose="020B0609070205080204" pitchFamily="49" charset="-128"/>
            </a:rPr>
            <a:t>　月初日の児童数</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市内、市外問わない</a:t>
          </a:r>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を入力してください。　</a:t>
          </a:r>
        </a:p>
        <a:p>
          <a:pPr algn="l"/>
          <a:endParaRPr kumimoji="1" lang="ja-JP" altLang="en-US"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減算は年度単位で適用されます。ただし、施設整備担当等と協議を行い、利用定員の見直し等で定員超過が解消される見込みが立った場合は、減算を翌月から解除いたします。その場合は「減算解除要件」に実施状況を入力してください。</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：協議年月日</a:t>
          </a:r>
        </a:p>
        <a:p>
          <a:pPr algn="l"/>
          <a:r>
            <a:rPr kumimoji="1" lang="ja-JP" altLang="en-US" sz="1000" b="0">
              <a:latin typeface="ＭＳ ゴシック" panose="020B0609070205080204" pitchFamily="49" charset="-128"/>
              <a:ea typeface="ＭＳ ゴシック" panose="020B0609070205080204" pitchFamily="49" charset="-128"/>
            </a:rPr>
            <a:t>　子ども未来局と協議した年月日を記載してください。なお、定員を見直した場合は、協議年月日と定員変更日を一致させてください。</a:t>
          </a:r>
        </a:p>
        <a:p>
          <a:pPr algn="l"/>
          <a:r>
            <a:rPr kumimoji="1" lang="ja-JP" altLang="en-US" sz="1000" b="0">
              <a:latin typeface="ＭＳ ゴシック" panose="020B0609070205080204" pitchFamily="49" charset="-128"/>
              <a:ea typeface="ＭＳ ゴシック" panose="020B0609070205080204" pitchFamily="49" charset="-128"/>
            </a:rPr>
            <a:t>例）●●年</a:t>
          </a:r>
          <a:r>
            <a:rPr kumimoji="1" lang="en-US" altLang="ja-JP" sz="1000" b="0">
              <a:latin typeface="ＭＳ ゴシック" panose="020B0609070205080204" pitchFamily="49" charset="-128"/>
              <a:ea typeface="ＭＳ ゴシック" panose="020B0609070205080204" pitchFamily="49" charset="-128"/>
            </a:rPr>
            <a:t>5</a:t>
          </a:r>
          <a:r>
            <a:rPr kumimoji="1" lang="ja-JP" altLang="en-US" sz="1000" b="0">
              <a:latin typeface="ＭＳ ゴシック" panose="020B0609070205080204" pitchFamily="49" charset="-128"/>
              <a:ea typeface="ＭＳ ゴシック" panose="020B0609070205080204" pitchFamily="49" charset="-128"/>
            </a:rPr>
            <a:t>月から定員変更→協議年月日●●年</a:t>
          </a:r>
          <a:r>
            <a:rPr kumimoji="1" lang="en-US" altLang="ja-JP" sz="1000" b="0">
              <a:latin typeface="ＭＳ ゴシック" panose="020B0609070205080204" pitchFamily="49" charset="-128"/>
              <a:ea typeface="ＭＳ ゴシック" panose="020B0609070205080204" pitchFamily="49" charset="-128"/>
            </a:rPr>
            <a:t>5</a:t>
          </a:r>
          <a:r>
            <a:rPr kumimoji="1" lang="ja-JP" altLang="en-US" sz="1000" b="0">
              <a:latin typeface="ＭＳ ゴシック" panose="020B0609070205080204" pitchFamily="49" charset="-128"/>
              <a:ea typeface="ＭＳ ゴシック" panose="020B0609070205080204" pitchFamily="49" charset="-128"/>
            </a:rPr>
            <a:t>月</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日</a:t>
          </a:r>
        </a:p>
        <a:p>
          <a:pPr algn="l"/>
          <a:endParaRPr kumimoji="1" lang="ja-JP" altLang="en-US"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：見直し内容</a:t>
          </a:r>
        </a:p>
        <a:p>
          <a:pPr algn="l"/>
          <a:r>
            <a:rPr kumimoji="1" lang="ja-JP" altLang="en-US" sz="1000" b="0">
              <a:latin typeface="ＭＳ ゴシック" panose="020B0609070205080204" pitchFamily="49" charset="-128"/>
              <a:ea typeface="ＭＳ ゴシック" panose="020B0609070205080204" pitchFamily="49" charset="-128"/>
            </a:rPr>
            <a:t>　定員見直し又は受入れ人数見直しのどちらかを選択してください。</a:t>
          </a:r>
        </a:p>
        <a:p>
          <a:pPr algn="l"/>
          <a:endParaRPr kumimoji="1" lang="ja-JP" altLang="en-US"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：協議先</a:t>
          </a:r>
        </a:p>
        <a:p>
          <a:pPr algn="l"/>
          <a:r>
            <a:rPr kumimoji="1" lang="ja-JP" altLang="en-US" sz="1000" b="0">
              <a:latin typeface="ＭＳ ゴシック" panose="020B0609070205080204" pitchFamily="49" charset="-128"/>
              <a:ea typeface="ＭＳ ゴシック" panose="020B0609070205080204" pitchFamily="49" charset="-128"/>
            </a:rPr>
            <a:t>　協議を行った相手先を記載してください（施設整備担当など）</a:t>
          </a:r>
        </a:p>
        <a:p>
          <a:pPr algn="l"/>
          <a:endParaRPr kumimoji="1" lang="ja-JP" altLang="en-US"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　減算解除開始月に別紙</a:t>
          </a:r>
          <a:r>
            <a:rPr kumimoji="1" lang="en-US" altLang="ja-JP" sz="1000" b="0">
              <a:latin typeface="ＭＳ ゴシック" panose="020B0609070205080204" pitchFamily="49" charset="-128"/>
              <a:ea typeface="ＭＳ ゴシック" panose="020B0609070205080204" pitchFamily="49" charset="-128"/>
            </a:rPr>
            <a:t>6</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月に別紙</a:t>
          </a:r>
          <a:r>
            <a:rPr kumimoji="1" lang="en-US" altLang="ja-JP" sz="1000" b="0">
              <a:latin typeface="ＭＳ ゴシック" panose="020B0609070205080204" pitchFamily="49" charset="-128"/>
              <a:ea typeface="ＭＳ ゴシック" panose="020B0609070205080204" pitchFamily="49" charset="-128"/>
            </a:rPr>
            <a:t>6</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を提出してください。</a:t>
          </a:r>
        </a:p>
        <a:p>
          <a:pPr algn="l"/>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　別紙</a:t>
          </a:r>
          <a:r>
            <a:rPr kumimoji="1" lang="en-US" altLang="ja-JP" sz="1000" b="0">
              <a:latin typeface="ＭＳ ゴシック" panose="020B0609070205080204" pitchFamily="49" charset="-128"/>
              <a:ea typeface="ＭＳ ゴシック" panose="020B0609070205080204" pitchFamily="49" charset="-128"/>
            </a:rPr>
            <a:t>6</a:t>
          </a:r>
          <a:r>
            <a:rPr kumimoji="1" lang="ja-JP" altLang="en-US" sz="1000" b="0">
              <a:latin typeface="ＭＳ ゴシック" panose="020B0609070205080204" pitchFamily="49" charset="-128"/>
              <a:ea typeface="ＭＳ ゴシック" panose="020B0609070205080204" pitchFamily="49" charset="-128"/>
            </a:rPr>
            <a:t>－</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により、定員超過が解消させていないことが判明した場合は、遡及して減算が適用されます。</a:t>
          </a:r>
        </a:p>
        <a:p>
          <a:pPr algn="l"/>
          <a:endParaRPr kumimoji="1" lang="ja-JP" altLang="en-US" sz="1000" b="0">
            <a:latin typeface="ＭＳ ゴシック" panose="020B0609070205080204" pitchFamily="49" charset="-128"/>
            <a:ea typeface="ＭＳ ゴシック" panose="020B0609070205080204" pitchFamily="49" charset="-128"/>
          </a:endParaRPr>
        </a:p>
        <a:p>
          <a:pPr algn="l"/>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63</xdr:col>
      <xdr:colOff>19050</xdr:colOff>
      <xdr:row>77</xdr:row>
      <xdr:rowOff>0</xdr:rowOff>
    </xdr:from>
    <xdr:to>
      <xdr:col>68</xdr:col>
      <xdr:colOff>257175</xdr:colOff>
      <xdr:row>97</xdr:row>
      <xdr:rowOff>114300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11201400" y="15220950"/>
          <a:ext cx="3667125" cy="732472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参考</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児童福祉施設の設備及び運営に関する基準</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第</a:t>
          </a:r>
          <a:r>
            <a:rPr kumimoji="1" lang="en-US" altLang="ja-JP" sz="1000" b="1">
              <a:latin typeface="ＭＳ ゴシック" panose="020B0609070205080204" pitchFamily="49" charset="-128"/>
              <a:ea typeface="ＭＳ ゴシック" panose="020B0609070205080204" pitchFamily="49" charset="-128"/>
            </a:rPr>
            <a:t>33</a:t>
          </a:r>
          <a:r>
            <a:rPr kumimoji="1" lang="ja-JP" altLang="en-US" sz="1000" b="1">
              <a:latin typeface="ＭＳ ゴシック" panose="020B0609070205080204" pitchFamily="49" charset="-128"/>
              <a:ea typeface="ＭＳ ゴシック" panose="020B0609070205080204" pitchFamily="49" charset="-128"/>
            </a:rPr>
            <a:t>条</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項</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保育士の数は、乳児おおむね</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歳以上満</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歳に満たない幼児おおむね</a:t>
          </a:r>
          <a:r>
            <a:rPr kumimoji="1" lang="en-US" altLang="ja-JP" sz="1000" b="0">
              <a:latin typeface="ＭＳ ゴシック" panose="020B0609070205080204" pitchFamily="49" charset="-128"/>
              <a:ea typeface="ＭＳ ゴシック" panose="020B0609070205080204" pitchFamily="49" charset="-128"/>
            </a:rPr>
            <a:t>6</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歳以上満</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歳に満たない幼児おおむね</a:t>
          </a:r>
          <a:r>
            <a:rPr kumimoji="1" lang="en-US" altLang="ja-JP" sz="1000" b="0">
              <a:latin typeface="ＭＳ ゴシック" panose="020B0609070205080204" pitchFamily="49" charset="-128"/>
              <a:ea typeface="ＭＳ ゴシック" panose="020B0609070205080204" pitchFamily="49" charset="-128"/>
            </a:rPr>
            <a:t>20</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歳以上の幼児おおむね</a:t>
          </a:r>
          <a:r>
            <a:rPr kumimoji="1" lang="en-US" altLang="ja-JP" sz="1000" b="0">
              <a:latin typeface="ＭＳ ゴシック" panose="020B0609070205080204" pitchFamily="49" charset="-128"/>
              <a:ea typeface="ＭＳ ゴシック" panose="020B0609070205080204" pitchFamily="49" charset="-128"/>
            </a:rPr>
            <a:t>30</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人以上とする。ただし、保育所</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につき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人を下ることはできない。</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94</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　</a:t>
          </a:r>
          <a:r>
            <a:rPr kumimoji="1" lang="en-US" altLang="ja-JP" sz="1000" b="0">
              <a:latin typeface="ＭＳ ゴシック" panose="020B0609070205080204" pitchFamily="49" charset="-128"/>
              <a:ea typeface="ＭＳ ゴシック" panose="020B0609070205080204" pitchFamily="49" charset="-128"/>
            </a:rPr>
            <a:t>&lt;</a:t>
          </a:r>
          <a:r>
            <a:rPr kumimoji="1" lang="ja-JP" altLang="en-US" sz="1000" b="0">
              <a:latin typeface="ＭＳ ゴシック" panose="020B0609070205080204" pitchFamily="49" charset="-128"/>
              <a:ea typeface="ＭＳ ゴシック" panose="020B0609070205080204" pitchFamily="49" charset="-128"/>
            </a:rPr>
            <a:t>一部省略</a:t>
          </a:r>
          <a:r>
            <a:rPr kumimoji="1" lang="en-US" altLang="ja-JP" sz="1000" b="0">
              <a:latin typeface="ＭＳ ゴシック" panose="020B0609070205080204" pitchFamily="49" charset="-128"/>
              <a:ea typeface="ＭＳ ゴシック" panose="020B0609070205080204" pitchFamily="49" charset="-128"/>
            </a:rPr>
            <a:t>&gt;</a:t>
          </a:r>
        </a:p>
        <a:p>
          <a:pPr algn="l"/>
          <a:r>
            <a:rPr kumimoji="1" lang="ja-JP" altLang="en-US" sz="1000" b="0">
              <a:latin typeface="ＭＳ ゴシック" panose="020B0609070205080204" pitchFamily="49" charset="-128"/>
              <a:ea typeface="ＭＳ ゴシック" panose="020B0609070205080204" pitchFamily="49" charset="-128"/>
            </a:rPr>
            <a:t>　当分の間、第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項ただし書きの規定を適用しないことができる。この場合において、同行本文の規定により必要な保育士が</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人となるときは、当該保育士に加えて、指定都市市長が保育士と同等の知識及び経験を有すると認めるものを置かなければならない。</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95</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前条の事情に鑑み、当分の間、第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項に規定する保育士の数の算定については、幼稚園教諭もしくは小学校教諭又は養護教諭の普通免許状を有するものを、保育士とみなすことができる。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96</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第</a:t>
          </a:r>
          <a:r>
            <a:rPr kumimoji="1" lang="en-US" altLang="ja-JP" sz="1000" b="0">
              <a:latin typeface="ＭＳ ゴシック" panose="020B0609070205080204" pitchFamily="49" charset="-128"/>
              <a:ea typeface="ＭＳ ゴシック" panose="020B0609070205080204" pitchFamily="49" charset="-128"/>
            </a:rPr>
            <a:t>94</a:t>
          </a:r>
          <a:r>
            <a:rPr kumimoji="1" lang="ja-JP" altLang="en-US" sz="1000" b="0">
              <a:latin typeface="ＭＳ ゴシック" panose="020B0609070205080204" pitchFamily="49" charset="-128"/>
              <a:ea typeface="ＭＳ ゴシック" panose="020B0609070205080204" pitchFamily="49" charset="-128"/>
            </a:rPr>
            <a:t>条の事情に鑑み、当分の間、</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日に月</a:t>
          </a:r>
          <a:r>
            <a:rPr kumimoji="1" lang="en-US" altLang="ja-JP" sz="1000" b="0">
              <a:latin typeface="ＭＳ ゴシック" panose="020B0609070205080204" pitchFamily="49" charset="-128"/>
              <a:ea typeface="ＭＳ ゴシック" panose="020B0609070205080204" pitchFamily="49" charset="-128"/>
            </a:rPr>
            <a:t>8</a:t>
          </a:r>
          <a:r>
            <a:rPr kumimoji="1" lang="ja-JP" altLang="en-US" sz="1000" b="0">
              <a:latin typeface="ＭＳ ゴシック" panose="020B0609070205080204" pitchFamily="49" charset="-128"/>
              <a:ea typeface="ＭＳ ゴシック" panose="020B0609070205080204" pitchFamily="49" charset="-128"/>
            </a:rPr>
            <a:t>時間を超えて開所する保育所において、開所時間を通じて必要となる保育士の総数が、当該保育所に係る利用定員の総数に応じて置かなければならない保育士の数を超える数の算定については、指定都市市長が保育士と同等の知識及び経験を有すると認めるものを、開所時間を通じて必要となる保育士の総数から利用定員の総数に応じて置かなければならない保育士の数を差し引いて得た数の範囲で、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97</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条の規定を適用するときは、保育士を、保育士の数（前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条の規定の適用が無いとした場合の第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項により算定されるものをいう）の</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分の</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以上、置かなければならない。</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児童福祉施設最低基準等の一部を改正する省令</a:t>
          </a:r>
          <a:r>
            <a:rPr kumimoji="1" lang="en-US" altLang="ja-JP" sz="1000" b="1">
              <a:latin typeface="ＭＳ ゴシック" panose="020B0609070205080204" pitchFamily="49" charset="-128"/>
              <a:ea typeface="ＭＳ ゴシック" panose="020B0609070205080204" pitchFamily="49" charset="-128"/>
            </a:rPr>
            <a:t>&lt;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&gt;</a:t>
          </a:r>
        </a:p>
        <a:p>
          <a:pPr algn="l"/>
          <a:r>
            <a:rPr kumimoji="1" lang="ja-JP" altLang="en-US" sz="1000" b="1">
              <a:latin typeface="ＭＳ ゴシック" panose="020B0609070205080204" pitchFamily="49" charset="-128"/>
              <a:ea typeface="ＭＳ ゴシック" panose="020B0609070205080204" pitchFamily="49" charset="-128"/>
            </a:rPr>
            <a:t>附則第</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乳児</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人以上を入所させる保育所にかかる改正後の第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項に規定する保育士の数の算定については、当分の間、当該保育所に勤務する保健師、看護師又は准看護師を</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人に限って、保育士とみなすことができる。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年月日</a:t>
          </a:r>
          <a:endParaRPr kumimoji="1" lang="en-US" altLang="ja-JP" sz="1000" b="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56028</xdr:colOff>
      <xdr:row>217</xdr:row>
      <xdr:rowOff>56030</xdr:rowOff>
    </xdr:from>
    <xdr:to>
      <xdr:col>33</xdr:col>
      <xdr:colOff>4196028</xdr:colOff>
      <xdr:row>244</xdr:row>
      <xdr:rowOff>134471</xdr:rowOff>
    </xdr:to>
    <xdr:sp macro="" textlink="">
      <xdr:nvSpPr>
        <xdr:cNvPr id="19" name="正方形/長方形 18">
          <a:extLst>
            <a:ext uri="{FF2B5EF4-FFF2-40B4-BE49-F238E27FC236}">
              <a16:creationId xmlns:a16="http://schemas.microsoft.com/office/drawing/2014/main" id="{00000000-0008-0000-0400-000013000000}"/>
            </a:ext>
          </a:extLst>
        </xdr:cNvPr>
        <xdr:cNvSpPr/>
      </xdr:nvSpPr>
      <xdr:spPr>
        <a:xfrm>
          <a:off x="7507940" y="50325618"/>
          <a:ext cx="4140000" cy="60960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処遇改善等加算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Ⅱ】</a:t>
          </a: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p>
        <a:p>
          <a:pPr algn="l"/>
          <a:endPar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栄養管理加算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を全て記載する場合加算</a:t>
          </a:r>
        </a:p>
        <a:p>
          <a:pPr algn="l"/>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：栄養士の活用</a:t>
          </a: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栄養士を調理員として雇用し、調理員としてのみ活用している場合は該当しません。</a:t>
          </a:r>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b="0">
              <a:solidFill>
                <a:srgbClr val="FF0000"/>
              </a:solidFill>
              <a:effectLst/>
              <a:latin typeface="ＭＳ ゴシック" panose="020B0609070205080204" pitchFamily="49" charset="-128"/>
              <a:ea typeface="ＭＳ ゴシック" panose="020B0609070205080204" pitchFamily="49" charset="-128"/>
              <a:cs typeface="+mn-cs"/>
            </a:rPr>
            <a:t>認定開始月は挙証書類の種類によって異なります。</a:t>
          </a:r>
        </a:p>
        <a:p>
          <a:pPr algn="l"/>
          <a:endPar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：栄養士の配置</a:t>
          </a: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①は様式</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からの自動引用</a:t>
          </a:r>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なお、雇用契約等については、直接雇用もしくは派遣契約が想定され、外部委託は含みません。</a:t>
          </a: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②は該当する場合選択</a:t>
          </a:r>
        </a:p>
        <a:p>
          <a:pPr algn="l"/>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いずれも該当する場合は一番単価の高い区分が選択されます。</a:t>
          </a:r>
        </a:p>
        <a:p>
          <a:pPr algn="l"/>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添付書類必要</a:t>
          </a:r>
        </a:p>
        <a:p>
          <a:pPr algn="l"/>
          <a:endPar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0</xdr:colOff>
      <xdr:row>0</xdr:row>
      <xdr:rowOff>7681</xdr:rowOff>
    </xdr:from>
    <xdr:to>
      <xdr:col>21</xdr:col>
      <xdr:colOff>35027</xdr:colOff>
      <xdr:row>5</xdr:row>
      <xdr:rowOff>152400</xdr:rowOff>
    </xdr:to>
    <xdr:sp macro="" textlink="">
      <xdr:nvSpPr>
        <xdr:cNvPr id="2" name="テキスト ボックス 1">
          <a:extLst>
            <a:ext uri="{FF2B5EF4-FFF2-40B4-BE49-F238E27FC236}">
              <a16:creationId xmlns:a16="http://schemas.microsoft.com/office/drawing/2014/main" id="{B63AB821-B937-4343-AFB4-39EDE55E21E8}"/>
            </a:ext>
          </a:extLst>
        </xdr:cNvPr>
        <xdr:cNvSpPr txBox="1"/>
      </xdr:nvSpPr>
      <xdr:spPr>
        <a:xfrm>
          <a:off x="0" y="7681"/>
          <a:ext cx="4229100"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66675</xdr:colOff>
      <xdr:row>0</xdr:row>
      <xdr:rowOff>0</xdr:rowOff>
    </xdr:from>
    <xdr:to>
      <xdr:col>7</xdr:col>
      <xdr:colOff>3724275</xdr:colOff>
      <xdr:row>6</xdr:row>
      <xdr:rowOff>38100</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7267575" y="0"/>
          <a:ext cx="3657600"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7</xdr:col>
      <xdr:colOff>66675</xdr:colOff>
      <xdr:row>7</xdr:row>
      <xdr:rowOff>0</xdr:rowOff>
    </xdr:from>
    <xdr:to>
      <xdr:col>7</xdr:col>
      <xdr:colOff>3733800</xdr:colOff>
      <xdr:row>24</xdr:row>
      <xdr:rowOff>95250</xdr:rowOff>
    </xdr:to>
    <xdr:sp macro="" textlink="">
      <xdr:nvSpPr>
        <xdr:cNvPr id="6" name="正方形/長方形 5">
          <a:extLst>
            <a:ext uri="{FF2B5EF4-FFF2-40B4-BE49-F238E27FC236}">
              <a16:creationId xmlns:a16="http://schemas.microsoft.com/office/drawing/2014/main" id="{00000000-0008-0000-0500-000006000000}"/>
            </a:ext>
          </a:extLst>
        </xdr:cNvPr>
        <xdr:cNvSpPr/>
      </xdr:nvSpPr>
      <xdr:spPr>
        <a:xfrm>
          <a:off x="7267575" y="1466850"/>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基本情報</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加算担当職員の情報を入力</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学歴</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高等学校～現在に係る学歴を入力</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職歴</a:t>
          </a:r>
          <a:r>
            <a:rPr kumimoji="1" lang="en-US" altLang="ja-JP" sz="1000" b="1">
              <a:latin typeface="ＭＳ ゴシック" panose="020B0609070205080204" pitchFamily="49" charset="-128"/>
              <a:ea typeface="ＭＳ ゴシック" panose="020B0609070205080204" pitchFamily="49" charset="-128"/>
            </a:rPr>
            <a:t>】</a:t>
          </a: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加算申請時点までの経歴をすること。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また、必ず現在の施設で施設長に就任した年月を記載すること。</a:t>
          </a:r>
          <a:endParaRPr lang="ja-JP" altLang="ja-JP" sz="1000">
            <a:effectLst/>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資格</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加算申請時点で有効な資格を記載すること。</a:t>
          </a:r>
          <a:endParaRPr lang="ja-JP" altLang="ja-JP" sz="1000">
            <a:effectLst/>
            <a:latin typeface="ＭＳ ゴシック" panose="020B0609070205080204" pitchFamily="49" charset="-128"/>
            <a:ea typeface="ＭＳ ゴシック" panose="020B0609070205080204" pitchFamily="49" charset="-128"/>
          </a:endParaRPr>
        </a:p>
        <a:p>
          <a:endParaRPr kumimoji="1" lang="en-US" altLang="ja-JP" sz="1100" b="1">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47625</xdr:colOff>
      <xdr:row>51</xdr:row>
      <xdr:rowOff>180975</xdr:rowOff>
    </xdr:from>
    <xdr:to>
      <xdr:col>7</xdr:col>
      <xdr:colOff>3714750</xdr:colOff>
      <xdr:row>69</xdr:row>
      <xdr:rowOff>142875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7248525" y="10086975"/>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同一又は系列法人内で運営する保育・教育施設及び事業の全てを記載。なお、認可の有無は問いませんのでご注意ください。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施設長名</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施設長名を記載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施設で作成している資料</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同様の内容を記載</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を代わりに提出していただくことも可能です。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86121</xdr:colOff>
      <xdr:row>0</xdr:row>
      <xdr:rowOff>0</xdr:rowOff>
    </xdr:from>
    <xdr:to>
      <xdr:col>8</xdr:col>
      <xdr:colOff>3809999</xdr:colOff>
      <xdr:row>6</xdr:row>
      <xdr:rowOff>38100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9125346" y="0"/>
          <a:ext cx="3723878" cy="119062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8</xdr:col>
      <xdr:colOff>104775</xdr:colOff>
      <xdr:row>6</xdr:row>
      <xdr:rowOff>104775</xdr:rowOff>
    </xdr:from>
    <xdr:to>
      <xdr:col>8</xdr:col>
      <xdr:colOff>3810000</xdr:colOff>
      <xdr:row>30</xdr:row>
      <xdr:rowOff>1</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9136716" y="1583951"/>
          <a:ext cx="3705225" cy="5811932"/>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当該月の利用見込み</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当該月の利用児童の見込み数を入力してください。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－申請月を変更することで、土曜日・日にち・平日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祝日が自動表記されます。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また、土曜日が祝日の場合は減算対象から除外されます。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減算区分</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日：対象の土曜日が</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日以上有りかつ</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日が閉所日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日：対象の土曜日が</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日以上有りかつ</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日が閉所日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日以上：対象の土曜日が</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日以上有りかつ</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日以上が閉所日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④　全て：対象の土曜日と閉所日が同一</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前月の利用実績</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前月の申請書で記載した利用見込み数と実績数をそれぞれ入力してください。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最終的には実績により減算区分を決定します。既に概算等が終了している場合は各期精算又は第</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四半期精算で精算させていただきます。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月のみ実績値は確認いたしません。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endParaRPr kumimoji="1" lang="en-US" altLang="ja-JP" sz="1100" b="1">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38</xdr:col>
      <xdr:colOff>200026</xdr:colOff>
      <xdr:row>0</xdr:row>
      <xdr:rowOff>0</xdr:rowOff>
    </xdr:from>
    <xdr:to>
      <xdr:col>43</xdr:col>
      <xdr:colOff>180976</xdr:colOff>
      <xdr:row>41</xdr:row>
      <xdr:rowOff>28575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17097376" y="0"/>
          <a:ext cx="3409950" cy="783907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参考</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児童福祉施設の設備及び運営に関する基準</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第</a:t>
          </a:r>
          <a:r>
            <a:rPr kumimoji="1" lang="en-US" altLang="ja-JP" sz="1000" b="1">
              <a:latin typeface="ＭＳ ゴシック" panose="020B0609070205080204" pitchFamily="49" charset="-128"/>
              <a:ea typeface="ＭＳ ゴシック" panose="020B0609070205080204" pitchFamily="49" charset="-128"/>
            </a:rPr>
            <a:t>33</a:t>
          </a:r>
          <a:r>
            <a:rPr kumimoji="1" lang="ja-JP" altLang="en-US" sz="1000" b="1">
              <a:latin typeface="ＭＳ ゴシック" panose="020B0609070205080204" pitchFamily="49" charset="-128"/>
              <a:ea typeface="ＭＳ ゴシック" panose="020B0609070205080204" pitchFamily="49" charset="-128"/>
            </a:rPr>
            <a:t>条</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項</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保育士の数は、乳児おおむね</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歳以上満</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歳に満たない幼児おおむね</a:t>
          </a:r>
          <a:r>
            <a:rPr kumimoji="1" lang="en-US" altLang="ja-JP" sz="1000" b="0">
              <a:latin typeface="ＭＳ ゴシック" panose="020B0609070205080204" pitchFamily="49" charset="-128"/>
              <a:ea typeface="ＭＳ ゴシック" panose="020B0609070205080204" pitchFamily="49" charset="-128"/>
            </a:rPr>
            <a:t>6</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歳以上満</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歳に満たない幼児おおむね</a:t>
          </a:r>
          <a:r>
            <a:rPr kumimoji="1" lang="en-US" altLang="ja-JP" sz="1000" b="0">
              <a:latin typeface="ＭＳ ゴシック" panose="020B0609070205080204" pitchFamily="49" charset="-128"/>
              <a:ea typeface="ＭＳ ゴシック" panose="020B0609070205080204" pitchFamily="49" charset="-128"/>
            </a:rPr>
            <a:t>20</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人以上、満</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歳以上の幼児おおむね</a:t>
          </a:r>
          <a:r>
            <a:rPr kumimoji="1" lang="en-US" altLang="ja-JP" sz="1000" b="0">
              <a:latin typeface="ＭＳ ゴシック" panose="020B0609070205080204" pitchFamily="49" charset="-128"/>
              <a:ea typeface="ＭＳ ゴシック" panose="020B0609070205080204" pitchFamily="49" charset="-128"/>
            </a:rPr>
            <a:t>30</a:t>
          </a:r>
          <a:r>
            <a:rPr kumimoji="1" lang="ja-JP" altLang="en-US" sz="1000" b="0">
              <a:latin typeface="ＭＳ ゴシック" panose="020B0609070205080204" pitchFamily="49" charset="-128"/>
              <a:ea typeface="ＭＳ ゴシック" panose="020B0609070205080204" pitchFamily="49" charset="-128"/>
            </a:rPr>
            <a:t>人につき</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人以上とする。ただし、保育所</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につき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人を下ることはできない。</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94</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　</a:t>
          </a:r>
          <a:r>
            <a:rPr kumimoji="1" lang="en-US" altLang="ja-JP" sz="1000" b="0">
              <a:latin typeface="ＭＳ ゴシック" panose="020B0609070205080204" pitchFamily="49" charset="-128"/>
              <a:ea typeface="ＭＳ ゴシック" panose="020B0609070205080204" pitchFamily="49" charset="-128"/>
            </a:rPr>
            <a:t>&lt;</a:t>
          </a:r>
          <a:r>
            <a:rPr kumimoji="1" lang="ja-JP" altLang="en-US" sz="1000" b="0">
              <a:latin typeface="ＭＳ ゴシック" panose="020B0609070205080204" pitchFamily="49" charset="-128"/>
              <a:ea typeface="ＭＳ ゴシック" panose="020B0609070205080204" pitchFamily="49" charset="-128"/>
            </a:rPr>
            <a:t>一部省略</a:t>
          </a:r>
          <a:r>
            <a:rPr kumimoji="1" lang="en-US" altLang="ja-JP" sz="1000" b="0">
              <a:latin typeface="ＭＳ ゴシック" panose="020B0609070205080204" pitchFamily="49" charset="-128"/>
              <a:ea typeface="ＭＳ ゴシック" panose="020B0609070205080204" pitchFamily="49" charset="-128"/>
            </a:rPr>
            <a:t>&gt;</a:t>
          </a:r>
        </a:p>
        <a:p>
          <a:pPr algn="l"/>
          <a:r>
            <a:rPr kumimoji="1" lang="ja-JP" altLang="en-US" sz="1000" b="0">
              <a:latin typeface="ＭＳ ゴシック" panose="020B0609070205080204" pitchFamily="49" charset="-128"/>
              <a:ea typeface="ＭＳ ゴシック" panose="020B0609070205080204" pitchFamily="49" charset="-128"/>
            </a:rPr>
            <a:t>　当分の間、第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項ただし書きの規定を適用しないことができる。この場合において、同行本文の規定により必要な保育士が</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人となるときは、当該保育士に加えて、指定都市市長が保育士と同等の知識及び経験を有すると認めるものを置かなければならない。</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95</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前条の事情に鑑み、当分の間、第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項に規定する保育士の数の算定については、幼稚園教諭もしくは小学校教諭又は養護教諭の普通免許状を有するものを、保育士とみなすことができる。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96</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第</a:t>
          </a:r>
          <a:r>
            <a:rPr kumimoji="1" lang="en-US" altLang="ja-JP" sz="1000" b="0">
              <a:latin typeface="ＭＳ ゴシック" panose="020B0609070205080204" pitchFamily="49" charset="-128"/>
              <a:ea typeface="ＭＳ ゴシック" panose="020B0609070205080204" pitchFamily="49" charset="-128"/>
            </a:rPr>
            <a:t>94</a:t>
          </a:r>
          <a:r>
            <a:rPr kumimoji="1" lang="ja-JP" altLang="en-US" sz="1000" b="0">
              <a:latin typeface="ＭＳ ゴシック" panose="020B0609070205080204" pitchFamily="49" charset="-128"/>
              <a:ea typeface="ＭＳ ゴシック" panose="020B0609070205080204" pitchFamily="49" charset="-128"/>
            </a:rPr>
            <a:t>条の事情に鑑み、当分の間、</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日に月</a:t>
          </a:r>
          <a:r>
            <a:rPr kumimoji="1" lang="en-US" altLang="ja-JP" sz="1000" b="0">
              <a:latin typeface="ＭＳ ゴシック" panose="020B0609070205080204" pitchFamily="49" charset="-128"/>
              <a:ea typeface="ＭＳ ゴシック" panose="020B0609070205080204" pitchFamily="49" charset="-128"/>
            </a:rPr>
            <a:t>8</a:t>
          </a:r>
          <a:r>
            <a:rPr kumimoji="1" lang="ja-JP" altLang="en-US" sz="1000" b="0">
              <a:latin typeface="ＭＳ ゴシック" panose="020B0609070205080204" pitchFamily="49" charset="-128"/>
              <a:ea typeface="ＭＳ ゴシック" panose="020B0609070205080204" pitchFamily="49" charset="-128"/>
            </a:rPr>
            <a:t>時間を超えて開所する保育所において、開所時間を通じて必要となる保育士の総数が、当該保育所に係る利用定員の総数に応じて置かなければならない保育士の数を超える数の算定については、指定都市市長が保育士と同等の知識及び経験を有すると認めるものを、開所時間を通じて必要となる保育士の総数から利用定員の総数に応じて置かなければならない保育士の数を差し引いて得た数の範囲で、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附則</a:t>
          </a:r>
          <a:r>
            <a:rPr kumimoji="1" lang="en-US" altLang="ja-JP" sz="1000" b="1">
              <a:latin typeface="ＭＳ ゴシック" panose="020B0609070205080204" pitchFamily="49" charset="-128"/>
              <a:ea typeface="ＭＳ ゴシック" panose="020B0609070205080204" pitchFamily="49" charset="-128"/>
            </a:rPr>
            <a:t>97</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条の規定を適用するときは、保育士を、保育士の数（前</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条の規定の適用が無いとした場合の第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項により算定されるものをいう）の</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分の</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以上、置かなければならない。</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児童福祉施設最低基準等の一部を改正する省令</a:t>
          </a:r>
          <a:r>
            <a:rPr kumimoji="1" lang="en-US" altLang="ja-JP" sz="1000" b="1">
              <a:latin typeface="ＭＳ ゴシック" panose="020B0609070205080204" pitchFamily="49" charset="-128"/>
              <a:ea typeface="ＭＳ ゴシック" panose="020B0609070205080204" pitchFamily="49" charset="-128"/>
            </a:rPr>
            <a:t>&lt;</a:t>
          </a:r>
          <a:r>
            <a:rPr kumimoji="1" lang="ja-JP" altLang="en-US" sz="1000" b="1">
              <a:latin typeface="ＭＳ ゴシック" panose="020B0609070205080204" pitchFamily="49" charset="-128"/>
              <a:ea typeface="ＭＳ ゴシック" panose="020B0609070205080204" pitchFamily="49" charset="-128"/>
            </a:rPr>
            <a:t>抜粋</a:t>
          </a:r>
          <a:r>
            <a:rPr kumimoji="1" lang="en-US" altLang="ja-JP" sz="1000" b="1">
              <a:latin typeface="ＭＳ ゴシック" panose="020B0609070205080204" pitchFamily="49" charset="-128"/>
              <a:ea typeface="ＭＳ ゴシック" panose="020B0609070205080204" pitchFamily="49" charset="-128"/>
            </a:rPr>
            <a:t>&gt;</a:t>
          </a:r>
        </a:p>
        <a:p>
          <a:pPr algn="l"/>
          <a:r>
            <a:rPr kumimoji="1" lang="ja-JP" altLang="en-US" sz="1000" b="1">
              <a:latin typeface="ＭＳ ゴシック" panose="020B0609070205080204" pitchFamily="49" charset="-128"/>
              <a:ea typeface="ＭＳ ゴシック" panose="020B0609070205080204" pitchFamily="49" charset="-128"/>
            </a:rPr>
            <a:t>附則第</a:t>
          </a:r>
          <a:r>
            <a:rPr kumimoji="1" lang="en-US" altLang="ja-JP" sz="1000" b="1">
              <a:latin typeface="ＭＳ ゴシック" panose="020B0609070205080204" pitchFamily="49" charset="-128"/>
              <a:ea typeface="ＭＳ ゴシック" panose="020B0609070205080204" pitchFamily="49" charset="-128"/>
            </a:rPr>
            <a:t>2</a:t>
          </a:r>
          <a:r>
            <a:rPr kumimoji="1" lang="ja-JP" altLang="en-US" sz="1000" b="1">
              <a:latin typeface="ＭＳ ゴシック" panose="020B0609070205080204" pitchFamily="49" charset="-128"/>
              <a:ea typeface="ＭＳ ゴシック" panose="020B0609070205080204" pitchFamily="49" charset="-128"/>
            </a:rPr>
            <a:t>条</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乳児</a:t>
          </a:r>
          <a:r>
            <a:rPr kumimoji="1" lang="en-US" altLang="ja-JP" sz="1000" b="0">
              <a:latin typeface="ＭＳ ゴシック" panose="020B0609070205080204" pitchFamily="49" charset="-128"/>
              <a:ea typeface="ＭＳ ゴシック" panose="020B0609070205080204" pitchFamily="49" charset="-128"/>
            </a:rPr>
            <a:t>4</a:t>
          </a:r>
          <a:r>
            <a:rPr kumimoji="1" lang="ja-JP" altLang="en-US" sz="1000" b="0">
              <a:latin typeface="ＭＳ ゴシック" panose="020B0609070205080204" pitchFamily="49" charset="-128"/>
              <a:ea typeface="ＭＳ ゴシック" panose="020B0609070205080204" pitchFamily="49" charset="-128"/>
            </a:rPr>
            <a:t>人以上を入所させる保育所にかかる改正後の第</a:t>
          </a:r>
          <a:r>
            <a:rPr kumimoji="1" lang="en-US" altLang="ja-JP" sz="1000" b="0">
              <a:latin typeface="ＭＳ ゴシック" panose="020B0609070205080204" pitchFamily="49" charset="-128"/>
              <a:ea typeface="ＭＳ ゴシック" panose="020B0609070205080204" pitchFamily="49" charset="-128"/>
            </a:rPr>
            <a:t>33</a:t>
          </a:r>
          <a:r>
            <a:rPr kumimoji="1" lang="ja-JP" altLang="en-US" sz="1000" b="0">
              <a:latin typeface="ＭＳ ゴシック" panose="020B0609070205080204" pitchFamily="49" charset="-128"/>
              <a:ea typeface="ＭＳ ゴシック" panose="020B0609070205080204" pitchFamily="49" charset="-128"/>
            </a:rPr>
            <a:t>条第</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項に規定する保育士の数の算定については、当分の間、当該保育所に勤務する保健師、看護師又は准看護師を</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人に限って、保育士とみなすことができる。</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xdr:txBody>
    </xdr:sp>
    <xdr:clientData/>
  </xdr:twoCellAnchor>
  <xdr:twoCellAnchor>
    <xdr:from>
      <xdr:col>27</xdr:col>
      <xdr:colOff>57150</xdr:colOff>
      <xdr:row>0</xdr:row>
      <xdr:rowOff>38100</xdr:rowOff>
    </xdr:from>
    <xdr:to>
      <xdr:col>27</xdr:col>
      <xdr:colOff>3781028</xdr:colOff>
      <xdr:row>6</xdr:row>
      <xdr:rowOff>85725</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6743700" y="38100"/>
          <a:ext cx="3723878" cy="119062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27</xdr:col>
      <xdr:colOff>75804</xdr:colOff>
      <xdr:row>6</xdr:row>
      <xdr:rowOff>152398</xdr:rowOff>
    </xdr:from>
    <xdr:to>
      <xdr:col>27</xdr:col>
      <xdr:colOff>3781029</xdr:colOff>
      <xdr:row>43</xdr:row>
      <xdr:rowOff>133349</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6762354" y="1295398"/>
          <a:ext cx="3705225" cy="7010401"/>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実施計画</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No2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6</a:t>
          </a:r>
          <a:r>
            <a:rPr kumimoji="1" lang="ja-JP" altLang="en-US" sz="1000">
              <a:latin typeface="ＭＳ ゴシック" panose="020B0609070205080204" pitchFamily="49" charset="-128"/>
              <a:ea typeface="ＭＳ ゴシック" panose="020B0609070205080204" pitchFamily="49" charset="-128"/>
            </a:rPr>
            <a:t>を全て記載してください。漏れがある場合、判定が</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となり加算が認定されません。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１　実施日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入力済み</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２　時間帯</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休日保育を実施している最大時間数を区分ごとに入力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３　利用児童数</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個票</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から自動引用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４　給食（間食）</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実施していることが要件。また、１色当たりの料金設定を記載すること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５　料金</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料金設定の単位と金額を記入すること。単位をその他で選択した場合は、具体的な設定方法を（）に記載すること。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６　職員体制</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体制と給与区分を選択すること。また、選択した給与区分に応じて、職員名簿を以下のとおり記載すること。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全て通常給与</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で担当職員を記載</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全て超過勤務</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別紙</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で担当職員を記載</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通常給与と超過勤務の混合</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通常給与で対応した職員分は様式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 、超過勤務で対応した職員分は別紙</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に分けて記載</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必要保育士数</a:t>
          </a:r>
          <a:r>
            <a:rPr kumimoji="1" lang="en-US" altLang="ja-JP" sz="1100" b="1">
              <a:solidFill>
                <a:schemeClr val="dk1"/>
              </a:solidFill>
              <a:effectLst/>
              <a:latin typeface="+mn-lt"/>
              <a:ea typeface="+mn-ea"/>
              <a:cs typeface="+mn-cs"/>
            </a:rPr>
            <a:t>】</a:t>
          </a:r>
          <a:endParaRPr lang="ja-JP" altLang="ja-JP">
            <a:effectLst/>
          </a:endParaRPr>
        </a:p>
        <a:p>
          <a:r>
            <a:rPr kumimoji="1" lang="en-US" altLang="ja-JP" sz="1100">
              <a:solidFill>
                <a:schemeClr val="dk1"/>
              </a:solidFill>
              <a:effectLst/>
              <a:latin typeface="+mn-lt"/>
              <a:ea typeface="+mn-ea"/>
              <a:cs typeface="+mn-cs"/>
            </a:rPr>
            <a:t> No1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すべてに回答すること。要件を満たさない場合は加算されない。</a:t>
          </a:r>
          <a:r>
            <a:rPr kumimoji="1" lang="en-US" altLang="ja-JP" sz="1100">
              <a:solidFill>
                <a:schemeClr val="dk1"/>
              </a:solidFill>
              <a:effectLst/>
              <a:latin typeface="+mn-lt"/>
              <a:ea typeface="+mn-ea"/>
              <a:cs typeface="+mn-cs"/>
            </a:rPr>
            <a:t>No2</a:t>
          </a:r>
          <a:r>
            <a:rPr kumimoji="1" lang="ja-JP" altLang="ja-JP" sz="1100">
              <a:solidFill>
                <a:schemeClr val="dk1"/>
              </a:solidFill>
              <a:effectLst/>
              <a:latin typeface="+mn-lt"/>
              <a:ea typeface="+mn-ea"/>
              <a:cs typeface="+mn-cs"/>
            </a:rPr>
            <a:t>の各規則は右記</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参考</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のとおり</a:t>
          </a:r>
          <a:endParaRPr lang="ja-JP" altLang="ja-JP">
            <a:effectLst/>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必要保育士数</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mn-lt"/>
              <a:ea typeface="+mn-ea"/>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実施計画」の「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職員体制」で、「全て超過勤務」又は「通常給与と超過勤務の混合」と回答した場合、超過勤務対応部分のみを記載すること。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endParaRPr kumimoji="1" lang="en-US" altLang="ja-JP" sz="1100" b="1">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128510</xdr:colOff>
      <xdr:row>0</xdr:row>
      <xdr:rowOff>244928</xdr:rowOff>
    </xdr:from>
    <xdr:to>
      <xdr:col>16</xdr:col>
      <xdr:colOff>3871834</xdr:colOff>
      <xdr:row>7</xdr:row>
      <xdr:rowOff>119441</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9424910" y="244928"/>
          <a:ext cx="3743324" cy="2160513"/>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16</xdr:col>
      <xdr:colOff>122465</xdr:colOff>
      <xdr:row>8</xdr:row>
      <xdr:rowOff>122464</xdr:rowOff>
    </xdr:from>
    <xdr:to>
      <xdr:col>16</xdr:col>
      <xdr:colOff>3905249</xdr:colOff>
      <xdr:row>39</xdr:row>
      <xdr:rowOff>108857</xdr:rowOff>
    </xdr:to>
    <xdr:sp macro="" textlink="">
      <xdr:nvSpPr>
        <xdr:cNvPr id="3" name="正方形/長方形 2">
          <a:extLst>
            <a:ext uri="{FF2B5EF4-FFF2-40B4-BE49-F238E27FC236}">
              <a16:creationId xmlns:a16="http://schemas.microsoft.com/office/drawing/2014/main" id="{00000000-0008-0000-0800-000003000000}"/>
            </a:ext>
          </a:extLst>
        </xdr:cNvPr>
        <xdr:cNvSpPr/>
      </xdr:nvSpPr>
      <xdr:spPr>
        <a:xfrm>
          <a:off x="9418865" y="2694214"/>
          <a:ext cx="3782784" cy="884464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000" b="1">
              <a:latin typeface="ＭＳ ゴシック" panose="020B0609070205080204" pitchFamily="49" charset="-128"/>
              <a:ea typeface="ＭＳ ゴシック" panose="020B0609070205080204" pitchFamily="49" charset="-128"/>
            </a:rPr>
            <a:t>●　別紙</a:t>
          </a:r>
          <a:r>
            <a:rPr kumimoji="1" lang="en-US" altLang="ja-JP" sz="1000" b="1">
              <a:latin typeface="ＭＳ ゴシック" panose="020B0609070205080204" pitchFamily="49" charset="-128"/>
              <a:ea typeface="ＭＳ ゴシック" panose="020B0609070205080204" pitchFamily="49" charset="-128"/>
            </a:rPr>
            <a:t>6</a:t>
          </a:r>
          <a:r>
            <a:rPr kumimoji="1" lang="ja-JP" altLang="en-US" sz="1000" b="1">
              <a:latin typeface="ＭＳ ゴシック" panose="020B0609070205080204" pitchFamily="49" charset="-128"/>
              <a:ea typeface="ＭＳ ゴシック" panose="020B0609070205080204" pitchFamily="49" charset="-128"/>
            </a:rPr>
            <a:t>－</a:t>
          </a:r>
          <a:r>
            <a:rPr kumimoji="1" lang="en-US" altLang="ja-JP" sz="1000" b="1">
              <a:latin typeface="ＭＳ ゴシック" panose="020B0609070205080204" pitchFamily="49" charset="-128"/>
              <a:ea typeface="ＭＳ ゴシック" panose="020B0609070205080204" pitchFamily="49" charset="-128"/>
            </a:rPr>
            <a:t>1</a:t>
          </a:r>
        </a:p>
        <a:p>
          <a:pPr algn="l"/>
          <a:r>
            <a:rPr kumimoji="1" lang="ja-JP" altLang="en-US" sz="1000" b="0">
              <a:latin typeface="ＭＳ ゴシック" panose="020B0609070205080204" pitchFamily="49" charset="-128"/>
              <a:ea typeface="ＭＳ ゴシック" panose="020B0609070205080204" pitchFamily="49" charset="-128"/>
            </a:rPr>
            <a:t>　減算を解除する場合に作成してください。なお、事前に子ども未来局の担当部署に協議が必要です。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日付</a:t>
          </a:r>
          <a:r>
            <a:rPr kumimoji="1" lang="en-US" altLang="ja-JP" sz="1000" b="0">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個票に記載した協議年月日と申出書提出日は一致します。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申出者</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原則は加算適用申請書と一致します。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から引用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見直</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した区分</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個票より引用。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定員</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定員を見直した場合は「見直し後」と「見直しした月」を記載してください。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見直し前は様式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からの引用です。修正する場合のみ上書きしてください。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利用初日児童数（予定）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当該年度の受入れ児童数を記載してください。なお、市外児童も含みます。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入力した予定児童数の年間在所率が</a:t>
          </a:r>
          <a:r>
            <a:rPr kumimoji="1" lang="en-US" altLang="ja-JP" sz="1000">
              <a:latin typeface="ＭＳ ゴシック" panose="020B0609070205080204" pitchFamily="49" charset="-128"/>
              <a:ea typeface="ＭＳ ゴシック" panose="020B0609070205080204" pitchFamily="49" charset="-128"/>
            </a:rPr>
            <a:t>120</a:t>
          </a:r>
          <a:r>
            <a:rPr kumimoji="1" lang="ja-JP" altLang="en-US" sz="1000">
              <a:latin typeface="ＭＳ ゴシック" panose="020B0609070205080204" pitchFamily="49" charset="-128"/>
              <a:ea typeface="ＭＳ ゴシック" panose="020B0609070205080204" pitchFamily="49" charset="-128"/>
            </a:rPr>
            <a:t>％以上の場合は、不適切な計画とみなし減算解除を認めません。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また、原則は定員の範囲内での利用が望ましいため、</a:t>
          </a:r>
          <a:r>
            <a:rPr kumimoji="1" lang="en-US" altLang="ja-JP" sz="1000">
              <a:latin typeface="ＭＳ ゴシック" panose="020B0609070205080204" pitchFamily="49" charset="-128"/>
              <a:ea typeface="ＭＳ ゴシック" panose="020B0609070205080204" pitchFamily="49" charset="-128"/>
            </a:rPr>
            <a:t>120</a:t>
          </a:r>
          <a:r>
            <a:rPr kumimoji="1" lang="ja-JP" altLang="en-US" sz="1000">
              <a:latin typeface="ＭＳ ゴシック" panose="020B0609070205080204" pitchFamily="49" charset="-128"/>
              <a:ea typeface="ＭＳ ゴシック" panose="020B0609070205080204" pitchFamily="49" charset="-128"/>
            </a:rPr>
            <a:t>％以上ではない場合でも、継続的に利用児童数が定員を超過している場合は不適切な計画とみなす場合があります。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2022</a:t>
          </a:r>
          <a:r>
            <a:rPr kumimoji="1" lang="ja-JP" altLang="en-US" sz="1000">
              <a:latin typeface="ＭＳ ゴシック" panose="020B0609070205080204" pitchFamily="49" charset="-128"/>
              <a:ea typeface="ＭＳ ゴシック" panose="020B0609070205080204" pitchFamily="49" charset="-128"/>
            </a:rPr>
            <a:t>年度以降は、上記条件に加え見直した月から</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か月間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見直し月が</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月の場合は</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か月間、</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月の場合は</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か月間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の平均在所率が</a:t>
          </a:r>
          <a:r>
            <a:rPr kumimoji="1" lang="en-US" altLang="ja-JP" sz="1000">
              <a:latin typeface="ＭＳ ゴシック" panose="020B0609070205080204" pitchFamily="49" charset="-128"/>
              <a:ea typeface="ＭＳ ゴシック" panose="020B0609070205080204" pitchFamily="49" charset="-128"/>
            </a:rPr>
            <a:t>115</a:t>
          </a:r>
          <a:r>
            <a:rPr kumimoji="1" lang="ja-JP" altLang="en-US" sz="1000">
              <a:latin typeface="ＭＳ ゴシック" panose="020B0609070205080204" pitchFamily="49" charset="-128"/>
              <a:ea typeface="ＭＳ ゴシック" panose="020B0609070205080204" pitchFamily="49" charset="-128"/>
            </a:rPr>
            <a:t>％未満である必要があります。</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16</xdr:col>
      <xdr:colOff>95250</xdr:colOff>
      <xdr:row>42</xdr:row>
      <xdr:rowOff>40821</xdr:rowOff>
    </xdr:from>
    <xdr:to>
      <xdr:col>16</xdr:col>
      <xdr:colOff>3878034</xdr:colOff>
      <xdr:row>71</xdr:row>
      <xdr:rowOff>27214</xdr:rowOff>
    </xdr:to>
    <xdr:sp macro="" textlink="">
      <xdr:nvSpPr>
        <xdr:cNvPr id="4" name="正方形/長方形 3">
          <a:extLst>
            <a:ext uri="{FF2B5EF4-FFF2-40B4-BE49-F238E27FC236}">
              <a16:creationId xmlns:a16="http://schemas.microsoft.com/office/drawing/2014/main" id="{00000000-0008-0000-0800-000004000000}"/>
            </a:ext>
          </a:extLst>
        </xdr:cNvPr>
        <xdr:cNvSpPr/>
      </xdr:nvSpPr>
      <xdr:spPr>
        <a:xfrm>
          <a:off x="9391650" y="12328071"/>
          <a:ext cx="3782784" cy="855889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000" b="1">
              <a:latin typeface="ＭＳ ゴシック" panose="020B0609070205080204" pitchFamily="49" charset="-128"/>
              <a:ea typeface="ＭＳ ゴシック" panose="020B0609070205080204" pitchFamily="49" charset="-128"/>
            </a:rPr>
            <a:t>●　別紙</a:t>
          </a:r>
          <a:r>
            <a:rPr kumimoji="1" lang="en-US" altLang="ja-JP" sz="1000" b="1">
              <a:latin typeface="ＭＳ ゴシック" panose="020B0609070205080204" pitchFamily="49" charset="-128"/>
              <a:ea typeface="ＭＳ ゴシック" panose="020B0609070205080204" pitchFamily="49" charset="-128"/>
            </a:rPr>
            <a:t>6</a:t>
          </a:r>
          <a:r>
            <a:rPr kumimoji="1" lang="ja-JP" altLang="en-US" sz="1000" b="1">
              <a:latin typeface="ＭＳ ゴシック" panose="020B0609070205080204" pitchFamily="49" charset="-128"/>
              <a:ea typeface="ＭＳ ゴシック" panose="020B0609070205080204" pitchFamily="49" charset="-128"/>
            </a:rPr>
            <a:t>－</a:t>
          </a:r>
          <a:r>
            <a:rPr kumimoji="1" lang="en-US" altLang="ja-JP" sz="1000" b="1">
              <a:latin typeface="ＭＳ ゴシック" panose="020B0609070205080204" pitchFamily="49" charset="-128"/>
              <a:ea typeface="ＭＳ ゴシック" panose="020B0609070205080204" pitchFamily="49" charset="-128"/>
            </a:rPr>
            <a:t>2</a:t>
          </a:r>
        </a:p>
        <a:p>
          <a:pPr algn="l"/>
          <a:r>
            <a:rPr kumimoji="1" lang="ja-JP" altLang="en-US" sz="1000" b="0">
              <a:latin typeface="ＭＳ ゴシック" panose="020B0609070205080204" pitchFamily="49" charset="-128"/>
              <a:ea typeface="ＭＳ ゴシック" panose="020B0609070205080204" pitchFamily="49" charset="-128"/>
            </a:rPr>
            <a:t>　減算解除を行っていた施設のみ、</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月加算と併せて当該様式を作成してください。</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当該実績報告により減算解除要件を満たさないと判明した場合は以下の取扱いとなります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ja-JP" altLang="en-US"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①</a:t>
          </a:r>
          <a:r>
            <a:rPr kumimoji="1" lang="en-US" altLang="ja-JP" sz="1000" b="0">
              <a:latin typeface="ＭＳ ゴシック" panose="020B0609070205080204" pitchFamily="49" charset="-128"/>
              <a:ea typeface="ＭＳ ゴシック" panose="020B0609070205080204" pitchFamily="49" charset="-128"/>
            </a:rPr>
            <a:t> </a:t>
          </a:r>
          <a:r>
            <a:rPr kumimoji="1" lang="ja-JP" altLang="en-US" sz="1000" b="0">
              <a:latin typeface="ＭＳ ゴシック" panose="020B0609070205080204" pitchFamily="49" charset="-128"/>
              <a:ea typeface="ＭＳ ゴシック" panose="020B0609070205080204" pitchFamily="49" charset="-128"/>
            </a:rPr>
            <a:t>年間平均在所率が</a:t>
          </a:r>
          <a:r>
            <a:rPr kumimoji="1" lang="en-US" altLang="ja-JP" sz="1000" b="0">
              <a:latin typeface="ＭＳ ゴシック" panose="020B0609070205080204" pitchFamily="49" charset="-128"/>
              <a:ea typeface="ＭＳ ゴシック" panose="020B0609070205080204" pitchFamily="49" charset="-128"/>
            </a:rPr>
            <a:t>120%</a:t>
          </a:r>
          <a:r>
            <a:rPr kumimoji="1" lang="ja-JP" altLang="en-US" sz="1000" b="0">
              <a:latin typeface="ＭＳ ゴシック" panose="020B0609070205080204" pitchFamily="49" charset="-128"/>
              <a:ea typeface="ＭＳ ゴシック" panose="020B0609070205080204" pitchFamily="49" charset="-128"/>
            </a:rPr>
            <a:t>以上だが、年度途中で定員超過を解消した場合</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→年度当初～定員超過を解消した前月まで遡って減算適用</a:t>
          </a:r>
        </a:p>
        <a:p>
          <a:pPr algn="l"/>
          <a:r>
            <a:rPr kumimoji="1" lang="ja-JP" altLang="en-US" sz="1000" b="0">
              <a:latin typeface="ＭＳ ゴシック" panose="020B0609070205080204" pitchFamily="49" charset="-128"/>
              <a:ea typeface="ＭＳ ゴシック" panose="020B0609070205080204" pitchFamily="49" charset="-128"/>
            </a:rPr>
            <a:t> </a:t>
          </a:r>
        </a:p>
        <a:p>
          <a:pPr algn="l"/>
          <a:r>
            <a:rPr kumimoji="1" lang="ja-JP" altLang="en-US" sz="1000" b="0">
              <a:latin typeface="ＭＳ ゴシック" panose="020B0609070205080204" pitchFamily="49" charset="-128"/>
              <a:ea typeface="ＭＳ ゴシック" panose="020B0609070205080204" pitchFamily="49" charset="-128"/>
            </a:rPr>
            <a:t>②</a:t>
          </a:r>
          <a:r>
            <a:rPr kumimoji="1" lang="en-US" altLang="ja-JP" sz="1000" b="0">
              <a:latin typeface="ＭＳ ゴシック" panose="020B0609070205080204" pitchFamily="49" charset="-128"/>
              <a:ea typeface="ＭＳ ゴシック" panose="020B0609070205080204" pitchFamily="49" charset="-128"/>
            </a:rPr>
            <a:t> </a:t>
          </a:r>
          <a:r>
            <a:rPr kumimoji="1" lang="ja-JP" altLang="en-US" sz="1000" b="0">
              <a:latin typeface="ＭＳ ゴシック" panose="020B0609070205080204" pitchFamily="49" charset="-128"/>
              <a:ea typeface="ＭＳ ゴシック" panose="020B0609070205080204" pitchFamily="49" charset="-128"/>
            </a:rPr>
            <a:t>年間平均在所率が</a:t>
          </a:r>
          <a:r>
            <a:rPr kumimoji="1" lang="en-US" altLang="ja-JP" sz="1000" b="0">
              <a:latin typeface="ＭＳ ゴシック" panose="020B0609070205080204" pitchFamily="49" charset="-128"/>
              <a:ea typeface="ＭＳ ゴシック" panose="020B0609070205080204" pitchFamily="49" charset="-128"/>
            </a:rPr>
            <a:t>120</a:t>
          </a:r>
          <a:r>
            <a:rPr kumimoji="1" lang="ja-JP" altLang="en-US" sz="1000" b="0">
              <a:latin typeface="ＭＳ ゴシック" panose="020B0609070205080204" pitchFamily="49" charset="-128"/>
              <a:ea typeface="ＭＳ ゴシック" panose="020B0609070205080204" pitchFamily="49" charset="-128"/>
            </a:rPr>
            <a:t>％以上、かつ年度を通して定員超過であった場合</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　→年度当初にさかのぼって減算を適用</a:t>
          </a:r>
        </a:p>
        <a:p>
          <a:pPr algn="l"/>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0">
              <a:latin typeface="ＭＳ ゴシック" panose="020B0609070205080204" pitchFamily="49" charset="-128"/>
              <a:ea typeface="ＭＳ ゴシック" panose="020B0609070205080204" pitchFamily="49" charset="-128"/>
            </a:rPr>
            <a:t>【</a:t>
          </a:r>
          <a:r>
            <a:rPr kumimoji="1" lang="ja-JP" altLang="en-US" sz="1000" b="0">
              <a:latin typeface="ＭＳ ゴシック" panose="020B0609070205080204" pitchFamily="49" charset="-128"/>
              <a:ea typeface="ＭＳ ゴシック" panose="020B0609070205080204" pitchFamily="49" charset="-128"/>
            </a:rPr>
            <a:t>日付</a:t>
          </a:r>
          <a:r>
            <a:rPr kumimoji="1" lang="en-US" altLang="ja-JP" sz="1000" b="0">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a:t>
          </a:r>
          <a:r>
            <a:rPr kumimoji="1" lang="en-US" altLang="ja-JP" sz="1000" b="0">
              <a:latin typeface="ＭＳ ゴシック" panose="020B0609070205080204" pitchFamily="49" charset="-128"/>
              <a:ea typeface="ＭＳ ゴシック" panose="020B0609070205080204" pitchFamily="49" charset="-128"/>
            </a:rPr>
            <a:t>3</a:t>
          </a:r>
          <a:r>
            <a:rPr kumimoji="1" lang="ja-JP" altLang="en-US" sz="1000" b="0">
              <a:latin typeface="ＭＳ ゴシック" panose="020B0609070205080204" pitchFamily="49" charset="-128"/>
              <a:ea typeface="ＭＳ ゴシック" panose="020B0609070205080204" pitchFamily="49" charset="-128"/>
            </a:rPr>
            <a:t>月</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日で固定。</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申出者</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原則は加算適用申請書と一致します。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から引用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見直しした区分</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個票より引用。従前に提出した様式</a:t>
          </a:r>
          <a:r>
            <a:rPr kumimoji="1" lang="en-US" altLang="ja-JP" sz="1000">
              <a:latin typeface="ＭＳ ゴシック" panose="020B0609070205080204" pitchFamily="49" charset="-128"/>
              <a:ea typeface="ＭＳ ゴシック" panose="020B0609070205080204" pitchFamily="49" charset="-128"/>
            </a:rPr>
            <a:t>6</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と一致させてください。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定員</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定員を見直した場合は「見直し後」と「見直しした月」を記載してください。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見直し前は様式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からの引用です。修正する場合のみ上書きしてください。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利用初日児童数（実績）</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当該年度の受入れ児童数を実績値で記載してください。なお、市外児童も含みます。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入力した実績値に応じて、減算解除継続、遡及減算適用のいずれかが適用されます。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78441</xdr:colOff>
      <xdr:row>0</xdr:row>
      <xdr:rowOff>0</xdr:rowOff>
    </xdr:from>
    <xdr:to>
      <xdr:col>10</xdr:col>
      <xdr:colOff>4628030</xdr:colOff>
      <xdr:row>9</xdr:row>
      <xdr:rowOff>153148</xdr:rowOff>
    </xdr:to>
    <xdr:sp macro="" textlink="">
      <xdr:nvSpPr>
        <xdr:cNvPr id="4" name="正方形/長方形 3">
          <a:extLst>
            <a:ext uri="{FF2B5EF4-FFF2-40B4-BE49-F238E27FC236}">
              <a16:creationId xmlns:a16="http://schemas.microsoft.com/office/drawing/2014/main" id="{00000000-0008-0000-0900-000004000000}"/>
            </a:ext>
          </a:extLst>
        </xdr:cNvPr>
        <xdr:cNvSpPr/>
      </xdr:nvSpPr>
      <xdr:spPr>
        <a:xfrm>
          <a:off x="11183470" y="0"/>
          <a:ext cx="4549589" cy="1867648"/>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10</xdr:col>
      <xdr:colOff>67235</xdr:colOff>
      <xdr:row>11</xdr:row>
      <xdr:rowOff>127000</xdr:rowOff>
    </xdr:from>
    <xdr:to>
      <xdr:col>10</xdr:col>
      <xdr:colOff>4632126</xdr:colOff>
      <xdr:row>75</xdr:row>
      <xdr:rowOff>126999</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11172264" y="2222500"/>
          <a:ext cx="4564891" cy="1219199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常勤換算</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・下記の職員名簿に記載した教員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保育士</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の配置状況の内訳を記載しています。人数に誤りがある場合は職員名簿に記入漏れ等が無いかをご確認ください。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就業規則等で定める所定労働時間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月を記入してください。</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入力が漏れると常勤換算数が計算されません</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常勤換算数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常勤換算数を算出します。また、当該数値が様式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に引用されます。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職員名簿</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初日時点の事務職員等を含む全ての職員について記入してください。月途中で採用した職員は常勤・非常勤にかかわらず記載しないでください。</a:t>
          </a:r>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なお、業務委託と雇用職員（派遣含む）を分けて記載してください。業務委託については、保育士のみ常勤換算数に含まれます。 </a:t>
          </a: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①　職員氏名</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職員氏名を誤りなく記載。業務委託の場合は会社名を記載。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②　職員状況</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・職種区分</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施設長、保育士、栄養士、調理員、事務員、その他、看護師・保健師から選択。業務委託の場合は選択不要。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・初日時点の給与状況</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有給・有給（他法活用）・代替（助成金等対象）・無給を選択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有給（他法活用）</a:t>
          </a:r>
          <a:endPar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傷病手当金や特定求職者雇用開発助成金など、他制度を用いて職員給与を支払っている場合が該当します。</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代替（助成金等対象）</a:t>
          </a:r>
          <a:endPar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小学校休校等助成金等による代替職員となります。これらの職員は助成金で措置される職員となるため、給付費を算出する職員配置には含まれません。</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＜代替職員雇用に充てられる助成金の取扱い＞</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・休職職員（有給）：「有給」を選択。職員配置に含む</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・代替職員（有給）：「代替」を選択。職員配置に含まない　</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③　雇用形態</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・常勤、非常勤</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常勤、非常勤から選択。ただし、常勤だが他職種と兼務又は時短勤務職員は非常勤を選択。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・契約形態</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正職、臨職、嘱託契約、派遣契約から選択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非常勤</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常勤－時短</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兼務、雇用契約、派遣契約、嘱託契約から選択。なお、パート職員は非常勤➡雇用契約です。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・非常勤の勤務時間</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業務委託の場合は直接入力、雇用職員の場合は様式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で入力。なお、入力は月当たりの予定時間数（単位は時間）とし、十進数で入力すること。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⑤　雇用開始日</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雇用開始日を記載。記載は西暦で「○○年△月□日」の場合は「○○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」。また、雇用開始日の下にある日付以前の方のみが入力可能。</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⑥　算入判定</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入力漏れ等があると「エラー」と表示されるため見直すこと。また、一番上に記載された看護師・保健師を１名保育士としてカウントします。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1" i="0" u="none" strike="noStrike">
              <a:solidFill>
                <a:srgbClr val="FF0000"/>
              </a:solidFill>
              <a:effectLst/>
              <a:latin typeface="ＭＳ ゴシック" panose="020B0609070205080204" pitchFamily="49" charset="-128"/>
              <a:ea typeface="ＭＳ ゴシック" panose="020B0609070205080204" pitchFamily="49" charset="-128"/>
              <a:cs typeface="+mn-cs"/>
            </a:rPr>
            <a:t>＜注意＞</a:t>
          </a:r>
          <a:endParaRPr lang="en-US" altLang="ja-JP" sz="1000" b="1" i="0" u="none" strike="noStrike">
            <a:solidFill>
              <a:srgbClr val="FF0000"/>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・勤務時間数は超過勤務時間を含みません。</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原則「コピー＆ペースト」は行わないでください。</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行う場合は貼付け時に「値のみ貼り付け」としてください。</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・委託・派遣の場合は、勤務（予定）時間のわかる挙証書類を別途添付してください。</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例</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1</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）月当たりに勤務時間が記載された契約書の写し</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例</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2</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）派遣予定シフト表</a:t>
          </a:r>
        </a:p>
        <a:p>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0</xdr:colOff>
      <xdr:row>0</xdr:row>
      <xdr:rowOff>0</xdr:rowOff>
    </xdr:from>
    <xdr:to>
      <xdr:col>4</xdr:col>
      <xdr:colOff>840441</xdr:colOff>
      <xdr:row>5</xdr:row>
      <xdr:rowOff>152400</xdr:rowOff>
    </xdr:to>
    <xdr:sp macro="" textlink="">
      <xdr:nvSpPr>
        <xdr:cNvPr id="2" name="テキスト ボックス 1">
          <a:extLst>
            <a:ext uri="{FF2B5EF4-FFF2-40B4-BE49-F238E27FC236}">
              <a16:creationId xmlns:a16="http://schemas.microsoft.com/office/drawing/2014/main" id="{B9FD81FD-6563-4557-83FD-9F294BB6A94D}"/>
            </a:ext>
          </a:extLst>
        </xdr:cNvPr>
        <xdr:cNvSpPr txBox="1"/>
      </xdr:nvSpPr>
      <xdr:spPr>
        <a:xfrm>
          <a:off x="0" y="0"/>
          <a:ext cx="4818529"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37</xdr:col>
      <xdr:colOff>74081</xdr:colOff>
      <xdr:row>0</xdr:row>
      <xdr:rowOff>10583</xdr:rowOff>
    </xdr:from>
    <xdr:to>
      <xdr:col>37</xdr:col>
      <xdr:colOff>3817405</xdr:colOff>
      <xdr:row>5</xdr:row>
      <xdr:rowOff>116417</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16609481" y="10583"/>
          <a:ext cx="3743324" cy="105833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37</xdr:col>
      <xdr:colOff>116417</xdr:colOff>
      <xdr:row>7</xdr:row>
      <xdr:rowOff>10583</xdr:rowOff>
    </xdr:from>
    <xdr:to>
      <xdr:col>37</xdr:col>
      <xdr:colOff>3783542</xdr:colOff>
      <xdr:row>24</xdr:row>
      <xdr:rowOff>162983</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16651817" y="1344083"/>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氏名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からの自動引用です。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日にち・曜日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の申請月の入力状況に応じて自動表示されます。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入力方法</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・時間数を入力してください。単位は時間です。ご不明な場合は右上の時間数換算表をご使用ください。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　→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・入力は「数字」のみとし、「文字」は入力しないでください。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　→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1</xdr:colOff>
      <xdr:row>0</xdr:row>
      <xdr:rowOff>0</xdr:rowOff>
    </xdr:from>
    <xdr:to>
      <xdr:col>10</xdr:col>
      <xdr:colOff>84668</xdr:colOff>
      <xdr:row>5</xdr:row>
      <xdr:rowOff>152400</xdr:rowOff>
    </xdr:to>
    <xdr:sp macro="" textlink="">
      <xdr:nvSpPr>
        <xdr:cNvPr id="4" name="テキスト ボックス 3">
          <a:extLst>
            <a:ext uri="{FF2B5EF4-FFF2-40B4-BE49-F238E27FC236}">
              <a16:creationId xmlns:a16="http://schemas.microsoft.com/office/drawing/2014/main" id="{6F6AF883-9489-4F7C-893A-E761DE19AB4B}"/>
            </a:ext>
          </a:extLst>
        </xdr:cNvPr>
        <xdr:cNvSpPr txBox="1"/>
      </xdr:nvSpPr>
      <xdr:spPr>
        <a:xfrm>
          <a:off x="1" y="0"/>
          <a:ext cx="4476750"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104775</xdr:colOff>
      <xdr:row>0</xdr:row>
      <xdr:rowOff>0</xdr:rowOff>
    </xdr:from>
    <xdr:to>
      <xdr:col>6</xdr:col>
      <xdr:colOff>3771900</xdr:colOff>
      <xdr:row>5</xdr:row>
      <xdr:rowOff>123825</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6705600" y="0"/>
          <a:ext cx="3667125"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6</xdr:col>
      <xdr:colOff>104775</xdr:colOff>
      <xdr:row>5</xdr:row>
      <xdr:rowOff>304800</xdr:rowOff>
    </xdr:from>
    <xdr:to>
      <xdr:col>6</xdr:col>
      <xdr:colOff>3771900</xdr:colOff>
      <xdr:row>14</xdr:row>
      <xdr:rowOff>266700</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6705600" y="1362075"/>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入力方法</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・学級担任は</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常勤専任</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である必要があります。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・年齢の高いクラス（年長）から記入してください。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・用紙が足りない場合はコピーしてください。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・本表と同様の内容が確認できる書類の提出がある場合は、本クラス編成表の提出を省略することができます。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・列数や行数は自由に組み替えていただいて構いません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様式に保護は掛けていません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0</xdr:colOff>
      <xdr:row>0</xdr:row>
      <xdr:rowOff>0</xdr:rowOff>
    </xdr:from>
    <xdr:to>
      <xdr:col>3</xdr:col>
      <xdr:colOff>762000</xdr:colOff>
      <xdr:row>5</xdr:row>
      <xdr:rowOff>152400</xdr:rowOff>
    </xdr:to>
    <xdr:sp macro="" textlink="">
      <xdr:nvSpPr>
        <xdr:cNvPr id="4" name="テキスト ボックス 3">
          <a:extLst>
            <a:ext uri="{FF2B5EF4-FFF2-40B4-BE49-F238E27FC236}">
              <a16:creationId xmlns:a16="http://schemas.microsoft.com/office/drawing/2014/main" id="{9CC4DA71-68B8-4566-A786-46DE2D81F6A4}"/>
            </a:ext>
          </a:extLst>
        </xdr:cNvPr>
        <xdr:cNvSpPr txBox="1"/>
      </xdr:nvSpPr>
      <xdr:spPr>
        <a:xfrm>
          <a:off x="0" y="0"/>
          <a:ext cx="3733800" cy="1209675"/>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15</xdr:col>
      <xdr:colOff>56029</xdr:colOff>
      <xdr:row>0</xdr:row>
      <xdr:rowOff>0</xdr:rowOff>
    </xdr:from>
    <xdr:to>
      <xdr:col>15</xdr:col>
      <xdr:colOff>3899645</xdr:colOff>
      <xdr:row>7</xdr:row>
      <xdr:rowOff>89648</xdr:rowOff>
    </xdr:to>
    <xdr:sp macro="" textlink="">
      <xdr:nvSpPr>
        <xdr:cNvPr id="4" name="正方形/長方形 3">
          <a:extLst>
            <a:ext uri="{FF2B5EF4-FFF2-40B4-BE49-F238E27FC236}">
              <a16:creationId xmlns:a16="http://schemas.microsoft.com/office/drawing/2014/main" id="{00000000-0008-0000-0C00-000004000000}"/>
            </a:ext>
          </a:extLst>
        </xdr:cNvPr>
        <xdr:cNvSpPr/>
      </xdr:nvSpPr>
      <xdr:spPr>
        <a:xfrm>
          <a:off x="12169588" y="0"/>
          <a:ext cx="3843616" cy="1423148"/>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15</xdr:col>
      <xdr:colOff>67233</xdr:colOff>
      <xdr:row>8</xdr:row>
      <xdr:rowOff>56029</xdr:rowOff>
    </xdr:from>
    <xdr:to>
      <xdr:col>15</xdr:col>
      <xdr:colOff>3910850</xdr:colOff>
      <xdr:row>96</xdr:row>
      <xdr:rowOff>123264</xdr:rowOff>
    </xdr:to>
    <xdr:sp macro="" textlink="">
      <xdr:nvSpPr>
        <xdr:cNvPr id="5" name="正方形/長方形 4">
          <a:extLst>
            <a:ext uri="{FF2B5EF4-FFF2-40B4-BE49-F238E27FC236}">
              <a16:creationId xmlns:a16="http://schemas.microsoft.com/office/drawing/2014/main" id="{00000000-0008-0000-0C00-000005000000}"/>
            </a:ext>
          </a:extLst>
        </xdr:cNvPr>
        <xdr:cNvSpPr/>
      </xdr:nvSpPr>
      <xdr:spPr>
        <a:xfrm>
          <a:off x="12180792" y="1580029"/>
          <a:ext cx="3843617" cy="167640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利用児童状況</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・各月「</a:t>
          </a:r>
          <a:r>
            <a:rPr kumimoji="1" lang="ja-JP" altLang="en-US" sz="1000">
              <a:solidFill>
                <a:srgbClr val="FF0000"/>
              </a:solidFill>
              <a:latin typeface="ＭＳ ゴシック" panose="020B0609070205080204" pitchFamily="49" charset="-128"/>
              <a:ea typeface="ＭＳ ゴシック" panose="020B0609070205080204" pitchFamily="49" charset="-128"/>
            </a:rPr>
            <a:t>初日</a:t>
          </a:r>
          <a:r>
            <a:rPr kumimoji="1" lang="en-US" altLang="ja-JP" sz="1000">
              <a:solidFill>
                <a:srgbClr val="FF0000"/>
              </a:solidFill>
              <a:latin typeface="ＭＳ ゴシック" panose="020B0609070205080204" pitchFamily="49" charset="-128"/>
              <a:ea typeface="ＭＳ ゴシック" panose="020B0609070205080204" pitchFamily="49" charset="-128"/>
            </a:rPr>
            <a:t>(1</a:t>
          </a:r>
          <a:r>
            <a:rPr kumimoji="1" lang="ja-JP" altLang="en-US" sz="1000">
              <a:solidFill>
                <a:srgbClr val="FF0000"/>
              </a:solidFill>
              <a:latin typeface="ＭＳ ゴシック" panose="020B0609070205080204" pitchFamily="49" charset="-128"/>
              <a:ea typeface="ＭＳ ゴシック" panose="020B0609070205080204" pitchFamily="49" charset="-128"/>
            </a:rPr>
            <a:t>日</a:t>
          </a:r>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時点</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の在籍状況を記載すること（</a:t>
          </a:r>
          <a:r>
            <a:rPr kumimoji="1" lang="ja-JP" altLang="en-US" sz="1000">
              <a:solidFill>
                <a:srgbClr val="FF0000"/>
              </a:solidFill>
              <a:latin typeface="ＭＳ ゴシック" panose="020B0609070205080204" pitchFamily="49" charset="-128"/>
              <a:ea typeface="ＭＳ ゴシック" panose="020B0609070205080204" pitchFamily="49" charset="-128"/>
            </a:rPr>
            <a:t>月中途入所は記載しない</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・年齢は「</a:t>
          </a:r>
          <a:r>
            <a:rPr kumimoji="1" lang="ja-JP" altLang="en-US" sz="1000">
              <a:solidFill>
                <a:srgbClr val="FF0000"/>
              </a:solidFill>
              <a:latin typeface="ＭＳ ゴシック" panose="020B0609070205080204" pitchFamily="49" charset="-128"/>
              <a:ea typeface="ＭＳ ゴシック" panose="020B0609070205080204" pitchFamily="49" charset="-128"/>
            </a:rPr>
            <a:t>クラス年齢</a:t>
          </a:r>
          <a:r>
            <a:rPr kumimoji="1" lang="ja-JP" altLang="en-US" sz="1000">
              <a:latin typeface="ＭＳ ゴシック" panose="020B0609070205080204" pitchFamily="49" charset="-128"/>
              <a:ea typeface="ＭＳ ゴシック" panose="020B0609070205080204" pitchFamily="49" charset="-128"/>
            </a:rPr>
            <a:t>」となります。なお、満</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歳児</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号児童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のみクラス年齢ではないことに留意すること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号児童は保育必要量別（標準時間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短時間）で記載すること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・札幌市内児童と札幌市外児童を分けて記載すること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職員配置は市内＋市外児童の合計数で算出</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加算・減算・補助金等</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以下の構成となっており、それぞれ担当分を入力すること。なお、公定価格と補助金の担当者は重複できないため留意すること。また、補助金で挙げた担当者の人件費をそれぞれの補助金申請で計上すること。</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上段：公定価格に係る基本配置・加算・減算</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下段：補助金等</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①　項目</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基本配置や加算・減算の項目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②　担当</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・職種</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配置すべき職種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・配置者</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条件</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申請状況が「○」「△」の場合は、配置条件が表示又は担当者名を選択する必要がある場合は「担当者名」欄に色が付く　</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担当者名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色がついている場合のみ、「項目」及び「職種」に応じた担当職員をドロップダウンから選択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勤務時間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「担当者名」で選択した職員の勤務時間が表示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確認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「担当者名」で選択した職員に応じて下記が表示。「○」以外は見直しが必要</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○：問題なし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要常勤：常勤を選ぶべきところ非常勤を選択しているエラー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時間無：勤務時間</a:t>
          </a:r>
          <a:r>
            <a:rPr kumimoji="1" lang="en-US" altLang="ja-JP" sz="1000">
              <a:latin typeface="ＭＳ ゴシック" panose="020B0609070205080204" pitchFamily="49" charset="-128"/>
              <a:ea typeface="ＭＳ ゴシック" panose="020B0609070205080204" pitchFamily="49" charset="-128"/>
            </a:rPr>
            <a:t>0</a:t>
          </a:r>
          <a:r>
            <a:rPr kumimoji="1" lang="ja-JP" altLang="en-US" sz="1000">
              <a:latin typeface="ＭＳ ゴシック" panose="020B0609070205080204" pitchFamily="49" charset="-128"/>
              <a:ea typeface="ＭＳ ゴシック" panose="020B0609070205080204" pitchFamily="49" charset="-128"/>
            </a:rPr>
            <a:t>時間の職員を選択しているエラー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重複：他の基本配置、加算で既に選択しているエラー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名簿無：様式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にいない職員を選択しているエラー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対象外：要件を満たさない職員を選択しているエラー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担当時間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担当時間を分けることができる場合は色が付く。その際、担当時間を入力すると入力時間に応じた常勤換算数が別途算出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・常勤換算数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配置者に入力した状況に応じて常勤換算数が表示。下限設定がある場合は「調整」と表示されたうえで、調整後の常勤換算数が表示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全計上：勤務時間＝担当時間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調整①：非常勤職員の下限（</a:t>
          </a:r>
          <a:r>
            <a:rPr kumimoji="1" lang="en-US" altLang="ja-JP" sz="1000">
              <a:latin typeface="ＭＳ ゴシック" panose="020B0609070205080204" pitchFamily="49" charset="-128"/>
              <a:ea typeface="ＭＳ ゴシック" panose="020B0609070205080204" pitchFamily="49" charset="-128"/>
            </a:rPr>
            <a:t>0.5</a:t>
          </a:r>
          <a:r>
            <a:rPr kumimoji="1" lang="ja-JP" altLang="en-US" sz="1000">
              <a:latin typeface="ＭＳ ゴシック" panose="020B0609070205080204" pitchFamily="49" charset="-128"/>
              <a:ea typeface="ＭＳ ゴシック" panose="020B0609070205080204" pitchFamily="49" charset="-128"/>
            </a:rPr>
            <a:t>人</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月）。ただし、</a:t>
          </a:r>
          <a:r>
            <a:rPr kumimoji="1" lang="en-US" altLang="ja-JP" sz="1000">
              <a:latin typeface="ＭＳ ゴシック" panose="020B0609070205080204" pitchFamily="49" charset="-128"/>
              <a:ea typeface="ＭＳ ゴシック" panose="020B0609070205080204" pitchFamily="49" charset="-128"/>
            </a:rPr>
            <a:t>2021</a:t>
          </a:r>
          <a:r>
            <a:rPr kumimoji="1" lang="ja-JP" altLang="en-US" sz="1000">
              <a:latin typeface="ＭＳ ゴシック" panose="020B0609070205080204" pitchFamily="49" charset="-128"/>
              <a:ea typeface="ＭＳ ゴシック" panose="020B0609070205080204" pitchFamily="49" charset="-128"/>
            </a:rPr>
            <a:t>年度は下限設定なし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エラー：担当時間＞勤務時間となっているか、担当時間に数値以外が入力されているため見直すこと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③　判定（取得数）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・申請状況</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－各個票の入力状況に応じて申請状況を表示。申請が無い加算は取得できない。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申請あり：○又は△</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申請なし；</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・判定</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基本配置や加算</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減算の判定結果が表示。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○：加算取得</a:t>
          </a:r>
          <a:r>
            <a:rPr kumimoji="1" lang="en-US" altLang="ja-JP" sz="1000">
              <a:latin typeface="ＭＳ ゴシック" panose="020B0609070205080204" pitchFamily="49" charset="-128"/>
              <a:ea typeface="ＭＳ ゴシック" panose="020B0609070205080204" pitchFamily="49" charset="-128"/>
            </a:rPr>
            <a:t>OK</a:t>
          </a: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：加算要件等が満たされていない又は入力状況に誤りがあるため見直すこと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－：未申請</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数値：加算や減算の取得（配置）数が表記</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0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・公定価格と補助金の担当者は重複できないため留意</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補助金で挙げた担当者の人件費をそれぞれの補助金申請で計上することを原則とし、その他配置ルール等は各補助金の規定に従うこと。なお、当該様式に表示されている常勤換算数は予定勤務時間であるため、各補助金計上時は実際時間数又は経費を計上す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ja-JP" altLang="en-US"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配置数</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様式</a:t>
          </a:r>
          <a:r>
            <a:rPr lang="en-US" altLang="ja-JP" sz="1000">
              <a:effectLst/>
              <a:latin typeface="ＭＳ ゴシック" panose="020B0609070205080204" pitchFamily="49" charset="-128"/>
              <a:ea typeface="ＭＳ ゴシック" panose="020B0609070205080204" pitchFamily="49" charset="-128"/>
            </a:rPr>
            <a:t>2</a:t>
          </a:r>
          <a:r>
            <a:rPr lang="ja-JP" altLang="en-US" sz="1000">
              <a:effectLst/>
              <a:latin typeface="ＭＳ ゴシック" panose="020B0609070205080204" pitchFamily="49" charset="-128"/>
              <a:ea typeface="ＭＳ ゴシック" panose="020B0609070205080204" pitchFamily="49" charset="-128"/>
            </a:rPr>
            <a:t>より自動引用。</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基本配置の調理員又は事務員が不足する場合は、その他職種から流用する常勤換算数を入力し、基本配置を充足すること（調理員及び事務員は資格不要）</a:t>
          </a:r>
          <a:endParaRPr lang="en-US" altLang="ja-JP" sz="1000">
            <a:effectLst/>
            <a:latin typeface="ＭＳ ゴシック" panose="020B0609070205080204" pitchFamily="49" charset="-128"/>
            <a:ea typeface="ＭＳ ゴシック" panose="020B0609070205080204" pitchFamily="49" charset="-128"/>
          </a:endParaRPr>
        </a:p>
        <a:p>
          <a:endParaRPr lang="en-US"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必要職員数</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数</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公定価格上の基本配置や加算に必要な職員数を算出し、実際の配置数と比較し過不足を確認</a:t>
          </a:r>
          <a:endParaRPr lang="ja-JP" altLang="ja-JP" sz="1000" b="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①　項目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職種ごとの基本配置や加算</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留意事項に定められた必要数を自動算出</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③　配置数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前述の配置数より自動引用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④　配置数</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‐③</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の結果を表示。マイナスになる場合、充足されていないため見直しが必要であり、見直し後もマイナスの場合は運営指導監査の指導対象となりえる</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0</xdr:colOff>
      <xdr:row>0</xdr:row>
      <xdr:rowOff>0</xdr:rowOff>
    </xdr:from>
    <xdr:to>
      <xdr:col>7</xdr:col>
      <xdr:colOff>89647</xdr:colOff>
      <xdr:row>5</xdr:row>
      <xdr:rowOff>152400</xdr:rowOff>
    </xdr:to>
    <xdr:sp macro="" textlink="">
      <xdr:nvSpPr>
        <xdr:cNvPr id="2" name="テキスト ボックス 1">
          <a:extLst>
            <a:ext uri="{FF2B5EF4-FFF2-40B4-BE49-F238E27FC236}">
              <a16:creationId xmlns:a16="http://schemas.microsoft.com/office/drawing/2014/main" id="{FF857FDD-553D-4624-88A7-890D7758CDEF}"/>
            </a:ext>
          </a:extLst>
        </xdr:cNvPr>
        <xdr:cNvSpPr txBox="1"/>
      </xdr:nvSpPr>
      <xdr:spPr>
        <a:xfrm>
          <a:off x="0" y="0"/>
          <a:ext cx="5748618"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21</xdr:col>
      <xdr:colOff>54428</xdr:colOff>
      <xdr:row>0</xdr:row>
      <xdr:rowOff>0</xdr:rowOff>
    </xdr:from>
    <xdr:to>
      <xdr:col>21</xdr:col>
      <xdr:colOff>3797752</xdr:colOff>
      <xdr:row>6</xdr:row>
      <xdr:rowOff>38100</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10123714" y="0"/>
          <a:ext cx="3743324"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21</xdr:col>
      <xdr:colOff>81642</xdr:colOff>
      <xdr:row>6</xdr:row>
      <xdr:rowOff>163286</xdr:rowOff>
    </xdr:from>
    <xdr:to>
      <xdr:col>21</xdr:col>
      <xdr:colOff>3748767</xdr:colOff>
      <xdr:row>18</xdr:row>
      <xdr:rowOff>40821</xdr:rowOff>
    </xdr:to>
    <xdr:sp macro="" textlink="">
      <xdr:nvSpPr>
        <xdr:cNvPr id="3" name="正方形/長方形 2">
          <a:extLst>
            <a:ext uri="{FF2B5EF4-FFF2-40B4-BE49-F238E27FC236}">
              <a16:creationId xmlns:a16="http://schemas.microsoft.com/office/drawing/2014/main" id="{00000000-0008-0000-0D00-000003000000}"/>
            </a:ext>
          </a:extLst>
        </xdr:cNvPr>
        <xdr:cNvSpPr/>
      </xdr:nvSpPr>
      <xdr:spPr>
        <a:xfrm>
          <a:off x="10150928" y="1306286"/>
          <a:ext cx="3667125" cy="605517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記入方法</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・上から順に埋めてください。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なお、最終的には</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月時点で</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月の全月の加算状況が埋まるように作成してください。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使用方法</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当該様式は、以下の用途で使用いたします。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施設～給付係間での加算申請状況の齟齬が無いかの確認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各精算時の様式作成補助（</a:t>
          </a:r>
          <a:r>
            <a:rPr kumimoji="1" lang="en-US" altLang="ja-JP" sz="1000">
              <a:latin typeface="ＭＳ ゴシック" panose="020B0609070205080204" pitchFamily="49" charset="-128"/>
              <a:ea typeface="ＭＳ ゴシック" panose="020B0609070205080204" pitchFamily="49" charset="-128"/>
            </a:rPr>
            <a:t>A</a:t>
          </a:r>
          <a:r>
            <a:rPr kumimoji="1" lang="ja-JP" altLang="en-US" sz="1000">
              <a:latin typeface="ＭＳ ゴシック" panose="020B0609070205080204" pitchFamily="49" charset="-128"/>
              <a:ea typeface="ＭＳ ゴシック" panose="020B0609070205080204" pitchFamily="49" charset="-128"/>
            </a:rPr>
            <a:t>基礎データ入力補助）</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注意</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・本様式は「申請書」ではありません。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本様式で加算をご申請いただいても認定することはできませんのでご注意ください。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加算の申請は様式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で行っていただく必要があります。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xdr:colOff>
      <xdr:row>0</xdr:row>
      <xdr:rowOff>0</xdr:rowOff>
    </xdr:from>
    <xdr:to>
      <xdr:col>8</xdr:col>
      <xdr:colOff>201707</xdr:colOff>
      <xdr:row>5</xdr:row>
      <xdr:rowOff>152400</xdr:rowOff>
    </xdr:to>
    <xdr:sp macro="" textlink="">
      <xdr:nvSpPr>
        <xdr:cNvPr id="4" name="テキスト ボックス 3">
          <a:extLst>
            <a:ext uri="{FF2B5EF4-FFF2-40B4-BE49-F238E27FC236}">
              <a16:creationId xmlns:a16="http://schemas.microsoft.com/office/drawing/2014/main" id="{24B97653-F0F8-4DDD-872D-FF9FCF47FD03}"/>
            </a:ext>
          </a:extLst>
        </xdr:cNvPr>
        <xdr:cNvSpPr txBox="1"/>
      </xdr:nvSpPr>
      <xdr:spPr>
        <a:xfrm>
          <a:off x="1" y="0"/>
          <a:ext cx="4235824"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43&#32102;&#20184;&#20418;/02&#65306;&#32102;&#20184;&#36027;&#65288;&#21033;&#29992;&#32773;&#36000;&#25285;&#38989;&#65289;/01&#65306;&#21152;&#31639;&#30003;&#35531;&#38306;&#20418;/01&#65306;&#20966;&#36935;&#25913;&#21892;&#31561;&#21152;&#31639;&#20197;&#22806;/01&#65306;&#27096;&#24335;/2022(R4)/02&#65306;&#20445;&#32946;&#25152;/&#12304;&#20445;&#32946;&#25152;&#12305;2022&#21152;&#31639;&#35519;&#25972;&#38917;&#30446;&#30003;&#35531;&#26360;&#65288;&#9675;&#26376;&#20998;&#65289;Ver1.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施設状況(要更新)"/>
      <sheetName val="チーム保育単価(要更新)"/>
      <sheetName val="休日情報(要更新)"/>
      <sheetName val="作成方法"/>
      <sheetName val="【別添】添付書類の表紙"/>
      <sheetName val="【様式１】総括表・個票"/>
      <sheetName val="(別紙１)施設長設置"/>
      <sheetName val="(別紙2)土曜閉所"/>
      <sheetName val="(別紙3)休日"/>
      <sheetName val="(別紙6)定員超過"/>
      <sheetName val="【様式2】職員名簿"/>
      <sheetName val="【様式３】シフト表"/>
      <sheetName val="【様式4】クラス編成表"/>
      <sheetName val="【様式５】職員数算出表"/>
      <sheetName val="【様式6】加算確認表"/>
      <sheetName val="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3:R701" totalsRowShown="0" headerRowDxfId="129" dataDxfId="128" tableBorderDxfId="127">
  <autoFilter ref="A3:R701" xr:uid="{00000000-0009-0000-0100-000001000000}"/>
  <sortState xmlns:xlrd2="http://schemas.microsoft.com/office/spreadsheetml/2017/richdata2" ref="A4:R701">
    <sortCondition ref="C3:C701"/>
  </sortState>
  <tableColumns count="18">
    <tableColumn id="1" xr3:uid="{00000000-0010-0000-0000-000001000000}" name="ソート①" dataDxfId="126"/>
    <tableColumn id="2" xr3:uid="{00000000-0010-0000-0000-000002000000}" name="列1" dataDxfId="125"/>
    <tableColumn id="3" xr3:uid="{00000000-0010-0000-0000-000003000000}" name="ソート②" dataDxfId="124"/>
    <tableColumn id="4" xr3:uid="{00000000-0010-0000-0000-000004000000}" name="列2" dataDxfId="123"/>
    <tableColumn id="5" xr3:uid="{00000000-0010-0000-0000-000005000000}" name="列3" dataDxfId="122"/>
    <tableColumn id="6" xr3:uid="{00000000-0010-0000-0000-000006000000}" name="列4" dataDxfId="121"/>
    <tableColumn id="7" xr3:uid="{00000000-0010-0000-0000-000007000000}" name="列5" dataDxfId="120"/>
    <tableColumn id="8" xr3:uid="{00000000-0010-0000-0000-000008000000}" name="列6" dataDxfId="119"/>
    <tableColumn id="9" xr3:uid="{00000000-0010-0000-0000-000009000000}" name="列7" dataDxfId="118"/>
    <tableColumn id="10" xr3:uid="{00000000-0010-0000-0000-00000A000000}" name="列8" dataDxfId="117"/>
    <tableColumn id="11" xr3:uid="{00000000-0010-0000-0000-00000B000000}" name="列9" dataDxfId="116"/>
    <tableColumn id="12" xr3:uid="{00000000-0010-0000-0000-00000C000000}" name="列10" dataDxfId="115"/>
    <tableColumn id="13" xr3:uid="{00000000-0010-0000-0000-00000D000000}" name="列11" dataDxfId="114"/>
    <tableColumn id="14" xr3:uid="{00000000-0010-0000-0000-00000E000000}" name="列12" dataDxfId="113"/>
    <tableColumn id="15" xr3:uid="{00000000-0010-0000-0000-00000F000000}" name="列13" dataDxfId="112"/>
    <tableColumn id="16" xr3:uid="{00000000-0010-0000-0000-000010000000}" name="列132" dataDxfId="111"/>
    <tableColumn id="18" xr3:uid="{00000000-0010-0000-0000-000012000000}" name="列133" dataDxfId="110" dataCellStyle="標準 3"/>
    <tableColumn id="17" xr3:uid="{00000000-0010-0000-0000-000011000000}" name="列14" dataDxfId="109"/>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kyufuhi@city.sapporo.jp" TargetMode="External"/><Relationship Id="rId1" Type="http://schemas.openxmlformats.org/officeDocument/2006/relationships/hyperlink" Target="mailto:kyufuhi@city.sapporo.j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DM1003"/>
  <sheetViews>
    <sheetView workbookViewId="0">
      <pane xSplit="6" ySplit="3" topLeftCell="G4" activePane="bottomRight" state="frozen"/>
      <selection activeCell="I18" sqref="I18"/>
      <selection pane="topRight" activeCell="I18" sqref="I18"/>
      <selection pane="bottomLeft" activeCell="I18" sqref="I18"/>
      <selection pane="bottomRight" activeCell="I18" sqref="I18"/>
    </sheetView>
  </sheetViews>
  <sheetFormatPr defaultRowHeight="13.5"/>
  <cols>
    <col min="1" max="1" width="6.125" style="12" customWidth="1"/>
    <col min="2" max="2" width="8" style="12" customWidth="1"/>
    <col min="3" max="3" width="11.875" style="12" customWidth="1"/>
    <col min="4" max="5" width="8" style="12" customWidth="1"/>
    <col min="6" max="6" width="35.5" style="12" customWidth="1"/>
    <col min="7" max="7" width="20.5" style="12" customWidth="1"/>
    <col min="8" max="11" width="8" style="12" customWidth="1"/>
    <col min="12" max="12" width="8.875" style="12" customWidth="1"/>
    <col min="13" max="13" width="9" style="12" customWidth="1"/>
    <col min="14" max="14" width="10.5" style="12" customWidth="1"/>
    <col min="15" max="15" width="8.875" style="12" customWidth="1"/>
    <col min="16" max="17" width="9.75" style="12" customWidth="1"/>
    <col min="18" max="18" width="8.875" style="12" customWidth="1"/>
    <col min="19" max="21" width="6" style="12" customWidth="1"/>
    <col min="22" max="22" width="14" style="10" customWidth="1"/>
    <col min="23" max="23" width="17.375" style="10" customWidth="1"/>
    <col min="24" max="24" width="10.875" style="11" customWidth="1"/>
    <col min="25" max="33" width="9" style="10"/>
    <col min="34" max="76" width="9" style="12"/>
    <col min="77" max="77" width="13.75" style="12" customWidth="1"/>
    <col min="78" max="249" width="9" style="12"/>
    <col min="250" max="250" width="6" style="12" bestFit="1" customWidth="1"/>
    <col min="251" max="253" width="8" style="12" bestFit="1" customWidth="1"/>
    <col min="254" max="254" width="35.5" style="12" bestFit="1" customWidth="1"/>
    <col min="255" max="255" width="20.5" style="12" bestFit="1" customWidth="1"/>
    <col min="256" max="259" width="8" style="12" bestFit="1" customWidth="1"/>
    <col min="260" max="260" width="8.875" style="12" bestFit="1" customWidth="1"/>
    <col min="261" max="261" width="9" style="12"/>
    <col min="262" max="262" width="10.5" style="12" bestFit="1" customWidth="1"/>
    <col min="263" max="263" width="8.875" style="12" bestFit="1" customWidth="1"/>
    <col min="264" max="264" width="9.75" style="12" bestFit="1" customWidth="1"/>
    <col min="265" max="265" width="8.875" style="12" bestFit="1" customWidth="1"/>
    <col min="266" max="266" width="6" style="12" bestFit="1" customWidth="1"/>
    <col min="267" max="505" width="9" style="12"/>
    <col min="506" max="506" width="6" style="12" bestFit="1" customWidth="1"/>
    <col min="507" max="509" width="8" style="12" bestFit="1" customWidth="1"/>
    <col min="510" max="510" width="35.5" style="12" bestFit="1" customWidth="1"/>
    <col min="511" max="511" width="20.5" style="12" bestFit="1" customWidth="1"/>
    <col min="512" max="515" width="8" style="12" bestFit="1" customWidth="1"/>
    <col min="516" max="516" width="8.875" style="12" bestFit="1" customWidth="1"/>
    <col min="517" max="517" width="9" style="12"/>
    <col min="518" max="518" width="10.5" style="12" bestFit="1" customWidth="1"/>
    <col min="519" max="519" width="8.875" style="12" bestFit="1" customWidth="1"/>
    <col min="520" max="520" width="9.75" style="12" bestFit="1" customWidth="1"/>
    <col min="521" max="521" width="8.875" style="12" bestFit="1" customWidth="1"/>
    <col min="522" max="522" width="6" style="12" bestFit="1" customWidth="1"/>
    <col min="523" max="761" width="9" style="12"/>
    <col min="762" max="762" width="6" style="12" bestFit="1" customWidth="1"/>
    <col min="763" max="765" width="8" style="12" bestFit="1" customWidth="1"/>
    <col min="766" max="766" width="35.5" style="12" bestFit="1" customWidth="1"/>
    <col min="767" max="767" width="20.5" style="12" bestFit="1" customWidth="1"/>
    <col min="768" max="771" width="8" style="12" bestFit="1" customWidth="1"/>
    <col min="772" max="772" width="8.875" style="12" bestFit="1" customWidth="1"/>
    <col min="773" max="773" width="9" style="12"/>
    <col min="774" max="774" width="10.5" style="12" bestFit="1" customWidth="1"/>
    <col min="775" max="775" width="8.875" style="12" bestFit="1" customWidth="1"/>
    <col min="776" max="776" width="9.75" style="12" bestFit="1" customWidth="1"/>
    <col min="777" max="777" width="8.875" style="12" bestFit="1" customWidth="1"/>
    <col min="778" max="778" width="6" style="12" bestFit="1" customWidth="1"/>
    <col min="779" max="1017" width="9" style="12"/>
    <col min="1018" max="1018" width="6" style="12" bestFit="1" customWidth="1"/>
    <col min="1019" max="1021" width="8" style="12" bestFit="1" customWidth="1"/>
    <col min="1022" max="1022" width="35.5" style="12" bestFit="1" customWidth="1"/>
    <col min="1023" max="1023" width="20.5" style="12" bestFit="1" customWidth="1"/>
    <col min="1024" max="1027" width="8" style="12" bestFit="1" customWidth="1"/>
    <col min="1028" max="1028" width="8.875" style="12" bestFit="1" customWidth="1"/>
    <col min="1029" max="1029" width="9" style="12"/>
    <col min="1030" max="1030" width="10.5" style="12" bestFit="1" customWidth="1"/>
    <col min="1031" max="1031" width="8.875" style="12" bestFit="1" customWidth="1"/>
    <col min="1032" max="1032" width="9.75" style="12" bestFit="1" customWidth="1"/>
    <col min="1033" max="1033" width="8.875" style="12" bestFit="1" customWidth="1"/>
    <col min="1034" max="1034" width="6" style="12" bestFit="1" customWidth="1"/>
    <col min="1035" max="1273" width="9" style="12"/>
    <col min="1274" max="1274" width="6" style="12" bestFit="1" customWidth="1"/>
    <col min="1275" max="1277" width="8" style="12" bestFit="1" customWidth="1"/>
    <col min="1278" max="1278" width="35.5" style="12" bestFit="1" customWidth="1"/>
    <col min="1279" max="1279" width="20.5" style="12" bestFit="1" customWidth="1"/>
    <col min="1280" max="1283" width="8" style="12" bestFit="1" customWidth="1"/>
    <col min="1284" max="1284" width="8.875" style="12" bestFit="1" customWidth="1"/>
    <col min="1285" max="1285" width="9" style="12"/>
    <col min="1286" max="1286" width="10.5" style="12" bestFit="1" customWidth="1"/>
    <col min="1287" max="1287" width="8.875" style="12" bestFit="1" customWidth="1"/>
    <col min="1288" max="1288" width="9.75" style="12" bestFit="1" customWidth="1"/>
    <col min="1289" max="1289" width="8.875" style="12" bestFit="1" customWidth="1"/>
    <col min="1290" max="1290" width="6" style="12" bestFit="1" customWidth="1"/>
    <col min="1291" max="1529" width="9" style="12"/>
    <col min="1530" max="1530" width="6" style="12" bestFit="1" customWidth="1"/>
    <col min="1531" max="1533" width="8" style="12" bestFit="1" customWidth="1"/>
    <col min="1534" max="1534" width="35.5" style="12" bestFit="1" customWidth="1"/>
    <col min="1535" max="1535" width="20.5" style="12" bestFit="1" customWidth="1"/>
    <col min="1536" max="1539" width="8" style="12" bestFit="1" customWidth="1"/>
    <col min="1540" max="1540" width="8.875" style="12" bestFit="1" customWidth="1"/>
    <col min="1541" max="1541" width="9" style="12"/>
    <col min="1542" max="1542" width="10.5" style="12" bestFit="1" customWidth="1"/>
    <col min="1543" max="1543" width="8.875" style="12" bestFit="1" customWidth="1"/>
    <col min="1544" max="1544" width="9.75" style="12" bestFit="1" customWidth="1"/>
    <col min="1545" max="1545" width="8.875" style="12" bestFit="1" customWidth="1"/>
    <col min="1546" max="1546" width="6" style="12" bestFit="1" customWidth="1"/>
    <col min="1547" max="1785" width="9" style="12"/>
    <col min="1786" max="1786" width="6" style="12" bestFit="1" customWidth="1"/>
    <col min="1787" max="1789" width="8" style="12" bestFit="1" customWidth="1"/>
    <col min="1790" max="1790" width="35.5" style="12" bestFit="1" customWidth="1"/>
    <col min="1791" max="1791" width="20.5" style="12" bestFit="1" customWidth="1"/>
    <col min="1792" max="1795" width="8" style="12" bestFit="1" customWidth="1"/>
    <col min="1796" max="1796" width="8.875" style="12" bestFit="1" customWidth="1"/>
    <col min="1797" max="1797" width="9" style="12"/>
    <col min="1798" max="1798" width="10.5" style="12" bestFit="1" customWidth="1"/>
    <col min="1799" max="1799" width="8.875" style="12" bestFit="1" customWidth="1"/>
    <col min="1800" max="1800" width="9.75" style="12" bestFit="1" customWidth="1"/>
    <col min="1801" max="1801" width="8.875" style="12" bestFit="1" customWidth="1"/>
    <col min="1802" max="1802" width="6" style="12" bestFit="1" customWidth="1"/>
    <col min="1803" max="2041" width="9" style="12"/>
    <col min="2042" max="2042" width="6" style="12" bestFit="1" customWidth="1"/>
    <col min="2043" max="2045" width="8" style="12" bestFit="1" customWidth="1"/>
    <col min="2046" max="2046" width="35.5" style="12" bestFit="1" customWidth="1"/>
    <col min="2047" max="2047" width="20.5" style="12" bestFit="1" customWidth="1"/>
    <col min="2048" max="2051" width="8" style="12" bestFit="1" customWidth="1"/>
    <col min="2052" max="2052" width="8.875" style="12" bestFit="1" customWidth="1"/>
    <col min="2053" max="2053" width="9" style="12"/>
    <col min="2054" max="2054" width="10.5" style="12" bestFit="1" customWidth="1"/>
    <col min="2055" max="2055" width="8.875" style="12" bestFit="1" customWidth="1"/>
    <col min="2056" max="2056" width="9.75" style="12" bestFit="1" customWidth="1"/>
    <col min="2057" max="2057" width="8.875" style="12" bestFit="1" customWidth="1"/>
    <col min="2058" max="2058" width="6" style="12" bestFit="1" customWidth="1"/>
    <col min="2059" max="2297" width="9" style="12"/>
    <col min="2298" max="2298" width="6" style="12" bestFit="1" customWidth="1"/>
    <col min="2299" max="2301" width="8" style="12" bestFit="1" customWidth="1"/>
    <col min="2302" max="2302" width="35.5" style="12" bestFit="1" customWidth="1"/>
    <col min="2303" max="2303" width="20.5" style="12" bestFit="1" customWidth="1"/>
    <col min="2304" max="2307" width="8" style="12" bestFit="1" customWidth="1"/>
    <col min="2308" max="2308" width="8.875" style="12" bestFit="1" customWidth="1"/>
    <col min="2309" max="2309" width="9" style="12"/>
    <col min="2310" max="2310" width="10.5" style="12" bestFit="1" customWidth="1"/>
    <col min="2311" max="2311" width="8.875" style="12" bestFit="1" customWidth="1"/>
    <col min="2312" max="2312" width="9.75" style="12" bestFit="1" customWidth="1"/>
    <col min="2313" max="2313" width="8.875" style="12" bestFit="1" customWidth="1"/>
    <col min="2314" max="2314" width="6" style="12" bestFit="1" customWidth="1"/>
    <col min="2315" max="2553" width="9" style="12"/>
    <col min="2554" max="2554" width="6" style="12" bestFit="1" customWidth="1"/>
    <col min="2555" max="2557" width="8" style="12" bestFit="1" customWidth="1"/>
    <col min="2558" max="2558" width="35.5" style="12" bestFit="1" customWidth="1"/>
    <col min="2559" max="2559" width="20.5" style="12" bestFit="1" customWidth="1"/>
    <col min="2560" max="2563" width="8" style="12" bestFit="1" customWidth="1"/>
    <col min="2564" max="2564" width="8.875" style="12" bestFit="1" customWidth="1"/>
    <col min="2565" max="2565" width="9" style="12"/>
    <col min="2566" max="2566" width="10.5" style="12" bestFit="1" customWidth="1"/>
    <col min="2567" max="2567" width="8.875" style="12" bestFit="1" customWidth="1"/>
    <col min="2568" max="2568" width="9.75" style="12" bestFit="1" customWidth="1"/>
    <col min="2569" max="2569" width="8.875" style="12" bestFit="1" customWidth="1"/>
    <col min="2570" max="2570" width="6" style="12" bestFit="1" customWidth="1"/>
    <col min="2571" max="2809" width="9" style="12"/>
    <col min="2810" max="2810" width="6" style="12" bestFit="1" customWidth="1"/>
    <col min="2811" max="2813" width="8" style="12" bestFit="1" customWidth="1"/>
    <col min="2814" max="2814" width="35.5" style="12" bestFit="1" customWidth="1"/>
    <col min="2815" max="2815" width="20.5" style="12" bestFit="1" customWidth="1"/>
    <col min="2816" max="2819" width="8" style="12" bestFit="1" customWidth="1"/>
    <col min="2820" max="2820" width="8.875" style="12" bestFit="1" customWidth="1"/>
    <col min="2821" max="2821" width="9" style="12"/>
    <col min="2822" max="2822" width="10.5" style="12" bestFit="1" customWidth="1"/>
    <col min="2823" max="2823" width="8.875" style="12" bestFit="1" customWidth="1"/>
    <col min="2824" max="2824" width="9.75" style="12" bestFit="1" customWidth="1"/>
    <col min="2825" max="2825" width="8.875" style="12" bestFit="1" customWidth="1"/>
    <col min="2826" max="2826" width="6" style="12" bestFit="1" customWidth="1"/>
    <col min="2827" max="3065" width="9" style="12"/>
    <col min="3066" max="3066" width="6" style="12" bestFit="1" customWidth="1"/>
    <col min="3067" max="3069" width="8" style="12" bestFit="1" customWidth="1"/>
    <col min="3070" max="3070" width="35.5" style="12" bestFit="1" customWidth="1"/>
    <col min="3071" max="3071" width="20.5" style="12" bestFit="1" customWidth="1"/>
    <col min="3072" max="3075" width="8" style="12" bestFit="1" customWidth="1"/>
    <col min="3076" max="3076" width="8.875" style="12" bestFit="1" customWidth="1"/>
    <col min="3077" max="3077" width="9" style="12"/>
    <col min="3078" max="3078" width="10.5" style="12" bestFit="1" customWidth="1"/>
    <col min="3079" max="3079" width="8.875" style="12" bestFit="1" customWidth="1"/>
    <col min="3080" max="3080" width="9.75" style="12" bestFit="1" customWidth="1"/>
    <col min="3081" max="3081" width="8.875" style="12" bestFit="1" customWidth="1"/>
    <col min="3082" max="3082" width="6" style="12" bestFit="1" customWidth="1"/>
    <col min="3083" max="3321" width="9" style="12"/>
    <col min="3322" max="3322" width="6" style="12" bestFit="1" customWidth="1"/>
    <col min="3323" max="3325" width="8" style="12" bestFit="1" customWidth="1"/>
    <col min="3326" max="3326" width="35.5" style="12" bestFit="1" customWidth="1"/>
    <col min="3327" max="3327" width="20.5" style="12" bestFit="1" customWidth="1"/>
    <col min="3328" max="3331" width="8" style="12" bestFit="1" customWidth="1"/>
    <col min="3332" max="3332" width="8.875" style="12" bestFit="1" customWidth="1"/>
    <col min="3333" max="3333" width="9" style="12"/>
    <col min="3334" max="3334" width="10.5" style="12" bestFit="1" customWidth="1"/>
    <col min="3335" max="3335" width="8.875" style="12" bestFit="1" customWidth="1"/>
    <col min="3336" max="3336" width="9.75" style="12" bestFit="1" customWidth="1"/>
    <col min="3337" max="3337" width="8.875" style="12" bestFit="1" customWidth="1"/>
    <col min="3338" max="3338" width="6" style="12" bestFit="1" customWidth="1"/>
    <col min="3339" max="3577" width="9" style="12"/>
    <col min="3578" max="3578" width="6" style="12" bestFit="1" customWidth="1"/>
    <col min="3579" max="3581" width="8" style="12" bestFit="1" customWidth="1"/>
    <col min="3582" max="3582" width="35.5" style="12" bestFit="1" customWidth="1"/>
    <col min="3583" max="3583" width="20.5" style="12" bestFit="1" customWidth="1"/>
    <col min="3584" max="3587" width="8" style="12" bestFit="1" customWidth="1"/>
    <col min="3588" max="3588" width="8.875" style="12" bestFit="1" customWidth="1"/>
    <col min="3589" max="3589" width="9" style="12"/>
    <col min="3590" max="3590" width="10.5" style="12" bestFit="1" customWidth="1"/>
    <col min="3591" max="3591" width="8.875" style="12" bestFit="1" customWidth="1"/>
    <col min="3592" max="3592" width="9.75" style="12" bestFit="1" customWidth="1"/>
    <col min="3593" max="3593" width="8.875" style="12" bestFit="1" customWidth="1"/>
    <col min="3594" max="3594" width="6" style="12" bestFit="1" customWidth="1"/>
    <col min="3595" max="3833" width="9" style="12"/>
    <col min="3834" max="3834" width="6" style="12" bestFit="1" customWidth="1"/>
    <col min="3835" max="3837" width="8" style="12" bestFit="1" customWidth="1"/>
    <col min="3838" max="3838" width="35.5" style="12" bestFit="1" customWidth="1"/>
    <col min="3839" max="3839" width="20.5" style="12" bestFit="1" customWidth="1"/>
    <col min="3840" max="3843" width="8" style="12" bestFit="1" customWidth="1"/>
    <col min="3844" max="3844" width="8.875" style="12" bestFit="1" customWidth="1"/>
    <col min="3845" max="3845" width="9" style="12"/>
    <col min="3846" max="3846" width="10.5" style="12" bestFit="1" customWidth="1"/>
    <col min="3847" max="3847" width="8.875" style="12" bestFit="1" customWidth="1"/>
    <col min="3848" max="3848" width="9.75" style="12" bestFit="1" customWidth="1"/>
    <col min="3849" max="3849" width="8.875" style="12" bestFit="1" customWidth="1"/>
    <col min="3850" max="3850" width="6" style="12" bestFit="1" customWidth="1"/>
    <col min="3851" max="4089" width="9" style="12"/>
    <col min="4090" max="4090" width="6" style="12" bestFit="1" customWidth="1"/>
    <col min="4091" max="4093" width="8" style="12" bestFit="1" customWidth="1"/>
    <col min="4094" max="4094" width="35.5" style="12" bestFit="1" customWidth="1"/>
    <col min="4095" max="4095" width="20.5" style="12" bestFit="1" customWidth="1"/>
    <col min="4096" max="4099" width="8" style="12" bestFit="1" customWidth="1"/>
    <col min="4100" max="4100" width="8.875" style="12" bestFit="1" customWidth="1"/>
    <col min="4101" max="4101" width="9" style="12"/>
    <col min="4102" max="4102" width="10.5" style="12" bestFit="1" customWidth="1"/>
    <col min="4103" max="4103" width="8.875" style="12" bestFit="1" customWidth="1"/>
    <col min="4104" max="4104" width="9.75" style="12" bestFit="1" customWidth="1"/>
    <col min="4105" max="4105" width="8.875" style="12" bestFit="1" customWidth="1"/>
    <col min="4106" max="4106" width="6" style="12" bestFit="1" customWidth="1"/>
    <col min="4107" max="4345" width="9" style="12"/>
    <col min="4346" max="4346" width="6" style="12" bestFit="1" customWidth="1"/>
    <col min="4347" max="4349" width="8" style="12" bestFit="1" customWidth="1"/>
    <col min="4350" max="4350" width="35.5" style="12" bestFit="1" customWidth="1"/>
    <col min="4351" max="4351" width="20.5" style="12" bestFit="1" customWidth="1"/>
    <col min="4352" max="4355" width="8" style="12" bestFit="1" customWidth="1"/>
    <col min="4356" max="4356" width="8.875" style="12" bestFit="1" customWidth="1"/>
    <col min="4357" max="4357" width="9" style="12"/>
    <col min="4358" max="4358" width="10.5" style="12" bestFit="1" customWidth="1"/>
    <col min="4359" max="4359" width="8.875" style="12" bestFit="1" customWidth="1"/>
    <col min="4360" max="4360" width="9.75" style="12" bestFit="1" customWidth="1"/>
    <col min="4361" max="4361" width="8.875" style="12" bestFit="1" customWidth="1"/>
    <col min="4362" max="4362" width="6" style="12" bestFit="1" customWidth="1"/>
    <col min="4363" max="4601" width="9" style="12"/>
    <col min="4602" max="4602" width="6" style="12" bestFit="1" customWidth="1"/>
    <col min="4603" max="4605" width="8" style="12" bestFit="1" customWidth="1"/>
    <col min="4606" max="4606" width="35.5" style="12" bestFit="1" customWidth="1"/>
    <col min="4607" max="4607" width="20.5" style="12" bestFit="1" customWidth="1"/>
    <col min="4608" max="4611" width="8" style="12" bestFit="1" customWidth="1"/>
    <col min="4612" max="4612" width="8.875" style="12" bestFit="1" customWidth="1"/>
    <col min="4613" max="4613" width="9" style="12"/>
    <col min="4614" max="4614" width="10.5" style="12" bestFit="1" customWidth="1"/>
    <col min="4615" max="4615" width="8.875" style="12" bestFit="1" customWidth="1"/>
    <col min="4616" max="4616" width="9.75" style="12" bestFit="1" customWidth="1"/>
    <col min="4617" max="4617" width="8.875" style="12" bestFit="1" customWidth="1"/>
    <col min="4618" max="4618" width="6" style="12" bestFit="1" customWidth="1"/>
    <col min="4619" max="4857" width="9" style="12"/>
    <col min="4858" max="4858" width="6" style="12" bestFit="1" customWidth="1"/>
    <col min="4859" max="4861" width="8" style="12" bestFit="1" customWidth="1"/>
    <col min="4862" max="4862" width="35.5" style="12" bestFit="1" customWidth="1"/>
    <col min="4863" max="4863" width="20.5" style="12" bestFit="1" customWidth="1"/>
    <col min="4864" max="4867" width="8" style="12" bestFit="1" customWidth="1"/>
    <col min="4868" max="4868" width="8.875" style="12" bestFit="1" customWidth="1"/>
    <col min="4869" max="4869" width="9" style="12"/>
    <col min="4870" max="4870" width="10.5" style="12" bestFit="1" customWidth="1"/>
    <col min="4871" max="4871" width="8.875" style="12" bestFit="1" customWidth="1"/>
    <col min="4872" max="4872" width="9.75" style="12" bestFit="1" customWidth="1"/>
    <col min="4873" max="4873" width="8.875" style="12" bestFit="1" customWidth="1"/>
    <col min="4874" max="4874" width="6" style="12" bestFit="1" customWidth="1"/>
    <col min="4875" max="5113" width="9" style="12"/>
    <col min="5114" max="5114" width="6" style="12" bestFit="1" customWidth="1"/>
    <col min="5115" max="5117" width="8" style="12" bestFit="1" customWidth="1"/>
    <col min="5118" max="5118" width="35.5" style="12" bestFit="1" customWidth="1"/>
    <col min="5119" max="5119" width="20.5" style="12" bestFit="1" customWidth="1"/>
    <col min="5120" max="5123" width="8" style="12" bestFit="1" customWidth="1"/>
    <col min="5124" max="5124" width="8.875" style="12" bestFit="1" customWidth="1"/>
    <col min="5125" max="5125" width="9" style="12"/>
    <col min="5126" max="5126" width="10.5" style="12" bestFit="1" customWidth="1"/>
    <col min="5127" max="5127" width="8.875" style="12" bestFit="1" customWidth="1"/>
    <col min="5128" max="5128" width="9.75" style="12" bestFit="1" customWidth="1"/>
    <col min="5129" max="5129" width="8.875" style="12" bestFit="1" customWidth="1"/>
    <col min="5130" max="5130" width="6" style="12" bestFit="1" customWidth="1"/>
    <col min="5131" max="5369" width="9" style="12"/>
    <col min="5370" max="5370" width="6" style="12" bestFit="1" customWidth="1"/>
    <col min="5371" max="5373" width="8" style="12" bestFit="1" customWidth="1"/>
    <col min="5374" max="5374" width="35.5" style="12" bestFit="1" customWidth="1"/>
    <col min="5375" max="5375" width="20.5" style="12" bestFit="1" customWidth="1"/>
    <col min="5376" max="5379" width="8" style="12" bestFit="1" customWidth="1"/>
    <col min="5380" max="5380" width="8.875" style="12" bestFit="1" customWidth="1"/>
    <col min="5381" max="5381" width="9" style="12"/>
    <col min="5382" max="5382" width="10.5" style="12" bestFit="1" customWidth="1"/>
    <col min="5383" max="5383" width="8.875" style="12" bestFit="1" customWidth="1"/>
    <col min="5384" max="5384" width="9.75" style="12" bestFit="1" customWidth="1"/>
    <col min="5385" max="5385" width="8.875" style="12" bestFit="1" customWidth="1"/>
    <col min="5386" max="5386" width="6" style="12" bestFit="1" customWidth="1"/>
    <col min="5387" max="5625" width="9" style="12"/>
    <col min="5626" max="5626" width="6" style="12" bestFit="1" customWidth="1"/>
    <col min="5627" max="5629" width="8" style="12" bestFit="1" customWidth="1"/>
    <col min="5630" max="5630" width="35.5" style="12" bestFit="1" customWidth="1"/>
    <col min="5631" max="5631" width="20.5" style="12" bestFit="1" customWidth="1"/>
    <col min="5632" max="5635" width="8" style="12" bestFit="1" customWidth="1"/>
    <col min="5636" max="5636" width="8.875" style="12" bestFit="1" customWidth="1"/>
    <col min="5637" max="5637" width="9" style="12"/>
    <col min="5638" max="5638" width="10.5" style="12" bestFit="1" customWidth="1"/>
    <col min="5639" max="5639" width="8.875" style="12" bestFit="1" customWidth="1"/>
    <col min="5640" max="5640" width="9.75" style="12" bestFit="1" customWidth="1"/>
    <col min="5641" max="5641" width="8.875" style="12" bestFit="1" customWidth="1"/>
    <col min="5642" max="5642" width="6" style="12" bestFit="1" customWidth="1"/>
    <col min="5643" max="5881" width="9" style="12"/>
    <col min="5882" max="5882" width="6" style="12" bestFit="1" customWidth="1"/>
    <col min="5883" max="5885" width="8" style="12" bestFit="1" customWidth="1"/>
    <col min="5886" max="5886" width="35.5" style="12" bestFit="1" customWidth="1"/>
    <col min="5887" max="5887" width="20.5" style="12" bestFit="1" customWidth="1"/>
    <col min="5888" max="5891" width="8" style="12" bestFit="1" customWidth="1"/>
    <col min="5892" max="5892" width="8.875" style="12" bestFit="1" customWidth="1"/>
    <col min="5893" max="5893" width="9" style="12"/>
    <col min="5894" max="5894" width="10.5" style="12" bestFit="1" customWidth="1"/>
    <col min="5895" max="5895" width="8.875" style="12" bestFit="1" customWidth="1"/>
    <col min="5896" max="5896" width="9.75" style="12" bestFit="1" customWidth="1"/>
    <col min="5897" max="5897" width="8.875" style="12" bestFit="1" customWidth="1"/>
    <col min="5898" max="5898" width="6" style="12" bestFit="1" customWidth="1"/>
    <col min="5899" max="6137" width="9" style="12"/>
    <col min="6138" max="6138" width="6" style="12" bestFit="1" customWidth="1"/>
    <col min="6139" max="6141" width="8" style="12" bestFit="1" customWidth="1"/>
    <col min="6142" max="6142" width="35.5" style="12" bestFit="1" customWidth="1"/>
    <col min="6143" max="6143" width="20.5" style="12" bestFit="1" customWidth="1"/>
    <col min="6144" max="6147" width="8" style="12" bestFit="1" customWidth="1"/>
    <col min="6148" max="6148" width="8.875" style="12" bestFit="1" customWidth="1"/>
    <col min="6149" max="6149" width="9" style="12"/>
    <col min="6150" max="6150" width="10.5" style="12" bestFit="1" customWidth="1"/>
    <col min="6151" max="6151" width="8.875" style="12" bestFit="1" customWidth="1"/>
    <col min="6152" max="6152" width="9.75" style="12" bestFit="1" customWidth="1"/>
    <col min="6153" max="6153" width="8.875" style="12" bestFit="1" customWidth="1"/>
    <col min="6154" max="6154" width="6" style="12" bestFit="1" customWidth="1"/>
    <col min="6155" max="6393" width="9" style="12"/>
    <col min="6394" max="6394" width="6" style="12" bestFit="1" customWidth="1"/>
    <col min="6395" max="6397" width="8" style="12" bestFit="1" customWidth="1"/>
    <col min="6398" max="6398" width="35.5" style="12" bestFit="1" customWidth="1"/>
    <col min="6399" max="6399" width="20.5" style="12" bestFit="1" customWidth="1"/>
    <col min="6400" max="6403" width="8" style="12" bestFit="1" customWidth="1"/>
    <col min="6404" max="6404" width="8.875" style="12" bestFit="1" customWidth="1"/>
    <col min="6405" max="6405" width="9" style="12"/>
    <col min="6406" max="6406" width="10.5" style="12" bestFit="1" customWidth="1"/>
    <col min="6407" max="6407" width="8.875" style="12" bestFit="1" customWidth="1"/>
    <col min="6408" max="6408" width="9.75" style="12" bestFit="1" customWidth="1"/>
    <col min="6409" max="6409" width="8.875" style="12" bestFit="1" customWidth="1"/>
    <col min="6410" max="6410" width="6" style="12" bestFit="1" customWidth="1"/>
    <col min="6411" max="6649" width="9" style="12"/>
    <col min="6650" max="6650" width="6" style="12" bestFit="1" customWidth="1"/>
    <col min="6651" max="6653" width="8" style="12" bestFit="1" customWidth="1"/>
    <col min="6654" max="6654" width="35.5" style="12" bestFit="1" customWidth="1"/>
    <col min="6655" max="6655" width="20.5" style="12" bestFit="1" customWidth="1"/>
    <col min="6656" max="6659" width="8" style="12" bestFit="1" customWidth="1"/>
    <col min="6660" max="6660" width="8.875" style="12" bestFit="1" customWidth="1"/>
    <col min="6661" max="6661" width="9" style="12"/>
    <col min="6662" max="6662" width="10.5" style="12" bestFit="1" customWidth="1"/>
    <col min="6663" max="6663" width="8.875" style="12" bestFit="1" customWidth="1"/>
    <col min="6664" max="6664" width="9.75" style="12" bestFit="1" customWidth="1"/>
    <col min="6665" max="6665" width="8.875" style="12" bestFit="1" customWidth="1"/>
    <col min="6666" max="6666" width="6" style="12" bestFit="1" customWidth="1"/>
    <col min="6667" max="6905" width="9" style="12"/>
    <col min="6906" max="6906" width="6" style="12" bestFit="1" customWidth="1"/>
    <col min="6907" max="6909" width="8" style="12" bestFit="1" customWidth="1"/>
    <col min="6910" max="6910" width="35.5" style="12" bestFit="1" customWidth="1"/>
    <col min="6911" max="6911" width="20.5" style="12" bestFit="1" customWidth="1"/>
    <col min="6912" max="6915" width="8" style="12" bestFit="1" customWidth="1"/>
    <col min="6916" max="6916" width="8.875" style="12" bestFit="1" customWidth="1"/>
    <col min="6917" max="6917" width="9" style="12"/>
    <col min="6918" max="6918" width="10.5" style="12" bestFit="1" customWidth="1"/>
    <col min="6919" max="6919" width="8.875" style="12" bestFit="1" customWidth="1"/>
    <col min="6920" max="6920" width="9.75" style="12" bestFit="1" customWidth="1"/>
    <col min="6921" max="6921" width="8.875" style="12" bestFit="1" customWidth="1"/>
    <col min="6922" max="6922" width="6" style="12" bestFit="1" customWidth="1"/>
    <col min="6923" max="7161" width="9" style="12"/>
    <col min="7162" max="7162" width="6" style="12" bestFit="1" customWidth="1"/>
    <col min="7163" max="7165" width="8" style="12" bestFit="1" customWidth="1"/>
    <col min="7166" max="7166" width="35.5" style="12" bestFit="1" customWidth="1"/>
    <col min="7167" max="7167" width="20.5" style="12" bestFit="1" customWidth="1"/>
    <col min="7168" max="7171" width="8" style="12" bestFit="1" customWidth="1"/>
    <col min="7172" max="7172" width="8.875" style="12" bestFit="1" customWidth="1"/>
    <col min="7173" max="7173" width="9" style="12"/>
    <col min="7174" max="7174" width="10.5" style="12" bestFit="1" customWidth="1"/>
    <col min="7175" max="7175" width="8.875" style="12" bestFit="1" customWidth="1"/>
    <col min="7176" max="7176" width="9.75" style="12" bestFit="1" customWidth="1"/>
    <col min="7177" max="7177" width="8.875" style="12" bestFit="1" customWidth="1"/>
    <col min="7178" max="7178" width="6" style="12" bestFit="1" customWidth="1"/>
    <col min="7179" max="7417" width="9" style="12"/>
    <col min="7418" max="7418" width="6" style="12" bestFit="1" customWidth="1"/>
    <col min="7419" max="7421" width="8" style="12" bestFit="1" customWidth="1"/>
    <col min="7422" max="7422" width="35.5" style="12" bestFit="1" customWidth="1"/>
    <col min="7423" max="7423" width="20.5" style="12" bestFit="1" customWidth="1"/>
    <col min="7424" max="7427" width="8" style="12" bestFit="1" customWidth="1"/>
    <col min="7428" max="7428" width="8.875" style="12" bestFit="1" customWidth="1"/>
    <col min="7429" max="7429" width="9" style="12"/>
    <col min="7430" max="7430" width="10.5" style="12" bestFit="1" customWidth="1"/>
    <col min="7431" max="7431" width="8.875" style="12" bestFit="1" customWidth="1"/>
    <col min="7432" max="7432" width="9.75" style="12" bestFit="1" customWidth="1"/>
    <col min="7433" max="7433" width="8.875" style="12" bestFit="1" customWidth="1"/>
    <col min="7434" max="7434" width="6" style="12" bestFit="1" customWidth="1"/>
    <col min="7435" max="7673" width="9" style="12"/>
    <col min="7674" max="7674" width="6" style="12" bestFit="1" customWidth="1"/>
    <col min="7675" max="7677" width="8" style="12" bestFit="1" customWidth="1"/>
    <col min="7678" max="7678" width="35.5" style="12" bestFit="1" customWidth="1"/>
    <col min="7679" max="7679" width="20.5" style="12" bestFit="1" customWidth="1"/>
    <col min="7680" max="7683" width="8" style="12" bestFit="1" customWidth="1"/>
    <col min="7684" max="7684" width="8.875" style="12" bestFit="1" customWidth="1"/>
    <col min="7685" max="7685" width="9" style="12"/>
    <col min="7686" max="7686" width="10.5" style="12" bestFit="1" customWidth="1"/>
    <col min="7687" max="7687" width="8.875" style="12" bestFit="1" customWidth="1"/>
    <col min="7688" max="7688" width="9.75" style="12" bestFit="1" customWidth="1"/>
    <col min="7689" max="7689" width="8.875" style="12" bestFit="1" customWidth="1"/>
    <col min="7690" max="7690" width="6" style="12" bestFit="1" customWidth="1"/>
    <col min="7691" max="7929" width="9" style="12"/>
    <col min="7930" max="7930" width="6" style="12" bestFit="1" customWidth="1"/>
    <col min="7931" max="7933" width="8" style="12" bestFit="1" customWidth="1"/>
    <col min="7934" max="7934" width="35.5" style="12" bestFit="1" customWidth="1"/>
    <col min="7935" max="7935" width="20.5" style="12" bestFit="1" customWidth="1"/>
    <col min="7936" max="7939" width="8" style="12" bestFit="1" customWidth="1"/>
    <col min="7940" max="7940" width="8.875" style="12" bestFit="1" customWidth="1"/>
    <col min="7941" max="7941" width="9" style="12"/>
    <col min="7942" max="7942" width="10.5" style="12" bestFit="1" customWidth="1"/>
    <col min="7943" max="7943" width="8.875" style="12" bestFit="1" customWidth="1"/>
    <col min="7944" max="7944" width="9.75" style="12" bestFit="1" customWidth="1"/>
    <col min="7945" max="7945" width="8.875" style="12" bestFit="1" customWidth="1"/>
    <col min="7946" max="7946" width="6" style="12" bestFit="1" customWidth="1"/>
    <col min="7947" max="8185" width="9" style="12"/>
    <col min="8186" max="8186" width="6" style="12" bestFit="1" customWidth="1"/>
    <col min="8187" max="8189" width="8" style="12" bestFit="1" customWidth="1"/>
    <col min="8190" max="8190" width="35.5" style="12" bestFit="1" customWidth="1"/>
    <col min="8191" max="8191" width="20.5" style="12" bestFit="1" customWidth="1"/>
    <col min="8192" max="8195" width="8" style="12" bestFit="1" customWidth="1"/>
    <col min="8196" max="8196" width="8.875" style="12" bestFit="1" customWidth="1"/>
    <col min="8197" max="8197" width="9" style="12"/>
    <col min="8198" max="8198" width="10.5" style="12" bestFit="1" customWidth="1"/>
    <col min="8199" max="8199" width="8.875" style="12" bestFit="1" customWidth="1"/>
    <col min="8200" max="8200" width="9.75" style="12" bestFit="1" customWidth="1"/>
    <col min="8201" max="8201" width="8.875" style="12" bestFit="1" customWidth="1"/>
    <col min="8202" max="8202" width="6" style="12" bestFit="1" customWidth="1"/>
    <col min="8203" max="8441" width="9" style="12"/>
    <col min="8442" max="8442" width="6" style="12" bestFit="1" customWidth="1"/>
    <col min="8443" max="8445" width="8" style="12" bestFit="1" customWidth="1"/>
    <col min="8446" max="8446" width="35.5" style="12" bestFit="1" customWidth="1"/>
    <col min="8447" max="8447" width="20.5" style="12" bestFit="1" customWidth="1"/>
    <col min="8448" max="8451" width="8" style="12" bestFit="1" customWidth="1"/>
    <col min="8452" max="8452" width="8.875" style="12" bestFit="1" customWidth="1"/>
    <col min="8453" max="8453" width="9" style="12"/>
    <col min="8454" max="8454" width="10.5" style="12" bestFit="1" customWidth="1"/>
    <col min="8455" max="8455" width="8.875" style="12" bestFit="1" customWidth="1"/>
    <col min="8456" max="8456" width="9.75" style="12" bestFit="1" customWidth="1"/>
    <col min="8457" max="8457" width="8.875" style="12" bestFit="1" customWidth="1"/>
    <col min="8458" max="8458" width="6" style="12" bestFit="1" customWidth="1"/>
    <col min="8459" max="8697" width="9" style="12"/>
    <col min="8698" max="8698" width="6" style="12" bestFit="1" customWidth="1"/>
    <col min="8699" max="8701" width="8" style="12" bestFit="1" customWidth="1"/>
    <col min="8702" max="8702" width="35.5" style="12" bestFit="1" customWidth="1"/>
    <col min="8703" max="8703" width="20.5" style="12" bestFit="1" customWidth="1"/>
    <col min="8704" max="8707" width="8" style="12" bestFit="1" customWidth="1"/>
    <col min="8708" max="8708" width="8.875" style="12" bestFit="1" customWidth="1"/>
    <col min="8709" max="8709" width="9" style="12"/>
    <col min="8710" max="8710" width="10.5" style="12" bestFit="1" customWidth="1"/>
    <col min="8711" max="8711" width="8.875" style="12" bestFit="1" customWidth="1"/>
    <col min="8712" max="8712" width="9.75" style="12" bestFit="1" customWidth="1"/>
    <col min="8713" max="8713" width="8.875" style="12" bestFit="1" customWidth="1"/>
    <col min="8714" max="8714" width="6" style="12" bestFit="1" customWidth="1"/>
    <col min="8715" max="8953" width="9" style="12"/>
    <col min="8954" max="8954" width="6" style="12" bestFit="1" customWidth="1"/>
    <col min="8955" max="8957" width="8" style="12" bestFit="1" customWidth="1"/>
    <col min="8958" max="8958" width="35.5" style="12" bestFit="1" customWidth="1"/>
    <col min="8959" max="8959" width="20.5" style="12" bestFit="1" customWidth="1"/>
    <col min="8960" max="8963" width="8" style="12" bestFit="1" customWidth="1"/>
    <col min="8964" max="8964" width="8.875" style="12" bestFit="1" customWidth="1"/>
    <col min="8965" max="8965" width="9" style="12"/>
    <col min="8966" max="8966" width="10.5" style="12" bestFit="1" customWidth="1"/>
    <col min="8967" max="8967" width="8.875" style="12" bestFit="1" customWidth="1"/>
    <col min="8968" max="8968" width="9.75" style="12" bestFit="1" customWidth="1"/>
    <col min="8969" max="8969" width="8.875" style="12" bestFit="1" customWidth="1"/>
    <col min="8970" max="8970" width="6" style="12" bestFit="1" customWidth="1"/>
    <col min="8971" max="9209" width="9" style="12"/>
    <col min="9210" max="9210" width="6" style="12" bestFit="1" customWidth="1"/>
    <col min="9211" max="9213" width="8" style="12" bestFit="1" customWidth="1"/>
    <col min="9214" max="9214" width="35.5" style="12" bestFit="1" customWidth="1"/>
    <col min="9215" max="9215" width="20.5" style="12" bestFit="1" customWidth="1"/>
    <col min="9216" max="9219" width="8" style="12" bestFit="1" customWidth="1"/>
    <col min="9220" max="9220" width="8.875" style="12" bestFit="1" customWidth="1"/>
    <col min="9221" max="9221" width="9" style="12"/>
    <col min="9222" max="9222" width="10.5" style="12" bestFit="1" customWidth="1"/>
    <col min="9223" max="9223" width="8.875" style="12" bestFit="1" customWidth="1"/>
    <col min="9224" max="9224" width="9.75" style="12" bestFit="1" customWidth="1"/>
    <col min="9225" max="9225" width="8.875" style="12" bestFit="1" customWidth="1"/>
    <col min="9226" max="9226" width="6" style="12" bestFit="1" customWidth="1"/>
    <col min="9227" max="9465" width="9" style="12"/>
    <col min="9466" max="9466" width="6" style="12" bestFit="1" customWidth="1"/>
    <col min="9467" max="9469" width="8" style="12" bestFit="1" customWidth="1"/>
    <col min="9470" max="9470" width="35.5" style="12" bestFit="1" customWidth="1"/>
    <col min="9471" max="9471" width="20.5" style="12" bestFit="1" customWidth="1"/>
    <col min="9472" max="9475" width="8" style="12" bestFit="1" customWidth="1"/>
    <col min="9476" max="9476" width="8.875" style="12" bestFit="1" customWidth="1"/>
    <col min="9477" max="9477" width="9" style="12"/>
    <col min="9478" max="9478" width="10.5" style="12" bestFit="1" customWidth="1"/>
    <col min="9479" max="9479" width="8.875" style="12" bestFit="1" customWidth="1"/>
    <col min="9480" max="9480" width="9.75" style="12" bestFit="1" customWidth="1"/>
    <col min="9481" max="9481" width="8.875" style="12" bestFit="1" customWidth="1"/>
    <col min="9482" max="9482" width="6" style="12" bestFit="1" customWidth="1"/>
    <col min="9483" max="9721" width="9" style="12"/>
    <col min="9722" max="9722" width="6" style="12" bestFit="1" customWidth="1"/>
    <col min="9723" max="9725" width="8" style="12" bestFit="1" customWidth="1"/>
    <col min="9726" max="9726" width="35.5" style="12" bestFit="1" customWidth="1"/>
    <col min="9727" max="9727" width="20.5" style="12" bestFit="1" customWidth="1"/>
    <col min="9728" max="9731" width="8" style="12" bestFit="1" customWidth="1"/>
    <col min="9732" max="9732" width="8.875" style="12" bestFit="1" customWidth="1"/>
    <col min="9733" max="9733" width="9" style="12"/>
    <col min="9734" max="9734" width="10.5" style="12" bestFit="1" customWidth="1"/>
    <col min="9735" max="9735" width="8.875" style="12" bestFit="1" customWidth="1"/>
    <col min="9736" max="9736" width="9.75" style="12" bestFit="1" customWidth="1"/>
    <col min="9737" max="9737" width="8.875" style="12" bestFit="1" customWidth="1"/>
    <col min="9738" max="9738" width="6" style="12" bestFit="1" customWidth="1"/>
    <col min="9739" max="9977" width="9" style="12"/>
    <col min="9978" max="9978" width="6" style="12" bestFit="1" customWidth="1"/>
    <col min="9979" max="9981" width="8" style="12" bestFit="1" customWidth="1"/>
    <col min="9982" max="9982" width="35.5" style="12" bestFit="1" customWidth="1"/>
    <col min="9983" max="9983" width="20.5" style="12" bestFit="1" customWidth="1"/>
    <col min="9984" max="9987" width="8" style="12" bestFit="1" customWidth="1"/>
    <col min="9988" max="9988" width="8.875" style="12" bestFit="1" customWidth="1"/>
    <col min="9989" max="9989" width="9" style="12"/>
    <col min="9990" max="9990" width="10.5" style="12" bestFit="1" customWidth="1"/>
    <col min="9991" max="9991" width="8.875" style="12" bestFit="1" customWidth="1"/>
    <col min="9992" max="9992" width="9.75" style="12" bestFit="1" customWidth="1"/>
    <col min="9993" max="9993" width="8.875" style="12" bestFit="1" customWidth="1"/>
    <col min="9994" max="9994" width="6" style="12" bestFit="1" customWidth="1"/>
    <col min="9995" max="10233" width="9" style="12"/>
    <col min="10234" max="10234" width="6" style="12" bestFit="1" customWidth="1"/>
    <col min="10235" max="10237" width="8" style="12" bestFit="1" customWidth="1"/>
    <col min="10238" max="10238" width="35.5" style="12" bestFit="1" customWidth="1"/>
    <col min="10239" max="10239" width="20.5" style="12" bestFit="1" customWidth="1"/>
    <col min="10240" max="10243" width="8" style="12" bestFit="1" customWidth="1"/>
    <col min="10244" max="10244" width="8.875" style="12" bestFit="1" customWidth="1"/>
    <col min="10245" max="10245" width="9" style="12"/>
    <col min="10246" max="10246" width="10.5" style="12" bestFit="1" customWidth="1"/>
    <col min="10247" max="10247" width="8.875" style="12" bestFit="1" customWidth="1"/>
    <col min="10248" max="10248" width="9.75" style="12" bestFit="1" customWidth="1"/>
    <col min="10249" max="10249" width="8.875" style="12" bestFit="1" customWidth="1"/>
    <col min="10250" max="10250" width="6" style="12" bestFit="1" customWidth="1"/>
    <col min="10251" max="10489" width="9" style="12"/>
    <col min="10490" max="10490" width="6" style="12" bestFit="1" customWidth="1"/>
    <col min="10491" max="10493" width="8" style="12" bestFit="1" customWidth="1"/>
    <col min="10494" max="10494" width="35.5" style="12" bestFit="1" customWidth="1"/>
    <col min="10495" max="10495" width="20.5" style="12" bestFit="1" customWidth="1"/>
    <col min="10496" max="10499" width="8" style="12" bestFit="1" customWidth="1"/>
    <col min="10500" max="10500" width="8.875" style="12" bestFit="1" customWidth="1"/>
    <col min="10501" max="10501" width="9" style="12"/>
    <col min="10502" max="10502" width="10.5" style="12" bestFit="1" customWidth="1"/>
    <col min="10503" max="10503" width="8.875" style="12" bestFit="1" customWidth="1"/>
    <col min="10504" max="10504" width="9.75" style="12" bestFit="1" customWidth="1"/>
    <col min="10505" max="10505" width="8.875" style="12" bestFit="1" customWidth="1"/>
    <col min="10506" max="10506" width="6" style="12" bestFit="1" customWidth="1"/>
    <col min="10507" max="10745" width="9" style="12"/>
    <col min="10746" max="10746" width="6" style="12" bestFit="1" customWidth="1"/>
    <col min="10747" max="10749" width="8" style="12" bestFit="1" customWidth="1"/>
    <col min="10750" max="10750" width="35.5" style="12" bestFit="1" customWidth="1"/>
    <col min="10751" max="10751" width="20.5" style="12" bestFit="1" customWidth="1"/>
    <col min="10752" max="10755" width="8" style="12" bestFit="1" customWidth="1"/>
    <col min="10756" max="10756" width="8.875" style="12" bestFit="1" customWidth="1"/>
    <col min="10757" max="10757" width="9" style="12"/>
    <col min="10758" max="10758" width="10.5" style="12" bestFit="1" customWidth="1"/>
    <col min="10759" max="10759" width="8.875" style="12" bestFit="1" customWidth="1"/>
    <col min="10760" max="10760" width="9.75" style="12" bestFit="1" customWidth="1"/>
    <col min="10761" max="10761" width="8.875" style="12" bestFit="1" customWidth="1"/>
    <col min="10762" max="10762" width="6" style="12" bestFit="1" customWidth="1"/>
    <col min="10763" max="11001" width="9" style="12"/>
    <col min="11002" max="11002" width="6" style="12" bestFit="1" customWidth="1"/>
    <col min="11003" max="11005" width="8" style="12" bestFit="1" customWidth="1"/>
    <col min="11006" max="11006" width="35.5" style="12" bestFit="1" customWidth="1"/>
    <col min="11007" max="11007" width="20.5" style="12" bestFit="1" customWidth="1"/>
    <col min="11008" max="11011" width="8" style="12" bestFit="1" customWidth="1"/>
    <col min="11012" max="11012" width="8.875" style="12" bestFit="1" customWidth="1"/>
    <col min="11013" max="11013" width="9" style="12"/>
    <col min="11014" max="11014" width="10.5" style="12" bestFit="1" customWidth="1"/>
    <col min="11015" max="11015" width="8.875" style="12" bestFit="1" customWidth="1"/>
    <col min="11016" max="11016" width="9.75" style="12" bestFit="1" customWidth="1"/>
    <col min="11017" max="11017" width="8.875" style="12" bestFit="1" customWidth="1"/>
    <col min="11018" max="11018" width="6" style="12" bestFit="1" customWidth="1"/>
    <col min="11019" max="11257" width="9" style="12"/>
    <col min="11258" max="11258" width="6" style="12" bestFit="1" customWidth="1"/>
    <col min="11259" max="11261" width="8" style="12" bestFit="1" customWidth="1"/>
    <col min="11262" max="11262" width="35.5" style="12" bestFit="1" customWidth="1"/>
    <col min="11263" max="11263" width="20.5" style="12" bestFit="1" customWidth="1"/>
    <col min="11264" max="11267" width="8" style="12" bestFit="1" customWidth="1"/>
    <col min="11268" max="11268" width="8.875" style="12" bestFit="1" customWidth="1"/>
    <col min="11269" max="11269" width="9" style="12"/>
    <col min="11270" max="11270" width="10.5" style="12" bestFit="1" customWidth="1"/>
    <col min="11271" max="11271" width="8.875" style="12" bestFit="1" customWidth="1"/>
    <col min="11272" max="11272" width="9.75" style="12" bestFit="1" customWidth="1"/>
    <col min="11273" max="11273" width="8.875" style="12" bestFit="1" customWidth="1"/>
    <col min="11274" max="11274" width="6" style="12" bestFit="1" customWidth="1"/>
    <col min="11275" max="11513" width="9" style="12"/>
    <col min="11514" max="11514" width="6" style="12" bestFit="1" customWidth="1"/>
    <col min="11515" max="11517" width="8" style="12" bestFit="1" customWidth="1"/>
    <col min="11518" max="11518" width="35.5" style="12" bestFit="1" customWidth="1"/>
    <col min="11519" max="11519" width="20.5" style="12" bestFit="1" customWidth="1"/>
    <col min="11520" max="11523" width="8" style="12" bestFit="1" customWidth="1"/>
    <col min="11524" max="11524" width="8.875" style="12" bestFit="1" customWidth="1"/>
    <col min="11525" max="11525" width="9" style="12"/>
    <col min="11526" max="11526" width="10.5" style="12" bestFit="1" customWidth="1"/>
    <col min="11527" max="11527" width="8.875" style="12" bestFit="1" customWidth="1"/>
    <col min="11528" max="11528" width="9.75" style="12" bestFit="1" customWidth="1"/>
    <col min="11529" max="11529" width="8.875" style="12" bestFit="1" customWidth="1"/>
    <col min="11530" max="11530" width="6" style="12" bestFit="1" customWidth="1"/>
    <col min="11531" max="11769" width="9" style="12"/>
    <col min="11770" max="11770" width="6" style="12" bestFit="1" customWidth="1"/>
    <col min="11771" max="11773" width="8" style="12" bestFit="1" customWidth="1"/>
    <col min="11774" max="11774" width="35.5" style="12" bestFit="1" customWidth="1"/>
    <col min="11775" max="11775" width="20.5" style="12" bestFit="1" customWidth="1"/>
    <col min="11776" max="11779" width="8" style="12" bestFit="1" customWidth="1"/>
    <col min="11780" max="11780" width="8.875" style="12" bestFit="1" customWidth="1"/>
    <col min="11781" max="11781" width="9" style="12"/>
    <col min="11782" max="11782" width="10.5" style="12" bestFit="1" customWidth="1"/>
    <col min="11783" max="11783" width="8.875" style="12" bestFit="1" customWidth="1"/>
    <col min="11784" max="11784" width="9.75" style="12" bestFit="1" customWidth="1"/>
    <col min="11785" max="11785" width="8.875" style="12" bestFit="1" customWidth="1"/>
    <col min="11786" max="11786" width="6" style="12" bestFit="1" customWidth="1"/>
    <col min="11787" max="12025" width="9" style="12"/>
    <col min="12026" max="12026" width="6" style="12" bestFit="1" customWidth="1"/>
    <col min="12027" max="12029" width="8" style="12" bestFit="1" customWidth="1"/>
    <col min="12030" max="12030" width="35.5" style="12" bestFit="1" customWidth="1"/>
    <col min="12031" max="12031" width="20.5" style="12" bestFit="1" customWidth="1"/>
    <col min="12032" max="12035" width="8" style="12" bestFit="1" customWidth="1"/>
    <col min="12036" max="12036" width="8.875" style="12" bestFit="1" customWidth="1"/>
    <col min="12037" max="12037" width="9" style="12"/>
    <col min="12038" max="12038" width="10.5" style="12" bestFit="1" customWidth="1"/>
    <col min="12039" max="12039" width="8.875" style="12" bestFit="1" customWidth="1"/>
    <col min="12040" max="12040" width="9.75" style="12" bestFit="1" customWidth="1"/>
    <col min="12041" max="12041" width="8.875" style="12" bestFit="1" customWidth="1"/>
    <col min="12042" max="12042" width="6" style="12" bestFit="1" customWidth="1"/>
    <col min="12043" max="12281" width="9" style="12"/>
    <col min="12282" max="12282" width="6" style="12" bestFit="1" customWidth="1"/>
    <col min="12283" max="12285" width="8" style="12" bestFit="1" customWidth="1"/>
    <col min="12286" max="12286" width="35.5" style="12" bestFit="1" customWidth="1"/>
    <col min="12287" max="12287" width="20.5" style="12" bestFit="1" customWidth="1"/>
    <col min="12288" max="12291" width="8" style="12" bestFit="1" customWidth="1"/>
    <col min="12292" max="12292" width="8.875" style="12" bestFit="1" customWidth="1"/>
    <col min="12293" max="12293" width="9" style="12"/>
    <col min="12294" max="12294" width="10.5" style="12" bestFit="1" customWidth="1"/>
    <col min="12295" max="12295" width="8.875" style="12" bestFit="1" customWidth="1"/>
    <col min="12296" max="12296" width="9.75" style="12" bestFit="1" customWidth="1"/>
    <col min="12297" max="12297" width="8.875" style="12" bestFit="1" customWidth="1"/>
    <col min="12298" max="12298" width="6" style="12" bestFit="1" customWidth="1"/>
    <col min="12299" max="12537" width="9" style="12"/>
    <col min="12538" max="12538" width="6" style="12" bestFit="1" customWidth="1"/>
    <col min="12539" max="12541" width="8" style="12" bestFit="1" customWidth="1"/>
    <col min="12542" max="12542" width="35.5" style="12" bestFit="1" customWidth="1"/>
    <col min="12543" max="12543" width="20.5" style="12" bestFit="1" customWidth="1"/>
    <col min="12544" max="12547" width="8" style="12" bestFit="1" customWidth="1"/>
    <col min="12548" max="12548" width="8.875" style="12" bestFit="1" customWidth="1"/>
    <col min="12549" max="12549" width="9" style="12"/>
    <col min="12550" max="12550" width="10.5" style="12" bestFit="1" customWidth="1"/>
    <col min="12551" max="12551" width="8.875" style="12" bestFit="1" customWidth="1"/>
    <col min="12552" max="12552" width="9.75" style="12" bestFit="1" customWidth="1"/>
    <col min="12553" max="12553" width="8.875" style="12" bestFit="1" customWidth="1"/>
    <col min="12554" max="12554" width="6" style="12" bestFit="1" customWidth="1"/>
    <col min="12555" max="12793" width="9" style="12"/>
    <col min="12794" max="12794" width="6" style="12" bestFit="1" customWidth="1"/>
    <col min="12795" max="12797" width="8" style="12" bestFit="1" customWidth="1"/>
    <col min="12798" max="12798" width="35.5" style="12" bestFit="1" customWidth="1"/>
    <col min="12799" max="12799" width="20.5" style="12" bestFit="1" customWidth="1"/>
    <col min="12800" max="12803" width="8" style="12" bestFit="1" customWidth="1"/>
    <col min="12804" max="12804" width="8.875" style="12" bestFit="1" customWidth="1"/>
    <col min="12805" max="12805" width="9" style="12"/>
    <col min="12806" max="12806" width="10.5" style="12" bestFit="1" customWidth="1"/>
    <col min="12807" max="12807" width="8.875" style="12" bestFit="1" customWidth="1"/>
    <col min="12808" max="12808" width="9.75" style="12" bestFit="1" customWidth="1"/>
    <col min="12809" max="12809" width="8.875" style="12" bestFit="1" customWidth="1"/>
    <col min="12810" max="12810" width="6" style="12" bestFit="1" customWidth="1"/>
    <col min="12811" max="13049" width="9" style="12"/>
    <col min="13050" max="13050" width="6" style="12" bestFit="1" customWidth="1"/>
    <col min="13051" max="13053" width="8" style="12" bestFit="1" customWidth="1"/>
    <col min="13054" max="13054" width="35.5" style="12" bestFit="1" customWidth="1"/>
    <col min="13055" max="13055" width="20.5" style="12" bestFit="1" customWidth="1"/>
    <col min="13056" max="13059" width="8" style="12" bestFit="1" customWidth="1"/>
    <col min="13060" max="13060" width="8.875" style="12" bestFit="1" customWidth="1"/>
    <col min="13061" max="13061" width="9" style="12"/>
    <col min="13062" max="13062" width="10.5" style="12" bestFit="1" customWidth="1"/>
    <col min="13063" max="13063" width="8.875" style="12" bestFit="1" customWidth="1"/>
    <col min="13064" max="13064" width="9.75" style="12" bestFit="1" customWidth="1"/>
    <col min="13065" max="13065" width="8.875" style="12" bestFit="1" customWidth="1"/>
    <col min="13066" max="13066" width="6" style="12" bestFit="1" customWidth="1"/>
    <col min="13067" max="13305" width="9" style="12"/>
    <col min="13306" max="13306" width="6" style="12" bestFit="1" customWidth="1"/>
    <col min="13307" max="13309" width="8" style="12" bestFit="1" customWidth="1"/>
    <col min="13310" max="13310" width="35.5" style="12" bestFit="1" customWidth="1"/>
    <col min="13311" max="13311" width="20.5" style="12" bestFit="1" customWidth="1"/>
    <col min="13312" max="13315" width="8" style="12" bestFit="1" customWidth="1"/>
    <col min="13316" max="13316" width="8.875" style="12" bestFit="1" customWidth="1"/>
    <col min="13317" max="13317" width="9" style="12"/>
    <col min="13318" max="13318" width="10.5" style="12" bestFit="1" customWidth="1"/>
    <col min="13319" max="13319" width="8.875" style="12" bestFit="1" customWidth="1"/>
    <col min="13320" max="13320" width="9.75" style="12" bestFit="1" customWidth="1"/>
    <col min="13321" max="13321" width="8.875" style="12" bestFit="1" customWidth="1"/>
    <col min="13322" max="13322" width="6" style="12" bestFit="1" customWidth="1"/>
    <col min="13323" max="13561" width="9" style="12"/>
    <col min="13562" max="13562" width="6" style="12" bestFit="1" customWidth="1"/>
    <col min="13563" max="13565" width="8" style="12" bestFit="1" customWidth="1"/>
    <col min="13566" max="13566" width="35.5" style="12" bestFit="1" customWidth="1"/>
    <col min="13567" max="13567" width="20.5" style="12" bestFit="1" customWidth="1"/>
    <col min="13568" max="13571" width="8" style="12" bestFit="1" customWidth="1"/>
    <col min="13572" max="13572" width="8.875" style="12" bestFit="1" customWidth="1"/>
    <col min="13573" max="13573" width="9" style="12"/>
    <col min="13574" max="13574" width="10.5" style="12" bestFit="1" customWidth="1"/>
    <col min="13575" max="13575" width="8.875" style="12" bestFit="1" customWidth="1"/>
    <col min="13576" max="13576" width="9.75" style="12" bestFit="1" customWidth="1"/>
    <col min="13577" max="13577" width="8.875" style="12" bestFit="1" customWidth="1"/>
    <col min="13578" max="13578" width="6" style="12" bestFit="1" customWidth="1"/>
    <col min="13579" max="13817" width="9" style="12"/>
    <col min="13818" max="13818" width="6" style="12" bestFit="1" customWidth="1"/>
    <col min="13819" max="13821" width="8" style="12" bestFit="1" customWidth="1"/>
    <col min="13822" max="13822" width="35.5" style="12" bestFit="1" customWidth="1"/>
    <col min="13823" max="13823" width="20.5" style="12" bestFit="1" customWidth="1"/>
    <col min="13824" max="13827" width="8" style="12" bestFit="1" customWidth="1"/>
    <col min="13828" max="13828" width="8.875" style="12" bestFit="1" customWidth="1"/>
    <col min="13829" max="13829" width="9" style="12"/>
    <col min="13830" max="13830" width="10.5" style="12" bestFit="1" customWidth="1"/>
    <col min="13831" max="13831" width="8.875" style="12" bestFit="1" customWidth="1"/>
    <col min="13832" max="13832" width="9.75" style="12" bestFit="1" customWidth="1"/>
    <col min="13833" max="13833" width="8.875" style="12" bestFit="1" customWidth="1"/>
    <col min="13834" max="13834" width="6" style="12" bestFit="1" customWidth="1"/>
    <col min="13835" max="14073" width="9" style="12"/>
    <col min="14074" max="14074" width="6" style="12" bestFit="1" customWidth="1"/>
    <col min="14075" max="14077" width="8" style="12" bestFit="1" customWidth="1"/>
    <col min="14078" max="14078" width="35.5" style="12" bestFit="1" customWidth="1"/>
    <col min="14079" max="14079" width="20.5" style="12" bestFit="1" customWidth="1"/>
    <col min="14080" max="14083" width="8" style="12" bestFit="1" customWidth="1"/>
    <col min="14084" max="14084" width="8.875" style="12" bestFit="1" customWidth="1"/>
    <col min="14085" max="14085" width="9" style="12"/>
    <col min="14086" max="14086" width="10.5" style="12" bestFit="1" customWidth="1"/>
    <col min="14087" max="14087" width="8.875" style="12" bestFit="1" customWidth="1"/>
    <col min="14088" max="14088" width="9.75" style="12" bestFit="1" customWidth="1"/>
    <col min="14089" max="14089" width="8.875" style="12" bestFit="1" customWidth="1"/>
    <col min="14090" max="14090" width="6" style="12" bestFit="1" customWidth="1"/>
    <col min="14091" max="14329" width="9" style="12"/>
    <col min="14330" max="14330" width="6" style="12" bestFit="1" customWidth="1"/>
    <col min="14331" max="14333" width="8" style="12" bestFit="1" customWidth="1"/>
    <col min="14334" max="14334" width="35.5" style="12" bestFit="1" customWidth="1"/>
    <col min="14335" max="14335" width="20.5" style="12" bestFit="1" customWidth="1"/>
    <col min="14336" max="14339" width="8" style="12" bestFit="1" customWidth="1"/>
    <col min="14340" max="14340" width="8.875" style="12" bestFit="1" customWidth="1"/>
    <col min="14341" max="14341" width="9" style="12"/>
    <col min="14342" max="14342" width="10.5" style="12" bestFit="1" customWidth="1"/>
    <col min="14343" max="14343" width="8.875" style="12" bestFit="1" customWidth="1"/>
    <col min="14344" max="14344" width="9.75" style="12" bestFit="1" customWidth="1"/>
    <col min="14345" max="14345" width="8.875" style="12" bestFit="1" customWidth="1"/>
    <col min="14346" max="14346" width="6" style="12" bestFit="1" customWidth="1"/>
    <col min="14347" max="14585" width="9" style="12"/>
    <col min="14586" max="14586" width="6" style="12" bestFit="1" customWidth="1"/>
    <col min="14587" max="14589" width="8" style="12" bestFit="1" customWidth="1"/>
    <col min="14590" max="14590" width="35.5" style="12" bestFit="1" customWidth="1"/>
    <col min="14591" max="14591" width="20.5" style="12" bestFit="1" customWidth="1"/>
    <col min="14592" max="14595" width="8" style="12" bestFit="1" customWidth="1"/>
    <col min="14596" max="14596" width="8.875" style="12" bestFit="1" customWidth="1"/>
    <col min="14597" max="14597" width="9" style="12"/>
    <col min="14598" max="14598" width="10.5" style="12" bestFit="1" customWidth="1"/>
    <col min="14599" max="14599" width="8.875" style="12" bestFit="1" customWidth="1"/>
    <col min="14600" max="14600" width="9.75" style="12" bestFit="1" customWidth="1"/>
    <col min="14601" max="14601" width="8.875" style="12" bestFit="1" customWidth="1"/>
    <col min="14602" max="14602" width="6" style="12" bestFit="1" customWidth="1"/>
    <col min="14603" max="14841" width="9" style="12"/>
    <col min="14842" max="14842" width="6" style="12" bestFit="1" customWidth="1"/>
    <col min="14843" max="14845" width="8" style="12" bestFit="1" customWidth="1"/>
    <col min="14846" max="14846" width="35.5" style="12" bestFit="1" customWidth="1"/>
    <col min="14847" max="14847" width="20.5" style="12" bestFit="1" customWidth="1"/>
    <col min="14848" max="14851" width="8" style="12" bestFit="1" customWidth="1"/>
    <col min="14852" max="14852" width="8.875" style="12" bestFit="1" customWidth="1"/>
    <col min="14853" max="14853" width="9" style="12"/>
    <col min="14854" max="14854" width="10.5" style="12" bestFit="1" customWidth="1"/>
    <col min="14855" max="14855" width="8.875" style="12" bestFit="1" customWidth="1"/>
    <col min="14856" max="14856" width="9.75" style="12" bestFit="1" customWidth="1"/>
    <col min="14857" max="14857" width="8.875" style="12" bestFit="1" customWidth="1"/>
    <col min="14858" max="14858" width="6" style="12" bestFit="1" customWidth="1"/>
    <col min="14859" max="15097" width="9" style="12"/>
    <col min="15098" max="15098" width="6" style="12" bestFit="1" customWidth="1"/>
    <col min="15099" max="15101" width="8" style="12" bestFit="1" customWidth="1"/>
    <col min="15102" max="15102" width="35.5" style="12" bestFit="1" customWidth="1"/>
    <col min="15103" max="15103" width="20.5" style="12" bestFit="1" customWidth="1"/>
    <col min="15104" max="15107" width="8" style="12" bestFit="1" customWidth="1"/>
    <col min="15108" max="15108" width="8.875" style="12" bestFit="1" customWidth="1"/>
    <col min="15109" max="15109" width="9" style="12"/>
    <col min="15110" max="15110" width="10.5" style="12" bestFit="1" customWidth="1"/>
    <col min="15111" max="15111" width="8.875" style="12" bestFit="1" customWidth="1"/>
    <col min="15112" max="15112" width="9.75" style="12" bestFit="1" customWidth="1"/>
    <col min="15113" max="15113" width="8.875" style="12" bestFit="1" customWidth="1"/>
    <col min="15114" max="15114" width="6" style="12" bestFit="1" customWidth="1"/>
    <col min="15115" max="15353" width="9" style="12"/>
    <col min="15354" max="15354" width="6" style="12" bestFit="1" customWidth="1"/>
    <col min="15355" max="15357" width="8" style="12" bestFit="1" customWidth="1"/>
    <col min="15358" max="15358" width="35.5" style="12" bestFit="1" customWidth="1"/>
    <col min="15359" max="15359" width="20.5" style="12" bestFit="1" customWidth="1"/>
    <col min="15360" max="15363" width="8" style="12" bestFit="1" customWidth="1"/>
    <col min="15364" max="15364" width="8.875" style="12" bestFit="1" customWidth="1"/>
    <col min="15365" max="15365" width="9" style="12"/>
    <col min="15366" max="15366" width="10.5" style="12" bestFit="1" customWidth="1"/>
    <col min="15367" max="15367" width="8.875" style="12" bestFit="1" customWidth="1"/>
    <col min="15368" max="15368" width="9.75" style="12" bestFit="1" customWidth="1"/>
    <col min="15369" max="15369" width="8.875" style="12" bestFit="1" customWidth="1"/>
    <col min="15370" max="15370" width="6" style="12" bestFit="1" customWidth="1"/>
    <col min="15371" max="15609" width="9" style="12"/>
    <col min="15610" max="15610" width="6" style="12" bestFit="1" customWidth="1"/>
    <col min="15611" max="15613" width="8" style="12" bestFit="1" customWidth="1"/>
    <col min="15614" max="15614" width="35.5" style="12" bestFit="1" customWidth="1"/>
    <col min="15615" max="15615" width="20.5" style="12" bestFit="1" customWidth="1"/>
    <col min="15616" max="15619" width="8" style="12" bestFit="1" customWidth="1"/>
    <col min="15620" max="15620" width="8.875" style="12" bestFit="1" customWidth="1"/>
    <col min="15621" max="15621" width="9" style="12"/>
    <col min="15622" max="15622" width="10.5" style="12" bestFit="1" customWidth="1"/>
    <col min="15623" max="15623" width="8.875" style="12" bestFit="1" customWidth="1"/>
    <col min="15624" max="15624" width="9.75" style="12" bestFit="1" customWidth="1"/>
    <col min="15625" max="15625" width="8.875" style="12" bestFit="1" customWidth="1"/>
    <col min="15626" max="15626" width="6" style="12" bestFit="1" customWidth="1"/>
    <col min="15627" max="15865" width="9" style="12"/>
    <col min="15866" max="15866" width="6" style="12" bestFit="1" customWidth="1"/>
    <col min="15867" max="15869" width="8" style="12" bestFit="1" customWidth="1"/>
    <col min="15870" max="15870" width="35.5" style="12" bestFit="1" customWidth="1"/>
    <col min="15871" max="15871" width="20.5" style="12" bestFit="1" customWidth="1"/>
    <col min="15872" max="15875" width="8" style="12" bestFit="1" customWidth="1"/>
    <col min="15876" max="15876" width="8.875" style="12" bestFit="1" customWidth="1"/>
    <col min="15877" max="15877" width="9" style="12"/>
    <col min="15878" max="15878" width="10.5" style="12" bestFit="1" customWidth="1"/>
    <col min="15879" max="15879" width="8.875" style="12" bestFit="1" customWidth="1"/>
    <col min="15880" max="15880" width="9.75" style="12" bestFit="1" customWidth="1"/>
    <col min="15881" max="15881" width="8.875" style="12" bestFit="1" customWidth="1"/>
    <col min="15882" max="15882" width="6" style="12" bestFit="1" customWidth="1"/>
    <col min="15883" max="16121" width="9" style="12"/>
    <col min="16122" max="16122" width="6" style="12" bestFit="1" customWidth="1"/>
    <col min="16123" max="16125" width="8" style="12" bestFit="1" customWidth="1"/>
    <col min="16126" max="16126" width="35.5" style="12" bestFit="1" customWidth="1"/>
    <col min="16127" max="16127" width="20.5" style="12" bestFit="1" customWidth="1"/>
    <col min="16128" max="16131" width="8" style="12" bestFit="1" customWidth="1"/>
    <col min="16132" max="16132" width="8.875" style="12" bestFit="1" customWidth="1"/>
    <col min="16133" max="16133" width="9" style="12"/>
    <col min="16134" max="16134" width="10.5" style="12" bestFit="1" customWidth="1"/>
    <col min="16135" max="16135" width="8.875" style="12" bestFit="1" customWidth="1"/>
    <col min="16136" max="16136" width="9.75" style="12" bestFit="1" customWidth="1"/>
    <col min="16137" max="16137" width="8.875" style="12" bestFit="1" customWidth="1"/>
    <col min="16138" max="16138" width="6" style="12" bestFit="1" customWidth="1"/>
    <col min="16139" max="16384" width="9" style="12"/>
  </cols>
  <sheetData>
    <row r="1" spans="1:117" ht="27.75" customHeight="1">
      <c r="A1" s="1" t="s">
        <v>153</v>
      </c>
      <c r="B1" s="1" t="s">
        <v>154</v>
      </c>
      <c r="C1" s="1016" t="s">
        <v>155</v>
      </c>
      <c r="D1" s="1017"/>
      <c r="E1" s="2" t="s">
        <v>156</v>
      </c>
      <c r="F1" s="2" t="s">
        <v>157</v>
      </c>
      <c r="G1" s="3" t="s">
        <v>158</v>
      </c>
      <c r="H1" s="4"/>
      <c r="I1" s="5"/>
      <c r="J1" s="2" t="s">
        <v>159</v>
      </c>
      <c r="K1" s="6" t="s">
        <v>160</v>
      </c>
      <c r="L1" s="7"/>
      <c r="M1" s="7"/>
      <c r="N1" s="7"/>
      <c r="O1" s="7"/>
      <c r="P1" s="1018" t="s">
        <v>337</v>
      </c>
      <c r="Q1" s="1019"/>
      <c r="R1" s="8"/>
      <c r="S1" s="1" t="s">
        <v>153</v>
      </c>
      <c r="T1" s="9"/>
      <c r="U1" s="9"/>
    </row>
    <row r="2" spans="1:117" ht="29.25" customHeight="1">
      <c r="A2" s="1"/>
      <c r="B2" s="1"/>
      <c r="C2" s="1">
        <v>1</v>
      </c>
      <c r="D2" s="13">
        <v>2</v>
      </c>
      <c r="E2" s="13"/>
      <c r="F2" s="13"/>
      <c r="G2" s="14" t="s">
        <v>161</v>
      </c>
      <c r="H2" s="14" t="s">
        <v>162</v>
      </c>
      <c r="I2" s="14" t="s">
        <v>163</v>
      </c>
      <c r="J2" s="13"/>
      <c r="K2" s="14" t="s">
        <v>161</v>
      </c>
      <c r="L2" s="14" t="s">
        <v>162</v>
      </c>
      <c r="M2" s="14" t="s">
        <v>164</v>
      </c>
      <c r="N2" s="14" t="s">
        <v>165</v>
      </c>
      <c r="O2" s="14" t="s">
        <v>166</v>
      </c>
      <c r="P2" s="14" t="s">
        <v>15</v>
      </c>
      <c r="Q2" s="14" t="s">
        <v>338</v>
      </c>
      <c r="R2" s="15" t="s">
        <v>15</v>
      </c>
      <c r="S2" s="1"/>
      <c r="T2" s="9"/>
      <c r="U2" s="9"/>
      <c r="Y2" s="10">
        <v>1</v>
      </c>
      <c r="Z2" s="10">
        <v>2</v>
      </c>
      <c r="AA2" s="10">
        <v>3</v>
      </c>
      <c r="AB2" s="10">
        <v>4</v>
      </c>
      <c r="AC2" s="10">
        <v>5</v>
      </c>
      <c r="AD2" s="10">
        <v>6</v>
      </c>
      <c r="AE2" s="10">
        <v>7</v>
      </c>
      <c r="AF2" s="10">
        <v>8</v>
      </c>
      <c r="AG2" s="10">
        <v>9</v>
      </c>
      <c r="AH2" s="10">
        <v>10</v>
      </c>
      <c r="AI2" s="10">
        <v>11</v>
      </c>
      <c r="AJ2" s="10">
        <v>12</v>
      </c>
      <c r="AK2" s="10">
        <v>13</v>
      </c>
      <c r="AL2" s="10">
        <v>14</v>
      </c>
      <c r="AM2" s="10">
        <v>15</v>
      </c>
      <c r="AN2" s="10">
        <v>16</v>
      </c>
      <c r="AO2" s="10">
        <v>17</v>
      </c>
      <c r="AP2" s="10">
        <v>18</v>
      </c>
      <c r="AQ2" s="10">
        <v>19</v>
      </c>
      <c r="AR2" s="10">
        <v>20</v>
      </c>
      <c r="AS2" s="10">
        <v>21</v>
      </c>
      <c r="AT2" s="10">
        <v>22</v>
      </c>
      <c r="AU2" s="10">
        <v>23</v>
      </c>
      <c r="AV2" s="10">
        <v>24</v>
      </c>
      <c r="AW2" s="10">
        <v>25</v>
      </c>
      <c r="AX2" s="10">
        <v>26</v>
      </c>
      <c r="AY2" s="10">
        <v>27</v>
      </c>
      <c r="AZ2" s="10">
        <v>28</v>
      </c>
      <c r="BA2" s="10">
        <v>29</v>
      </c>
      <c r="BB2" s="10">
        <v>30</v>
      </c>
      <c r="BC2" s="10">
        <v>31</v>
      </c>
      <c r="BD2" s="10">
        <v>32</v>
      </c>
      <c r="BE2" s="10">
        <v>33</v>
      </c>
      <c r="BF2" s="10">
        <v>34</v>
      </c>
      <c r="BG2" s="10">
        <v>35</v>
      </c>
      <c r="BH2" s="10">
        <v>36</v>
      </c>
      <c r="BI2" s="10">
        <v>37</v>
      </c>
      <c r="BJ2" s="10">
        <v>38</v>
      </c>
      <c r="BK2" s="10">
        <v>39</v>
      </c>
      <c r="BL2" s="10">
        <v>40</v>
      </c>
      <c r="BM2" s="10">
        <v>41</v>
      </c>
      <c r="BN2" s="10">
        <v>42</v>
      </c>
      <c r="BO2" s="10">
        <v>43</v>
      </c>
      <c r="BP2" s="10">
        <v>44</v>
      </c>
      <c r="BQ2" s="10">
        <v>45</v>
      </c>
      <c r="BR2" s="10">
        <v>46</v>
      </c>
      <c r="BS2" s="10">
        <v>47</v>
      </c>
      <c r="BT2" s="10">
        <v>48</v>
      </c>
      <c r="BU2" s="10">
        <v>49</v>
      </c>
      <c r="BV2" s="10">
        <v>50</v>
      </c>
      <c r="BW2" s="10">
        <v>51</v>
      </c>
      <c r="BX2" s="10">
        <v>52</v>
      </c>
      <c r="BY2" s="10">
        <v>53</v>
      </c>
      <c r="BZ2" s="10">
        <v>54</v>
      </c>
      <c r="CA2" s="10">
        <v>55</v>
      </c>
      <c r="CB2" s="10">
        <v>56</v>
      </c>
      <c r="CC2" s="10">
        <v>57</v>
      </c>
      <c r="CD2" s="10">
        <v>58</v>
      </c>
      <c r="CE2" s="10">
        <v>59</v>
      </c>
      <c r="CF2" s="10">
        <v>60</v>
      </c>
      <c r="CG2" s="10">
        <v>61</v>
      </c>
      <c r="CH2" s="10">
        <v>62</v>
      </c>
      <c r="CI2" s="10">
        <v>63</v>
      </c>
      <c r="CJ2" s="10">
        <v>64</v>
      </c>
      <c r="CK2" s="10">
        <v>65</v>
      </c>
      <c r="CL2" s="10">
        <v>66</v>
      </c>
      <c r="CM2" s="10">
        <v>67</v>
      </c>
      <c r="CN2" s="10">
        <v>68</v>
      </c>
      <c r="CO2" s="10">
        <v>69</v>
      </c>
      <c r="CP2" s="10">
        <v>70</v>
      </c>
      <c r="CQ2" s="10">
        <v>71</v>
      </c>
      <c r="CR2" s="10">
        <v>72</v>
      </c>
      <c r="CS2" s="10">
        <v>73</v>
      </c>
      <c r="CT2" s="10">
        <v>74</v>
      </c>
      <c r="CU2" s="10">
        <v>75</v>
      </c>
      <c r="CV2" s="10">
        <v>76</v>
      </c>
      <c r="CW2" s="10">
        <v>77</v>
      </c>
      <c r="CX2" s="10">
        <v>78</v>
      </c>
      <c r="CY2" s="10">
        <v>79</v>
      </c>
      <c r="CZ2" s="10">
        <v>80</v>
      </c>
      <c r="DA2" s="10">
        <v>81</v>
      </c>
      <c r="DB2" s="10">
        <v>82</v>
      </c>
      <c r="DC2" s="10">
        <v>83</v>
      </c>
      <c r="DD2" s="10">
        <v>84</v>
      </c>
      <c r="DE2" s="10">
        <v>85</v>
      </c>
      <c r="DF2" s="10">
        <v>86</v>
      </c>
      <c r="DG2" s="10">
        <v>87</v>
      </c>
      <c r="DH2" s="10">
        <v>88</v>
      </c>
      <c r="DI2" s="10">
        <v>89</v>
      </c>
      <c r="DJ2" s="10">
        <v>90</v>
      </c>
      <c r="DK2" s="10"/>
      <c r="DL2" s="10"/>
      <c r="DM2" s="10"/>
    </row>
    <row r="3" spans="1:117" ht="27.75" customHeight="1">
      <c r="A3" s="16" t="s">
        <v>485</v>
      </c>
      <c r="B3" s="17" t="s">
        <v>510</v>
      </c>
      <c r="C3" s="17" t="s">
        <v>509</v>
      </c>
      <c r="D3" s="17" t="s">
        <v>167</v>
      </c>
      <c r="E3" s="17" t="s">
        <v>168</v>
      </c>
      <c r="F3" s="17" t="s">
        <v>169</v>
      </c>
      <c r="G3" s="17" t="s">
        <v>170</v>
      </c>
      <c r="H3" s="17" t="s">
        <v>171</v>
      </c>
      <c r="I3" s="17" t="s">
        <v>172</v>
      </c>
      <c r="J3" s="17" t="s">
        <v>173</v>
      </c>
      <c r="K3" s="17" t="s">
        <v>174</v>
      </c>
      <c r="L3" s="17" t="s">
        <v>175</v>
      </c>
      <c r="M3" s="17" t="s">
        <v>176</v>
      </c>
      <c r="N3" s="17" t="s">
        <v>177</v>
      </c>
      <c r="O3" s="17" t="s">
        <v>178</v>
      </c>
      <c r="P3" s="17" t="s">
        <v>179</v>
      </c>
      <c r="Q3" s="17" t="s">
        <v>336</v>
      </c>
      <c r="R3" s="17" t="s">
        <v>180</v>
      </c>
      <c r="S3" s="18"/>
      <c r="T3" s="18"/>
      <c r="U3" s="18"/>
      <c r="W3" s="10" t="s">
        <v>3</v>
      </c>
      <c r="Y3" s="19" t="str">
        <f>VLOOKUP(Y2,$U$4:$V$700,2,FALSE)</f>
        <v>中央区04小規模A・B・C</v>
      </c>
      <c r="Z3" s="20" t="str">
        <f t="shared" ref="Z3:AN3" si="0">VLOOKUP(Z2,$U$4:$V$700,2,FALSE)</f>
        <v>北区04小規模A・B・C</v>
      </c>
      <c r="AA3" s="20" t="str">
        <f t="shared" si="0"/>
        <v>東区04小規模A・B・C</v>
      </c>
      <c r="AB3" s="20" t="str">
        <f t="shared" si="0"/>
        <v>白石区04小規模A・B・C</v>
      </c>
      <c r="AC3" s="20" t="str">
        <f t="shared" si="0"/>
        <v>厚別区04小規模A・B・C</v>
      </c>
      <c r="AD3" s="20" t="str">
        <f t="shared" si="0"/>
        <v>豊平区04小規模A・B・C</v>
      </c>
      <c r="AE3" s="20" t="str">
        <f t="shared" si="0"/>
        <v>清田区04小規模A・B・C</v>
      </c>
      <c r="AF3" s="20" t="str">
        <f t="shared" si="0"/>
        <v>南区04小規模A・B・C</v>
      </c>
      <c r="AG3" s="20" t="str">
        <f t="shared" si="0"/>
        <v>西区04小規模A・B・C</v>
      </c>
      <c r="AH3" s="20" t="str">
        <f t="shared" si="0"/>
        <v>手稲区04小規模A・B・C</v>
      </c>
      <c r="AI3" s="20" t="str">
        <f t="shared" si="0"/>
        <v>東区06事業所内</v>
      </c>
      <c r="AJ3" s="20" t="str">
        <f t="shared" si="0"/>
        <v>白石区06事業所内</v>
      </c>
      <c r="AK3" s="20" t="str">
        <f t="shared" si="0"/>
        <v>豊平区06事業所内</v>
      </c>
      <c r="AL3" s="20" t="str">
        <f t="shared" si="0"/>
        <v>南区06事業所内</v>
      </c>
      <c r="AM3" s="20" t="str">
        <f t="shared" si="0"/>
        <v>西区06事業所内</v>
      </c>
      <c r="AN3" s="20" t="str">
        <f t="shared" si="0"/>
        <v/>
      </c>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1"/>
      <c r="CT3" s="21"/>
      <c r="CU3" s="21"/>
      <c r="CV3" s="21"/>
      <c r="CW3" s="21"/>
      <c r="CX3" s="21"/>
      <c r="CY3" s="21"/>
      <c r="CZ3" s="21"/>
      <c r="DA3" s="21"/>
      <c r="DB3" s="22"/>
      <c r="DC3" s="22"/>
      <c r="DD3" s="22"/>
      <c r="DE3" s="22"/>
      <c r="DF3" s="22"/>
      <c r="DG3" s="22"/>
      <c r="DH3" s="22"/>
      <c r="DI3" s="22"/>
      <c r="DJ3" s="23"/>
    </row>
    <row r="4" spans="1:117">
      <c r="A4" s="116">
        <v>0</v>
      </c>
      <c r="B4" s="24" t="s">
        <v>182</v>
      </c>
      <c r="C4" s="24" t="s">
        <v>451</v>
      </c>
      <c r="D4" s="24" t="s">
        <v>194</v>
      </c>
      <c r="E4" s="24" t="s">
        <v>181</v>
      </c>
      <c r="F4" s="24" t="s">
        <v>484</v>
      </c>
      <c r="G4" s="24">
        <v>0</v>
      </c>
      <c r="H4" s="24">
        <v>0</v>
      </c>
      <c r="I4" s="24">
        <v>0</v>
      </c>
      <c r="J4" s="24">
        <v>19</v>
      </c>
      <c r="K4" s="24">
        <v>0</v>
      </c>
      <c r="L4" s="24">
        <v>0</v>
      </c>
      <c r="M4" s="24">
        <v>6</v>
      </c>
      <c r="N4" s="24">
        <v>13</v>
      </c>
      <c r="O4" s="24">
        <f>SUM(テーブル1[[#This Row],[列11]:[列12]])</f>
        <v>19</v>
      </c>
      <c r="P4" s="24">
        <v>0</v>
      </c>
      <c r="Q4" s="24"/>
      <c r="R4" s="24">
        <f>SUM(K4,L4,O4,P4)</f>
        <v>19</v>
      </c>
      <c r="S4" s="25">
        <f>A4</f>
        <v>0</v>
      </c>
      <c r="T4" s="25">
        <f>COUNTIF($V$4:V4,V4)</f>
        <v>1</v>
      </c>
      <c r="U4" s="25">
        <f>IF(T4=1,COUNTIF($T$4:T4,1),"")</f>
        <v>1</v>
      </c>
      <c r="V4" s="26" t="str">
        <f>'施設状況(要更新)'!$E4&amp;'施設状況(要更新)'!$C4</f>
        <v>中央区04小規模A・B・C</v>
      </c>
      <c r="W4" s="26" t="str">
        <f>'施設状況(要更新)'!$F4</f>
        <v>札幌市未来局保育園【例】</v>
      </c>
      <c r="X4" s="27"/>
      <c r="Y4" s="28"/>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DJ4" s="29"/>
    </row>
    <row r="5" spans="1:117">
      <c r="A5" s="55">
        <v>100039</v>
      </c>
      <c r="B5" s="53" t="s">
        <v>182</v>
      </c>
      <c r="C5" s="53" t="s">
        <v>451</v>
      </c>
      <c r="D5" s="53" t="s">
        <v>194</v>
      </c>
      <c r="E5" s="53" t="s">
        <v>181</v>
      </c>
      <c r="F5" s="54" t="s">
        <v>195</v>
      </c>
      <c r="G5" s="54"/>
      <c r="H5" s="54"/>
      <c r="I5" s="54"/>
      <c r="J5" s="53">
        <v>19</v>
      </c>
      <c r="K5" s="53">
        <v>0</v>
      </c>
      <c r="L5" s="53">
        <v>0</v>
      </c>
      <c r="M5" s="53">
        <v>3</v>
      </c>
      <c r="N5" s="53">
        <v>9</v>
      </c>
      <c r="O5" s="24">
        <f>SUM(テーブル1[[#This Row],[列11]:[列12]])</f>
        <v>12</v>
      </c>
      <c r="P5" s="54"/>
      <c r="Q5" s="54"/>
      <c r="R5" s="24">
        <f t="shared" ref="R5:R68" si="1">SUM(K5,L5,O5,P5)</f>
        <v>12</v>
      </c>
      <c r="S5" s="25">
        <f t="shared" ref="S5:S68" si="2">A5</f>
        <v>100039</v>
      </c>
      <c r="T5" s="25">
        <f>COUNTIF($V$4:V5,V5)</f>
        <v>2</v>
      </c>
      <c r="U5" s="25" t="str">
        <f>IF(T5=1,COUNTIF($T$4:T5,1),"")</f>
        <v/>
      </c>
      <c r="V5" s="26" t="str">
        <f>'施設状況(要更新)'!$E5&amp;'施設状況(要更新)'!$C5</f>
        <v>中央区04小規模A・B・C</v>
      </c>
      <c r="W5" s="26" t="str">
        <f>'施設状況(要更新)'!$F5</f>
        <v>たからの杜円山保育園</v>
      </c>
      <c r="X5" s="27">
        <v>1</v>
      </c>
      <c r="Y5" s="31" t="str">
        <f>IFERROR(INDEX($T$4:$W$700,MATCH($X5&amp;Y$3,INDEX($T$4:$T$700&amp;$V$4:$V$700,),0),MATCH("施設名",$T$3:$W$3,0)),"")</f>
        <v>札幌市未来局保育園【例】</v>
      </c>
      <c r="Z5" s="26" t="str">
        <f t="shared" ref="Z5:AN9" si="3">IFERROR(INDEX($T$4:$W$700,MATCH($X5&amp;Z$3,INDEX($T$4:$T$700&amp;$V$4:$V$700,),0),MATCH("施設名",$T$3:$W$3,0)),"")</f>
        <v>アンジェロ保育園</v>
      </c>
      <c r="AA5" s="26" t="str">
        <f t="shared" si="3"/>
        <v>あいあい保育園</v>
      </c>
      <c r="AB5" s="26" t="str">
        <f t="shared" si="3"/>
        <v>ぴっころきっず白石駅前</v>
      </c>
      <c r="AC5" s="26" t="str">
        <f t="shared" si="3"/>
        <v>サクラ保育園厚別西</v>
      </c>
      <c r="AD5" s="26" t="str">
        <f t="shared" si="3"/>
        <v>ちびっこ保育るーむ札幌ドーム前園</v>
      </c>
      <c r="AE5" s="26" t="str">
        <f t="shared" si="3"/>
        <v>さくら乳児保育園</v>
      </c>
      <c r="AF5" s="26" t="str">
        <f t="shared" si="3"/>
        <v>札幌市南区保育・子育て支援センター</v>
      </c>
      <c r="AG5" s="26" t="str">
        <f t="shared" si="3"/>
        <v>ころころ保育園</v>
      </c>
      <c r="AH5" s="26" t="str">
        <f t="shared" si="3"/>
        <v>ぴっころきっず手稲駅前</v>
      </c>
      <c r="AI5" s="26" t="str">
        <f t="shared" si="3"/>
        <v>コープさっぽろ保育園ａｕｒｉｎｋｏ</v>
      </c>
      <c r="AJ5" s="26" t="str">
        <f t="shared" si="3"/>
        <v>じゅんのめ保育園</v>
      </c>
      <c r="AK5" s="26" t="str">
        <f t="shared" si="3"/>
        <v>こどもクラブしらかば</v>
      </c>
      <c r="AL5" s="26" t="str">
        <f t="shared" si="3"/>
        <v>もなみの里保育園</v>
      </c>
      <c r="AM5" s="26" t="str">
        <f t="shared" si="3"/>
        <v>さくらんぼ保育園</v>
      </c>
      <c r="AN5" s="26">
        <f t="shared" si="3"/>
        <v>0</v>
      </c>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DJ5" s="29"/>
    </row>
    <row r="6" spans="1:117">
      <c r="A6" s="55">
        <v>100043</v>
      </c>
      <c r="B6" s="53" t="s">
        <v>182</v>
      </c>
      <c r="C6" s="53" t="s">
        <v>451</v>
      </c>
      <c r="D6" s="53" t="s">
        <v>194</v>
      </c>
      <c r="E6" s="53" t="s">
        <v>181</v>
      </c>
      <c r="F6" s="54" t="s">
        <v>196</v>
      </c>
      <c r="G6" s="54"/>
      <c r="H6" s="54"/>
      <c r="I6" s="54"/>
      <c r="J6" s="53">
        <v>18</v>
      </c>
      <c r="K6" s="53">
        <v>0</v>
      </c>
      <c r="L6" s="53">
        <v>0</v>
      </c>
      <c r="M6" s="53">
        <v>3</v>
      </c>
      <c r="N6" s="53">
        <v>15</v>
      </c>
      <c r="O6" s="24">
        <f>SUM(テーブル1[[#This Row],[列11]:[列12]])</f>
        <v>18</v>
      </c>
      <c r="P6" s="54"/>
      <c r="Q6" s="54"/>
      <c r="R6" s="24">
        <f t="shared" si="1"/>
        <v>18</v>
      </c>
      <c r="S6" s="25">
        <f t="shared" si="2"/>
        <v>100043</v>
      </c>
      <c r="T6" s="25">
        <f>COUNTIF($V$4:V6,V6)</f>
        <v>3</v>
      </c>
      <c r="U6" s="25" t="str">
        <f>IF(T6=1,COUNTIF($T$4:T6,1),"")</f>
        <v/>
      </c>
      <c r="V6" s="26" t="str">
        <f>'施設状況(要更新)'!$E6&amp;'施設状況(要更新)'!$C6</f>
        <v>中央区04小規模A・B・C</v>
      </c>
      <c r="W6" s="26" t="str">
        <f>'施設状況(要更新)'!$F6</f>
        <v>さら～れ保育園</v>
      </c>
      <c r="X6" s="27">
        <v>2</v>
      </c>
      <c r="Y6" s="28" t="str">
        <f t="shared" ref="Y6:AN23" si="4">IFERROR(INDEX($T$4:$W$700,MATCH($X6&amp;Y$3,INDEX($T$4:$T$700&amp;$V$4:$V$700,),0),MATCH("施設名",$T$3:$W$3,0)),"")</f>
        <v>たからの杜円山保育園</v>
      </c>
      <c r="Z6" s="26" t="str">
        <f t="shared" si="4"/>
        <v>おーるまいてぃ屯田保育室</v>
      </c>
      <c r="AA6" s="26" t="str">
        <f t="shared" si="4"/>
        <v>ぴっころきっず元町</v>
      </c>
      <c r="AB6" s="26" t="str">
        <f t="shared" si="4"/>
        <v>保育室すまいる</v>
      </c>
      <c r="AC6" s="26" t="str">
        <f t="shared" si="4"/>
        <v>はぐくみ園厚別</v>
      </c>
      <c r="AD6" s="26" t="str">
        <f t="shared" si="4"/>
        <v>ちびっこ保育ルーム平岸ひまわり園</v>
      </c>
      <c r="AE6" s="26" t="str">
        <f t="shared" si="4"/>
        <v>よつば保育園</v>
      </c>
      <c r="AF6" s="26" t="str">
        <f t="shared" si="4"/>
        <v>ひろのぶ乳児保育園</v>
      </c>
      <c r="AG6" s="26" t="str">
        <f t="shared" si="4"/>
        <v>森のタータン保育園コピス</v>
      </c>
      <c r="AH6" s="26" t="str">
        <f t="shared" si="4"/>
        <v>手稲あじさい保育園</v>
      </c>
      <c r="AI6" s="26" t="str">
        <f t="shared" si="4"/>
        <v>ＨｅａｒｔＫｉｄｓ保育園ハートセンター</v>
      </c>
      <c r="AJ6" s="26" t="str">
        <f t="shared" si="4"/>
        <v/>
      </c>
      <c r="AK6" s="26" t="str">
        <f t="shared" si="4"/>
        <v>札幌ドリーム保育園</v>
      </c>
      <c r="AL6" s="26" t="str">
        <f t="shared" si="4"/>
        <v>真駒内駐屯地庁内託児所</v>
      </c>
      <c r="AM6" s="26" t="str">
        <f t="shared" si="4"/>
        <v>八軒西もみじ保育園</v>
      </c>
      <c r="AN6" s="26">
        <f t="shared" si="4"/>
        <v>0</v>
      </c>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DJ6" s="29"/>
    </row>
    <row r="7" spans="1:117">
      <c r="A7" s="55">
        <v>100100</v>
      </c>
      <c r="B7" s="53" t="s">
        <v>182</v>
      </c>
      <c r="C7" s="53" t="s">
        <v>451</v>
      </c>
      <c r="D7" s="53" t="s">
        <v>194</v>
      </c>
      <c r="E7" s="53" t="s">
        <v>181</v>
      </c>
      <c r="F7" s="54" t="s">
        <v>841</v>
      </c>
      <c r="G7" s="54"/>
      <c r="H7" s="54"/>
      <c r="I7" s="54"/>
      <c r="J7" s="53">
        <v>11</v>
      </c>
      <c r="K7" s="53">
        <v>0</v>
      </c>
      <c r="L7" s="53">
        <v>0</v>
      </c>
      <c r="M7" s="53">
        <v>3</v>
      </c>
      <c r="N7" s="53">
        <v>8</v>
      </c>
      <c r="O7" s="24">
        <f>SUM(テーブル1[[#This Row],[列11]:[列12]])</f>
        <v>11</v>
      </c>
      <c r="P7" s="54"/>
      <c r="Q7" s="54"/>
      <c r="R7" s="24">
        <f t="shared" si="1"/>
        <v>11</v>
      </c>
      <c r="S7" s="25">
        <f t="shared" si="2"/>
        <v>100100</v>
      </c>
      <c r="T7" s="25">
        <f>COUNTIF($V$4:V7,V7)</f>
        <v>4</v>
      </c>
      <c r="U7" s="25" t="str">
        <f>IF(T7=1,COUNTIF($T$4:T7,1),"")</f>
        <v/>
      </c>
      <c r="V7" s="26" t="str">
        <f>'施設状況(要更新)'!$E7&amp;'施設状況(要更新)'!$C7</f>
        <v>中央区04小規模A・B・C</v>
      </c>
      <c r="W7" s="26" t="str">
        <f>'施設状況(要更新)'!$F7</f>
        <v>保育園こころん</v>
      </c>
      <c r="X7" s="27">
        <v>3</v>
      </c>
      <c r="Y7" s="28" t="str">
        <f t="shared" si="4"/>
        <v>さら～れ保育園</v>
      </c>
      <c r="Z7" s="26" t="str">
        <f t="shared" si="4"/>
        <v>新琴似にじのいろ保育園</v>
      </c>
      <c r="AA7" s="26" t="str">
        <f t="shared" si="4"/>
        <v>びくとりー保育園</v>
      </c>
      <c r="AB7" s="26" t="str">
        <f t="shared" si="4"/>
        <v>ぴっころきっず東札幌</v>
      </c>
      <c r="AC7" s="26" t="str">
        <f t="shared" si="4"/>
        <v>みんなのナーサリー</v>
      </c>
      <c r="AD7" s="26" t="str">
        <f t="shared" si="4"/>
        <v>太陽こころナーサリー平岸</v>
      </c>
      <c r="AE7" s="26" t="str">
        <f t="shared" si="4"/>
        <v>いちご乳児保育園</v>
      </c>
      <c r="AF7" s="26" t="str">
        <f t="shared" si="4"/>
        <v>ふじのバンビーニ保育園</v>
      </c>
      <c r="AG7" s="26" t="str">
        <f t="shared" si="4"/>
        <v>山の手ちびっこ保育園</v>
      </c>
      <c r="AH7" s="26" t="str">
        <f t="shared" si="4"/>
        <v>第２手稲あじさい保育園</v>
      </c>
      <c r="AI7" s="26" t="str">
        <f t="shared" si="4"/>
        <v/>
      </c>
      <c r="AJ7" s="26" t="str">
        <f t="shared" si="4"/>
        <v/>
      </c>
      <c r="AK7" s="26" t="str">
        <f t="shared" si="4"/>
        <v>こころキッズワタキュー中の島ルーム</v>
      </c>
      <c r="AL7" s="26" t="str">
        <f t="shared" si="4"/>
        <v/>
      </c>
      <c r="AM7" s="26" t="str">
        <f t="shared" si="4"/>
        <v>発寒コグマ保育園</v>
      </c>
      <c r="AN7" s="26">
        <f t="shared" si="4"/>
        <v>0</v>
      </c>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DJ7" s="29"/>
    </row>
    <row r="8" spans="1:117">
      <c r="A8" s="55">
        <v>100057</v>
      </c>
      <c r="B8" s="53" t="s">
        <v>182</v>
      </c>
      <c r="C8" s="53" t="s">
        <v>451</v>
      </c>
      <c r="D8" s="53" t="s">
        <v>194</v>
      </c>
      <c r="E8" s="53" t="s">
        <v>181</v>
      </c>
      <c r="F8" s="54" t="s">
        <v>198</v>
      </c>
      <c r="G8" s="54"/>
      <c r="H8" s="54"/>
      <c r="I8" s="54"/>
      <c r="J8" s="53">
        <v>19</v>
      </c>
      <c r="K8" s="53">
        <v>0</v>
      </c>
      <c r="L8" s="53">
        <v>0</v>
      </c>
      <c r="M8" s="53">
        <v>6</v>
      </c>
      <c r="N8" s="53">
        <v>13</v>
      </c>
      <c r="O8" s="24">
        <f>SUM(テーブル1[[#This Row],[列11]:[列12]])</f>
        <v>19</v>
      </c>
      <c r="P8" s="54"/>
      <c r="Q8" s="54"/>
      <c r="R8" s="24">
        <f t="shared" si="1"/>
        <v>19</v>
      </c>
      <c r="S8" s="25">
        <f t="shared" si="2"/>
        <v>100057</v>
      </c>
      <c r="T8" s="25">
        <f>COUNTIF($V$4:V8,V8)</f>
        <v>5</v>
      </c>
      <c r="U8" s="25" t="str">
        <f>IF(T8=1,COUNTIF($T$4:T8,1),"")</f>
        <v/>
      </c>
      <c r="V8" s="26" t="str">
        <f>'施設状況(要更新)'!$E8&amp;'施設状況(要更新)'!$C8</f>
        <v>中央区04小規模A・B・C</v>
      </c>
      <c r="W8" s="26" t="str">
        <f>'施設状況(要更新)'!$F8</f>
        <v>こどもプラザ青い鳥円山園</v>
      </c>
      <c r="X8" s="27">
        <v>4</v>
      </c>
      <c r="Y8" s="28" t="str">
        <f t="shared" si="4"/>
        <v>保育園こころん</v>
      </c>
      <c r="Z8" s="26" t="str">
        <f t="shared" si="3"/>
        <v>美友希保育園</v>
      </c>
      <c r="AA8" s="26" t="str">
        <f t="shared" si="3"/>
        <v>あうら乳児保育園</v>
      </c>
      <c r="AB8" s="26" t="str">
        <f t="shared" si="3"/>
        <v>大藤子ども園ほんごう館</v>
      </c>
      <c r="AC8" s="26" t="str">
        <f t="shared" si="3"/>
        <v>サクラ保育園上野幌</v>
      </c>
      <c r="AD8" s="26" t="str">
        <f t="shared" si="3"/>
        <v>あんあん保育園平岸ルーム</v>
      </c>
      <c r="AE8" s="26" t="str">
        <f t="shared" si="3"/>
        <v>くるみ乳児保育園</v>
      </c>
      <c r="AF8" s="26" t="str">
        <f t="shared" si="3"/>
        <v>りとるkid'sクラブ自衛隊前ルーム</v>
      </c>
      <c r="AG8" s="26" t="str">
        <f t="shared" si="3"/>
        <v>こどもプラザ青い鳥宮の沢園</v>
      </c>
      <c r="AH8" s="26" t="str">
        <f t="shared" si="3"/>
        <v>たからの杜星置保育園</v>
      </c>
      <c r="AI8" s="26" t="str">
        <f t="shared" si="3"/>
        <v/>
      </c>
      <c r="AJ8" s="26" t="str">
        <f t="shared" si="3"/>
        <v/>
      </c>
      <c r="AK8" s="26" t="str">
        <f t="shared" si="3"/>
        <v/>
      </c>
      <c r="AL8" s="26" t="str">
        <f t="shared" si="3"/>
        <v/>
      </c>
      <c r="AM8" s="26" t="str">
        <f t="shared" si="3"/>
        <v>レーベンそらまめ琴似保育園</v>
      </c>
      <c r="AN8" s="26">
        <f t="shared" si="3"/>
        <v>0</v>
      </c>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DJ8" s="29"/>
    </row>
    <row r="9" spans="1:117">
      <c r="A9" s="55">
        <v>100058</v>
      </c>
      <c r="B9" s="53" t="s">
        <v>182</v>
      </c>
      <c r="C9" s="53" t="s">
        <v>451</v>
      </c>
      <c r="D9" s="53" t="s">
        <v>194</v>
      </c>
      <c r="E9" s="53" t="s">
        <v>181</v>
      </c>
      <c r="F9" s="54" t="s">
        <v>199</v>
      </c>
      <c r="G9" s="54"/>
      <c r="H9" s="54"/>
      <c r="I9" s="54"/>
      <c r="J9" s="53">
        <v>19</v>
      </c>
      <c r="K9" s="53">
        <v>0</v>
      </c>
      <c r="L9" s="53">
        <v>0</v>
      </c>
      <c r="M9" s="53">
        <v>2</v>
      </c>
      <c r="N9" s="53">
        <v>10</v>
      </c>
      <c r="O9" s="24">
        <f>SUM(テーブル1[[#This Row],[列11]:[列12]])</f>
        <v>12</v>
      </c>
      <c r="P9" s="54"/>
      <c r="Q9" s="54"/>
      <c r="R9" s="24">
        <f t="shared" si="1"/>
        <v>12</v>
      </c>
      <c r="S9" s="25">
        <f t="shared" si="2"/>
        <v>100058</v>
      </c>
      <c r="T9" s="25">
        <f>COUNTIF($V$4:V9,V9)</f>
        <v>6</v>
      </c>
      <c r="U9" s="25" t="str">
        <f>IF(T9=1,COUNTIF($T$4:T9,1),"")</f>
        <v/>
      </c>
      <c r="V9" s="26" t="str">
        <f>'施設状況(要更新)'!$E9&amp;'施設状況(要更新)'!$C9</f>
        <v>中央区04小規模A・B・C</v>
      </c>
      <c r="W9" s="26" t="str">
        <f>'施設状況(要更新)'!$F9</f>
        <v>ぴっころきっず円山公園</v>
      </c>
      <c r="X9" s="27">
        <v>5</v>
      </c>
      <c r="Y9" s="28" t="str">
        <f t="shared" si="4"/>
        <v>こどもプラザ青い鳥円山園</v>
      </c>
      <c r="Z9" s="26" t="str">
        <f t="shared" si="3"/>
        <v>バンビ保育園</v>
      </c>
      <c r="AA9" s="26" t="str">
        <f t="shared" si="3"/>
        <v>すこやか保育園北海道</v>
      </c>
      <c r="AB9" s="26" t="str">
        <f t="shared" si="3"/>
        <v>大藤子ども園しらかば館</v>
      </c>
      <c r="AC9" s="26" t="str">
        <f t="shared" si="3"/>
        <v>ひばりが丘あんさんぶる保育園</v>
      </c>
      <c r="AD9" s="26" t="str">
        <f t="shared" si="3"/>
        <v>美晴の家保育園</v>
      </c>
      <c r="AE9" s="26" t="str">
        <f t="shared" si="3"/>
        <v>まんまる保育園</v>
      </c>
      <c r="AF9" s="26" t="str">
        <f t="shared" si="3"/>
        <v>ふれ愛澄川南保育園</v>
      </c>
      <c r="AG9" s="26" t="str">
        <f t="shared" si="3"/>
        <v>西町にじのいろ保育園</v>
      </c>
      <c r="AH9" s="26" t="str">
        <f t="shared" si="3"/>
        <v>富丘ニンニン保育園</v>
      </c>
      <c r="AI9" s="26" t="str">
        <f t="shared" si="3"/>
        <v/>
      </c>
      <c r="AJ9" s="26" t="str">
        <f t="shared" si="3"/>
        <v/>
      </c>
      <c r="AK9" s="26" t="str">
        <f t="shared" si="3"/>
        <v/>
      </c>
      <c r="AL9" s="26" t="str">
        <f t="shared" si="3"/>
        <v/>
      </c>
      <c r="AM9" s="26" t="str">
        <f t="shared" si="3"/>
        <v/>
      </c>
      <c r="AN9" s="26">
        <f t="shared" si="3"/>
        <v>0</v>
      </c>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DJ9" s="29"/>
    </row>
    <row r="10" spans="1:117">
      <c r="A10" s="55">
        <v>100059</v>
      </c>
      <c r="B10" s="53" t="s">
        <v>182</v>
      </c>
      <c r="C10" s="53" t="s">
        <v>451</v>
      </c>
      <c r="D10" s="53" t="s">
        <v>194</v>
      </c>
      <c r="E10" s="53" t="s">
        <v>181</v>
      </c>
      <c r="F10" s="54" t="s">
        <v>200</v>
      </c>
      <c r="G10" s="54"/>
      <c r="H10" s="54"/>
      <c r="I10" s="54"/>
      <c r="J10" s="53">
        <v>19</v>
      </c>
      <c r="K10" s="53">
        <v>0</v>
      </c>
      <c r="L10" s="53">
        <v>0</v>
      </c>
      <c r="M10" s="53">
        <v>1</v>
      </c>
      <c r="N10" s="53">
        <v>11</v>
      </c>
      <c r="O10" s="24">
        <f>SUM(テーブル1[[#This Row],[列11]:[列12]])</f>
        <v>12</v>
      </c>
      <c r="P10" s="54"/>
      <c r="Q10" s="54"/>
      <c r="R10" s="24">
        <f t="shared" si="1"/>
        <v>12</v>
      </c>
      <c r="S10" s="25">
        <f t="shared" si="2"/>
        <v>100059</v>
      </c>
      <c r="T10" s="25">
        <f>COUNTIF($V$4:V10,V10)</f>
        <v>7</v>
      </c>
      <c r="U10" s="25" t="str">
        <f>IF(T10=1,COUNTIF($T$4:T10,1),"")</f>
        <v/>
      </c>
      <c r="V10" s="26" t="str">
        <f>'施設状況(要更新)'!$E10&amp;'施設状況(要更新)'!$C10</f>
        <v>中央区04小規模A・B・C</v>
      </c>
      <c r="W10" s="26" t="str">
        <f>'施設状況(要更新)'!$F10</f>
        <v>ぴっころきっず円山裏参道</v>
      </c>
      <c r="X10" s="27">
        <v>6</v>
      </c>
      <c r="Y10" s="28" t="str">
        <f t="shared" si="4"/>
        <v>ぴっころきっず円山公園</v>
      </c>
      <c r="Z10" s="26" t="str">
        <f t="shared" si="4"/>
        <v>北２４条はぐはぐ乳児保育園</v>
      </c>
      <c r="AA10" s="26" t="str">
        <f t="shared" si="4"/>
        <v>おりーぶべりー保育園</v>
      </c>
      <c r="AB10" s="26" t="str">
        <f t="shared" si="4"/>
        <v>にこまるえん東白石</v>
      </c>
      <c r="AC10" s="26" t="str">
        <f t="shared" si="4"/>
        <v>厚別西クレヨン保育園</v>
      </c>
      <c r="AD10" s="26" t="str">
        <f t="shared" si="4"/>
        <v>ナーサリーゆめの木</v>
      </c>
      <c r="AE10" s="26" t="str">
        <f t="shared" si="4"/>
        <v>小規模保育園mirea</v>
      </c>
      <c r="AF10" s="26" t="str">
        <f t="shared" si="4"/>
        <v>木育こどもの家藤野園</v>
      </c>
      <c r="AG10" s="26" t="str">
        <f t="shared" si="4"/>
        <v>はぐはぐ乳児保育園</v>
      </c>
      <c r="AH10" s="26" t="str">
        <f t="shared" si="4"/>
        <v>さら～れ保育園富丘園</v>
      </c>
      <c r="AI10" s="26" t="str">
        <f t="shared" si="4"/>
        <v/>
      </c>
      <c r="AJ10" s="26" t="str">
        <f t="shared" si="4"/>
        <v/>
      </c>
      <c r="AK10" s="26" t="str">
        <f t="shared" si="4"/>
        <v/>
      </c>
      <c r="AL10" s="26" t="str">
        <f t="shared" si="4"/>
        <v/>
      </c>
      <c r="AM10" s="26" t="str">
        <f t="shared" si="4"/>
        <v/>
      </c>
      <c r="AN10" s="26">
        <f t="shared" si="4"/>
        <v>0</v>
      </c>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DJ10" s="29"/>
    </row>
    <row r="11" spans="1:117">
      <c r="A11" s="55">
        <v>100061</v>
      </c>
      <c r="B11" s="53" t="s">
        <v>182</v>
      </c>
      <c r="C11" s="53" t="s">
        <v>451</v>
      </c>
      <c r="D11" s="53" t="s">
        <v>194</v>
      </c>
      <c r="E11" s="53" t="s">
        <v>181</v>
      </c>
      <c r="F11" s="54" t="s">
        <v>202</v>
      </c>
      <c r="G11" s="54"/>
      <c r="H11" s="54"/>
      <c r="I11" s="54"/>
      <c r="J11" s="53">
        <v>19</v>
      </c>
      <c r="K11" s="53">
        <v>0</v>
      </c>
      <c r="L11" s="53">
        <v>0</v>
      </c>
      <c r="M11" s="53">
        <v>3</v>
      </c>
      <c r="N11" s="53">
        <v>16</v>
      </c>
      <c r="O11" s="24">
        <f>SUM(テーブル1[[#This Row],[列11]:[列12]])</f>
        <v>19</v>
      </c>
      <c r="P11" s="54"/>
      <c r="Q11" s="54"/>
      <c r="R11" s="24">
        <f t="shared" si="1"/>
        <v>19</v>
      </c>
      <c r="S11" s="25">
        <f t="shared" si="2"/>
        <v>100061</v>
      </c>
      <c r="T11" s="25">
        <f>COUNTIF($V$4:V11,V11)</f>
        <v>8</v>
      </c>
      <c r="U11" s="25" t="str">
        <f>IF(T11=1,COUNTIF($T$4:T11,1),"")</f>
        <v/>
      </c>
      <c r="V11" s="26" t="str">
        <f>'施設状況(要更新)'!$E11&amp;'施設状況(要更新)'!$C11</f>
        <v>中央区04小規模A・B・C</v>
      </c>
      <c r="W11" s="26" t="str">
        <f>'施設状況(要更新)'!$F11</f>
        <v>伏見すみれ保育園</v>
      </c>
      <c r="X11" s="27">
        <v>7</v>
      </c>
      <c r="Y11" s="28" t="str">
        <f t="shared" si="4"/>
        <v>ぴっころきっず円山裏参道</v>
      </c>
      <c r="Z11" s="26" t="str">
        <f t="shared" si="4"/>
        <v>太平桜の花保育園</v>
      </c>
      <c r="AA11" s="26" t="str">
        <f t="shared" si="4"/>
        <v>栄町みつばち保育園</v>
      </c>
      <c r="AB11" s="26" t="str">
        <f t="shared" si="4"/>
        <v>保育ママだんだん</v>
      </c>
      <c r="AC11" s="26" t="str">
        <f t="shared" si="4"/>
        <v/>
      </c>
      <c r="AD11" s="26" t="str">
        <f t="shared" si="4"/>
        <v>ペガサス</v>
      </c>
      <c r="AE11" s="26" t="str">
        <f t="shared" si="4"/>
        <v/>
      </c>
      <c r="AF11" s="26" t="str">
        <f t="shared" si="4"/>
        <v>澄川いちご保育園</v>
      </c>
      <c r="AG11" s="26" t="str">
        <f t="shared" si="4"/>
        <v>八軒あじさい保育園</v>
      </c>
      <c r="AH11" s="26" t="str">
        <f t="shared" si="4"/>
        <v>キラキラ乳児保育園</v>
      </c>
      <c r="AI11" s="26" t="str">
        <f t="shared" si="4"/>
        <v/>
      </c>
      <c r="AJ11" s="26" t="str">
        <f t="shared" si="4"/>
        <v/>
      </c>
      <c r="AK11" s="26" t="str">
        <f t="shared" si="4"/>
        <v/>
      </c>
      <c r="AL11" s="26" t="str">
        <f t="shared" si="4"/>
        <v/>
      </c>
      <c r="AM11" s="26" t="str">
        <f t="shared" si="4"/>
        <v/>
      </c>
      <c r="AN11" s="26">
        <f t="shared" si="4"/>
        <v>0</v>
      </c>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DJ11" s="29"/>
    </row>
    <row r="12" spans="1:117">
      <c r="A12" s="55">
        <v>100076</v>
      </c>
      <c r="B12" s="53" t="s">
        <v>182</v>
      </c>
      <c r="C12" s="53" t="s">
        <v>451</v>
      </c>
      <c r="D12" s="53" t="s">
        <v>194</v>
      </c>
      <c r="E12" s="53" t="s">
        <v>181</v>
      </c>
      <c r="F12" s="54" t="s">
        <v>835</v>
      </c>
      <c r="G12" s="54"/>
      <c r="H12" s="54"/>
      <c r="I12" s="54"/>
      <c r="J12" s="53">
        <v>19</v>
      </c>
      <c r="K12" s="53">
        <v>0</v>
      </c>
      <c r="L12" s="53">
        <v>0</v>
      </c>
      <c r="M12" s="53">
        <v>3</v>
      </c>
      <c r="N12" s="53">
        <v>16</v>
      </c>
      <c r="O12" s="24">
        <f>SUM(テーブル1[[#This Row],[列11]:[列12]])</f>
        <v>19</v>
      </c>
      <c r="P12" s="54"/>
      <c r="Q12" s="54"/>
      <c r="R12" s="24">
        <f t="shared" si="1"/>
        <v>19</v>
      </c>
      <c r="S12" s="25">
        <f t="shared" si="2"/>
        <v>100076</v>
      </c>
      <c r="T12" s="25">
        <f>COUNTIF($V$4:V12,V12)</f>
        <v>9</v>
      </c>
      <c r="U12" s="25" t="str">
        <f>IF(T12=1,COUNTIF($T$4:T12,1),"")</f>
        <v/>
      </c>
      <c r="V12" s="26" t="str">
        <f>'施設状況(要更新)'!$E12&amp;'施設状況(要更新)'!$C12</f>
        <v>中央区04小規模A・B・C</v>
      </c>
      <c r="W12" s="26" t="str">
        <f>'施設状況(要更新)'!$F12</f>
        <v>カトリック聖園てんしのおうち</v>
      </c>
      <c r="X12" s="27">
        <v>8</v>
      </c>
      <c r="Y12" s="28" t="str">
        <f t="shared" si="4"/>
        <v>伏見すみれ保育園</v>
      </c>
      <c r="Z12" s="26" t="str">
        <f t="shared" si="4"/>
        <v>麻生アンジェロ保育園</v>
      </c>
      <c r="AA12" s="26" t="str">
        <f t="shared" si="4"/>
        <v>あうら元町乳児保育園</v>
      </c>
      <c r="AB12" s="26" t="str">
        <f t="shared" si="4"/>
        <v>白石よつば保育園</v>
      </c>
      <c r="AC12" s="26" t="str">
        <f t="shared" si="4"/>
        <v/>
      </c>
      <c r="AD12" s="26" t="str">
        <f t="shared" si="4"/>
        <v>札幌じけい保育園</v>
      </c>
      <c r="AE12" s="26" t="str">
        <f t="shared" si="4"/>
        <v/>
      </c>
      <c r="AF12" s="26" t="str">
        <f t="shared" si="4"/>
        <v>澄川まんまる保育園</v>
      </c>
      <c r="AG12" s="26" t="str">
        <f t="shared" si="4"/>
        <v>西野にじのいろ保育園</v>
      </c>
      <c r="AH12" s="26" t="str">
        <f t="shared" si="4"/>
        <v>さら～れ保育園前田園</v>
      </c>
      <c r="AI12" s="26" t="str">
        <f t="shared" si="4"/>
        <v/>
      </c>
      <c r="AJ12" s="26" t="str">
        <f t="shared" si="4"/>
        <v/>
      </c>
      <c r="AK12" s="26" t="str">
        <f t="shared" si="4"/>
        <v/>
      </c>
      <c r="AL12" s="26" t="str">
        <f t="shared" si="4"/>
        <v/>
      </c>
      <c r="AM12" s="26" t="str">
        <f t="shared" si="4"/>
        <v/>
      </c>
      <c r="AN12" s="26">
        <f t="shared" si="4"/>
        <v>0</v>
      </c>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DJ12" s="29"/>
    </row>
    <row r="13" spans="1:117">
      <c r="A13" s="55">
        <v>100060</v>
      </c>
      <c r="B13" s="53" t="s">
        <v>182</v>
      </c>
      <c r="C13" s="53" t="s">
        <v>451</v>
      </c>
      <c r="D13" s="53" t="s">
        <v>194</v>
      </c>
      <c r="E13" s="53" t="s">
        <v>181</v>
      </c>
      <c r="F13" s="54" t="s">
        <v>201</v>
      </c>
      <c r="G13" s="54"/>
      <c r="H13" s="54"/>
      <c r="I13" s="54"/>
      <c r="J13" s="53">
        <v>12</v>
      </c>
      <c r="K13" s="53">
        <v>0</v>
      </c>
      <c r="L13" s="53">
        <v>0</v>
      </c>
      <c r="M13" s="53">
        <v>4</v>
      </c>
      <c r="N13" s="53">
        <v>8</v>
      </c>
      <c r="O13" s="24">
        <f>SUM(テーブル1[[#This Row],[列11]:[列12]])</f>
        <v>12</v>
      </c>
      <c r="P13" s="54"/>
      <c r="Q13" s="54"/>
      <c r="R13" s="24">
        <f t="shared" si="1"/>
        <v>12</v>
      </c>
      <c r="S13" s="25">
        <f t="shared" si="2"/>
        <v>100060</v>
      </c>
      <c r="T13" s="25">
        <f>COUNTIF($V$4:V13,V13)</f>
        <v>10</v>
      </c>
      <c r="U13" s="25" t="str">
        <f>IF(T13=1,COUNTIF($T$4:T13,1),"")</f>
        <v/>
      </c>
      <c r="V13" s="26" t="str">
        <f>'施設状況(要更新)'!$E13&amp;'施設状況(要更新)'!$C13</f>
        <v>中央区04小規模A・B・C</v>
      </c>
      <c r="W13" s="26" t="str">
        <f>'施設状況(要更新)'!$F13</f>
        <v>おーるまいてぃ円山保育室</v>
      </c>
      <c r="X13" s="27">
        <v>9</v>
      </c>
      <c r="Y13" s="28" t="str">
        <f t="shared" si="4"/>
        <v>カトリック聖園てんしのおうち</v>
      </c>
      <c r="Z13" s="26" t="str">
        <f t="shared" si="4"/>
        <v>プチトマト保育室</v>
      </c>
      <c r="AA13" s="26" t="str">
        <f t="shared" si="4"/>
        <v>苗穂みらいのたね</v>
      </c>
      <c r="AB13" s="26" t="str">
        <f t="shared" si="4"/>
        <v>にこまるえん南郷</v>
      </c>
      <c r="AC13" s="26" t="str">
        <f t="shared" si="4"/>
        <v/>
      </c>
      <c r="AD13" s="26" t="str">
        <f t="shared" si="4"/>
        <v>美園よつば保育園</v>
      </c>
      <c r="AE13" s="26" t="str">
        <f t="shared" si="4"/>
        <v/>
      </c>
      <c r="AF13" s="26" t="str">
        <f t="shared" si="4"/>
        <v>ちゅうわ南保育園</v>
      </c>
      <c r="AG13" s="26" t="str">
        <f t="shared" si="4"/>
        <v>発寒みらいのたね</v>
      </c>
      <c r="AH13" s="26" t="str">
        <f t="shared" si="4"/>
        <v>Ｓ．Ｔ．ナーサリーＳＣＨＯＯＬ手稲前田</v>
      </c>
      <c r="AI13" s="26" t="str">
        <f t="shared" si="4"/>
        <v/>
      </c>
      <c r="AJ13" s="26" t="str">
        <f t="shared" si="4"/>
        <v/>
      </c>
      <c r="AK13" s="26" t="str">
        <f t="shared" si="4"/>
        <v/>
      </c>
      <c r="AL13" s="26" t="str">
        <f t="shared" si="4"/>
        <v/>
      </c>
      <c r="AM13" s="26" t="str">
        <f t="shared" si="4"/>
        <v/>
      </c>
      <c r="AN13" s="26">
        <f t="shared" si="4"/>
        <v>0</v>
      </c>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DJ13" s="29"/>
    </row>
    <row r="14" spans="1:117">
      <c r="A14" s="55">
        <v>100072</v>
      </c>
      <c r="B14" s="53" t="s">
        <v>182</v>
      </c>
      <c r="C14" s="53" t="s">
        <v>451</v>
      </c>
      <c r="D14" s="53" t="s">
        <v>194</v>
      </c>
      <c r="E14" s="53" t="s">
        <v>181</v>
      </c>
      <c r="F14" s="54" t="s">
        <v>206</v>
      </c>
      <c r="G14" s="54"/>
      <c r="H14" s="54"/>
      <c r="I14" s="54"/>
      <c r="J14" s="53">
        <v>14</v>
      </c>
      <c r="K14" s="53">
        <v>0</v>
      </c>
      <c r="L14" s="53">
        <v>0</v>
      </c>
      <c r="M14" s="53">
        <v>2</v>
      </c>
      <c r="N14" s="53">
        <v>10</v>
      </c>
      <c r="O14" s="24">
        <f>SUM(テーブル1[[#This Row],[列11]:[列12]])</f>
        <v>12</v>
      </c>
      <c r="P14" s="54"/>
      <c r="Q14" s="54"/>
      <c r="R14" s="24">
        <f t="shared" si="1"/>
        <v>12</v>
      </c>
      <c r="S14" s="25">
        <f t="shared" si="2"/>
        <v>100072</v>
      </c>
      <c r="T14" s="25">
        <f>COUNTIF($V$4:V14,V14)</f>
        <v>11</v>
      </c>
      <c r="U14" s="25" t="str">
        <f>IF(T14=1,COUNTIF($T$4:T14,1),"")</f>
        <v/>
      </c>
      <c r="V14" s="26" t="str">
        <f>'施設状況(要更新)'!$E14&amp;'施設状況(要更新)'!$C14</f>
        <v>中央区04小規模A・B・C</v>
      </c>
      <c r="W14" s="26" t="str">
        <f>'施設状況(要更新)'!$F14</f>
        <v>札幌モンテッソーリこどもの家</v>
      </c>
      <c r="X14" s="27">
        <v>10</v>
      </c>
      <c r="Y14" s="28" t="str">
        <f t="shared" si="4"/>
        <v>おーるまいてぃ円山保育室</v>
      </c>
      <c r="Z14" s="26" t="str">
        <f t="shared" si="4"/>
        <v>オリオン</v>
      </c>
      <c r="AA14" s="26" t="str">
        <f t="shared" si="4"/>
        <v>こくあの彩保育園</v>
      </c>
      <c r="AB14" s="26" t="str">
        <f t="shared" si="4"/>
        <v>もりのなかま保育園菊水元町園</v>
      </c>
      <c r="AC14" s="26" t="str">
        <f t="shared" si="4"/>
        <v/>
      </c>
      <c r="AD14" s="26" t="str">
        <f t="shared" si="4"/>
        <v>平岸オレンジ保育園</v>
      </c>
      <c r="AE14" s="26" t="str">
        <f t="shared" si="4"/>
        <v/>
      </c>
      <c r="AF14" s="26" t="str">
        <f t="shared" si="4"/>
        <v>Ｓ．Ｔ．ナーサリーＳＣＨＯＯＬ藤野</v>
      </c>
      <c r="AG14" s="26" t="str">
        <f t="shared" si="4"/>
        <v>こぐまハウス</v>
      </c>
      <c r="AH14" s="26" t="str">
        <f t="shared" si="4"/>
        <v/>
      </c>
      <c r="AI14" s="26" t="str">
        <f t="shared" si="4"/>
        <v/>
      </c>
      <c r="AJ14" s="26" t="str">
        <f t="shared" si="4"/>
        <v/>
      </c>
      <c r="AK14" s="26" t="str">
        <f t="shared" si="4"/>
        <v/>
      </c>
      <c r="AL14" s="26" t="str">
        <f t="shared" si="4"/>
        <v/>
      </c>
      <c r="AM14" s="26" t="str">
        <f t="shared" si="4"/>
        <v/>
      </c>
      <c r="AN14" s="26">
        <f t="shared" si="4"/>
        <v>0</v>
      </c>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DJ14" s="29"/>
    </row>
    <row r="15" spans="1:117">
      <c r="A15" s="55">
        <v>100047</v>
      </c>
      <c r="B15" s="53" t="s">
        <v>182</v>
      </c>
      <c r="C15" s="53" t="s">
        <v>451</v>
      </c>
      <c r="D15" s="53" t="s">
        <v>194</v>
      </c>
      <c r="E15" s="53" t="s">
        <v>181</v>
      </c>
      <c r="F15" s="54" t="s">
        <v>197</v>
      </c>
      <c r="G15" s="54"/>
      <c r="H15" s="54"/>
      <c r="I15" s="54"/>
      <c r="J15" s="53">
        <v>10</v>
      </c>
      <c r="K15" s="53">
        <v>0</v>
      </c>
      <c r="L15" s="53">
        <v>0</v>
      </c>
      <c r="M15" s="53">
        <v>3</v>
      </c>
      <c r="N15" s="53">
        <v>7</v>
      </c>
      <c r="O15" s="24">
        <f>SUM(テーブル1[[#This Row],[列11]:[列12]])</f>
        <v>10</v>
      </c>
      <c r="P15" s="54"/>
      <c r="Q15" s="54"/>
      <c r="R15" s="24">
        <f t="shared" si="1"/>
        <v>10</v>
      </c>
      <c r="S15" s="25">
        <f t="shared" si="2"/>
        <v>100047</v>
      </c>
      <c r="T15" s="25">
        <f>COUNTIF($V$4:V15,V15)</f>
        <v>12</v>
      </c>
      <c r="U15" s="25" t="str">
        <f>IF(T15=1,COUNTIF($T$4:T15,1),"")</f>
        <v/>
      </c>
      <c r="V15" s="26" t="str">
        <f>'施設状況(要更新)'!$E15&amp;'施設状況(要更新)'!$C15</f>
        <v>中央区04小規模A・B・C</v>
      </c>
      <c r="W15" s="26" t="str">
        <f>'施設状況(要更新)'!$F15</f>
        <v>保育室ぱすてる</v>
      </c>
      <c r="X15" s="27">
        <v>11</v>
      </c>
      <c r="Y15" s="28" t="str">
        <f t="shared" si="4"/>
        <v>札幌モンテッソーリこどもの家</v>
      </c>
      <c r="Z15" s="26" t="str">
        <f t="shared" si="4"/>
        <v>木育こどもの家屯田園</v>
      </c>
      <c r="AA15" s="26" t="str">
        <f t="shared" si="4"/>
        <v>カシオペア</v>
      </c>
      <c r="AB15" s="26" t="str">
        <f t="shared" si="4"/>
        <v>ちゅうわ南郷保育園</v>
      </c>
      <c r="AC15" s="26" t="str">
        <f t="shared" si="4"/>
        <v/>
      </c>
      <c r="AD15" s="26" t="str">
        <f t="shared" si="4"/>
        <v>えとわーる保育園</v>
      </c>
      <c r="AE15" s="26" t="str">
        <f t="shared" si="4"/>
        <v/>
      </c>
      <c r="AF15" s="26" t="str">
        <f t="shared" si="4"/>
        <v/>
      </c>
      <c r="AG15" s="26" t="str">
        <f t="shared" si="4"/>
        <v>森のタータン保育園マール</v>
      </c>
      <c r="AH15" s="26" t="str">
        <f t="shared" si="4"/>
        <v/>
      </c>
      <c r="AI15" s="26" t="str">
        <f t="shared" si="4"/>
        <v/>
      </c>
      <c r="AJ15" s="26" t="str">
        <f t="shared" si="4"/>
        <v/>
      </c>
      <c r="AK15" s="26" t="str">
        <f t="shared" si="4"/>
        <v/>
      </c>
      <c r="AL15" s="26" t="str">
        <f t="shared" si="4"/>
        <v/>
      </c>
      <c r="AM15" s="26" t="str">
        <f t="shared" si="4"/>
        <v/>
      </c>
      <c r="AN15" s="26">
        <f t="shared" si="4"/>
        <v>0</v>
      </c>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DJ15" s="29"/>
    </row>
    <row r="16" spans="1:117">
      <c r="A16" s="55">
        <v>100071</v>
      </c>
      <c r="B16" s="53" t="s">
        <v>182</v>
      </c>
      <c r="C16" s="53" t="s">
        <v>451</v>
      </c>
      <c r="D16" s="53" t="s">
        <v>194</v>
      </c>
      <c r="E16" s="53" t="s">
        <v>181</v>
      </c>
      <c r="F16" s="54" t="s">
        <v>205</v>
      </c>
      <c r="G16" s="54"/>
      <c r="H16" s="54"/>
      <c r="I16" s="54"/>
      <c r="J16" s="53">
        <v>19</v>
      </c>
      <c r="K16" s="53">
        <v>0</v>
      </c>
      <c r="L16" s="53">
        <v>0</v>
      </c>
      <c r="M16" s="53">
        <v>3</v>
      </c>
      <c r="N16" s="53">
        <v>9</v>
      </c>
      <c r="O16" s="24">
        <f>SUM(テーブル1[[#This Row],[列11]:[列12]])</f>
        <v>12</v>
      </c>
      <c r="P16" s="54"/>
      <c r="Q16" s="54"/>
      <c r="R16" s="24">
        <f t="shared" si="1"/>
        <v>12</v>
      </c>
      <c r="S16" s="25">
        <f t="shared" si="2"/>
        <v>100071</v>
      </c>
      <c r="T16" s="25">
        <f>COUNTIF($V$4:V16,V16)</f>
        <v>13</v>
      </c>
      <c r="U16" s="25" t="str">
        <f>IF(T16=1,COUNTIF($T$4:T16,1),"")</f>
        <v/>
      </c>
      <c r="V16" s="26" t="str">
        <f>'施設状況(要更新)'!$E16&amp;'施設状況(要更新)'!$C16</f>
        <v>中央区04小規模A・B・C</v>
      </c>
      <c r="W16" s="26" t="str">
        <f>'施設状況(要更新)'!$F16</f>
        <v>ぴっころきっず中島公園</v>
      </c>
      <c r="X16" s="27">
        <v>12</v>
      </c>
      <c r="Y16" s="28" t="str">
        <f t="shared" si="4"/>
        <v>保育室ぱすてる</v>
      </c>
      <c r="Z16" s="26" t="str">
        <f t="shared" si="4"/>
        <v>きずな新琴似保育園</v>
      </c>
      <c r="AA16" s="26" t="str">
        <f t="shared" si="4"/>
        <v>あんあん乳児保育園環状通東ルーム</v>
      </c>
      <c r="AB16" s="26" t="str">
        <f t="shared" si="4"/>
        <v>木育こどもの家白石園</v>
      </c>
      <c r="AC16" s="26" t="str">
        <f t="shared" si="4"/>
        <v/>
      </c>
      <c r="AD16" s="26" t="str">
        <f t="shared" si="4"/>
        <v>レーベン美園保育園</v>
      </c>
      <c r="AE16" s="26" t="str">
        <f t="shared" si="4"/>
        <v/>
      </c>
      <c r="AF16" s="26" t="str">
        <f t="shared" si="4"/>
        <v/>
      </c>
      <c r="AG16" s="26" t="str">
        <f t="shared" si="4"/>
        <v>宮の沢みらいのたね</v>
      </c>
      <c r="AH16" s="26" t="str">
        <f t="shared" si="4"/>
        <v/>
      </c>
      <c r="AI16" s="26" t="str">
        <f t="shared" si="4"/>
        <v/>
      </c>
      <c r="AJ16" s="26" t="str">
        <f t="shared" si="4"/>
        <v/>
      </c>
      <c r="AK16" s="26" t="str">
        <f t="shared" si="4"/>
        <v/>
      </c>
      <c r="AL16" s="26" t="str">
        <f t="shared" si="4"/>
        <v/>
      </c>
      <c r="AM16" s="26" t="str">
        <f t="shared" si="4"/>
        <v/>
      </c>
      <c r="AN16" s="26">
        <f t="shared" si="4"/>
        <v>0</v>
      </c>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DJ16" s="29"/>
    </row>
    <row r="17" spans="1:114">
      <c r="A17" s="55">
        <v>100070</v>
      </c>
      <c r="B17" s="53" t="s">
        <v>182</v>
      </c>
      <c r="C17" s="53" t="s">
        <v>451</v>
      </c>
      <c r="D17" s="53" t="s">
        <v>194</v>
      </c>
      <c r="E17" s="53" t="s">
        <v>181</v>
      </c>
      <c r="F17" s="54" t="s">
        <v>204</v>
      </c>
      <c r="G17" s="54"/>
      <c r="H17" s="54"/>
      <c r="I17" s="54"/>
      <c r="J17" s="53">
        <v>19</v>
      </c>
      <c r="K17" s="53">
        <v>0</v>
      </c>
      <c r="L17" s="53">
        <v>0</v>
      </c>
      <c r="M17" s="53">
        <v>3</v>
      </c>
      <c r="N17" s="53">
        <v>16</v>
      </c>
      <c r="O17" s="24">
        <f>SUM(テーブル1[[#This Row],[列11]:[列12]])</f>
        <v>19</v>
      </c>
      <c r="P17" s="54"/>
      <c r="Q17" s="54"/>
      <c r="R17" s="24">
        <f t="shared" si="1"/>
        <v>19</v>
      </c>
      <c r="S17" s="25">
        <f t="shared" si="2"/>
        <v>100070</v>
      </c>
      <c r="T17" s="25">
        <f>COUNTIF($V$4:V17,V17)</f>
        <v>14</v>
      </c>
      <c r="U17" s="25" t="str">
        <f>IF(T17=1,COUNTIF($T$4:T17,1),"")</f>
        <v/>
      </c>
      <c r="V17" s="26" t="str">
        <f>'施設状況(要更新)'!$E17&amp;'施設状況(要更新)'!$C17</f>
        <v>中央区04小規模A・B・C</v>
      </c>
      <c r="W17" s="26" t="str">
        <f>'施設状況(要更新)'!$F17</f>
        <v>山鼻にじのいろ保育園</v>
      </c>
      <c r="X17" s="27">
        <v>13</v>
      </c>
      <c r="Y17" s="28" t="str">
        <f t="shared" si="4"/>
        <v>ぴっころきっず中島公園</v>
      </c>
      <c r="Z17" s="26" t="str">
        <f t="shared" si="4"/>
        <v>アートチャイルドケア札幌あいの里保育園</v>
      </c>
      <c r="AA17" s="26" t="str">
        <f t="shared" si="4"/>
        <v>北７条はな保育園</v>
      </c>
      <c r="AB17" s="26" t="str">
        <f t="shared" si="4"/>
        <v/>
      </c>
      <c r="AC17" s="26" t="str">
        <f t="shared" si="4"/>
        <v/>
      </c>
      <c r="AD17" s="26" t="str">
        <f t="shared" si="4"/>
        <v>あんあん保育園福住ルーム</v>
      </c>
      <c r="AE17" s="26" t="str">
        <f t="shared" si="4"/>
        <v/>
      </c>
      <c r="AF17" s="26" t="str">
        <f t="shared" si="4"/>
        <v/>
      </c>
      <c r="AG17" s="26" t="str">
        <f t="shared" si="4"/>
        <v>発寒にじのいろ保育園</v>
      </c>
      <c r="AH17" s="26" t="str">
        <f t="shared" si="4"/>
        <v/>
      </c>
      <c r="AI17" s="26" t="str">
        <f t="shared" si="4"/>
        <v/>
      </c>
      <c r="AJ17" s="26" t="str">
        <f t="shared" si="4"/>
        <v/>
      </c>
      <c r="AK17" s="26" t="str">
        <f t="shared" si="4"/>
        <v/>
      </c>
      <c r="AL17" s="26" t="str">
        <f t="shared" si="4"/>
        <v/>
      </c>
      <c r="AM17" s="26" t="str">
        <f t="shared" si="4"/>
        <v/>
      </c>
      <c r="AN17" s="26">
        <f t="shared" si="4"/>
        <v>0</v>
      </c>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DJ17" s="29"/>
    </row>
    <row r="18" spans="1:114">
      <c r="A18" s="55">
        <v>100069</v>
      </c>
      <c r="B18" s="53" t="s">
        <v>182</v>
      </c>
      <c r="C18" s="53" t="s">
        <v>451</v>
      </c>
      <c r="D18" s="53" t="s">
        <v>194</v>
      </c>
      <c r="E18" s="53" t="s">
        <v>181</v>
      </c>
      <c r="F18" s="54" t="s">
        <v>203</v>
      </c>
      <c r="G18" s="54"/>
      <c r="H18" s="54"/>
      <c r="I18" s="54"/>
      <c r="J18" s="53">
        <v>19</v>
      </c>
      <c r="K18" s="53">
        <v>0</v>
      </c>
      <c r="L18" s="53">
        <v>0</v>
      </c>
      <c r="M18" s="53">
        <v>4</v>
      </c>
      <c r="N18" s="53">
        <v>8</v>
      </c>
      <c r="O18" s="24">
        <f>SUM(テーブル1[[#This Row],[列11]:[列12]])</f>
        <v>12</v>
      </c>
      <c r="P18" s="54"/>
      <c r="Q18" s="54"/>
      <c r="R18" s="24">
        <f t="shared" si="1"/>
        <v>12</v>
      </c>
      <c r="S18" s="25">
        <f t="shared" si="2"/>
        <v>100069</v>
      </c>
      <c r="T18" s="25">
        <f>COUNTIF($V$4:V18,V18)</f>
        <v>15</v>
      </c>
      <c r="U18" s="25" t="str">
        <f>IF(T18=1,COUNTIF($T$4:T18,1),"")</f>
        <v/>
      </c>
      <c r="V18" s="26" t="str">
        <f>'施設状況(要更新)'!$E18&amp;'施設状況(要更新)'!$C18</f>
        <v>中央区04小規模A・B・C</v>
      </c>
      <c r="W18" s="26" t="str">
        <f>'施設状況(要更新)'!$F18</f>
        <v>もりのなかま保育園札幌山鼻園</v>
      </c>
      <c r="X18" s="27">
        <v>14</v>
      </c>
      <c r="Y18" s="28" t="str">
        <f t="shared" si="4"/>
        <v>山鼻にじのいろ保育園</v>
      </c>
      <c r="Z18" s="26" t="str">
        <f t="shared" si="4"/>
        <v>木育こどもの家新川園</v>
      </c>
      <c r="AA18" s="26" t="str">
        <f t="shared" si="4"/>
        <v/>
      </c>
      <c r="AB18" s="26" t="str">
        <f t="shared" si="4"/>
        <v/>
      </c>
      <c r="AC18" s="26" t="str">
        <f t="shared" si="4"/>
        <v/>
      </c>
      <c r="AD18" s="26" t="str">
        <f t="shared" si="4"/>
        <v>はるにれ保育園</v>
      </c>
      <c r="AE18" s="26" t="str">
        <f t="shared" si="4"/>
        <v/>
      </c>
      <c r="AF18" s="26" t="str">
        <f t="shared" si="4"/>
        <v/>
      </c>
      <c r="AG18" s="26" t="str">
        <f t="shared" si="4"/>
        <v>Ｓ．Ｔ．ナーサリーＳＣＨＯＯＬ八軒</v>
      </c>
      <c r="AH18" s="26" t="str">
        <f t="shared" si="4"/>
        <v/>
      </c>
      <c r="AI18" s="26" t="str">
        <f t="shared" si="4"/>
        <v/>
      </c>
      <c r="AJ18" s="26" t="str">
        <f t="shared" si="4"/>
        <v/>
      </c>
      <c r="AK18" s="26" t="str">
        <f t="shared" si="4"/>
        <v/>
      </c>
      <c r="AL18" s="26" t="str">
        <f t="shared" si="4"/>
        <v/>
      </c>
      <c r="AM18" s="26" t="str">
        <f t="shared" si="4"/>
        <v/>
      </c>
      <c r="AN18" s="26">
        <f t="shared" si="4"/>
        <v>0</v>
      </c>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DJ18" s="29"/>
    </row>
    <row r="19" spans="1:114">
      <c r="A19" s="55">
        <v>100073</v>
      </c>
      <c r="B19" s="53" t="s">
        <v>182</v>
      </c>
      <c r="C19" s="53" t="s">
        <v>451</v>
      </c>
      <c r="D19" s="53" t="s">
        <v>194</v>
      </c>
      <c r="E19" s="53" t="s">
        <v>181</v>
      </c>
      <c r="F19" s="54" t="s">
        <v>207</v>
      </c>
      <c r="G19" s="54"/>
      <c r="H19" s="54"/>
      <c r="I19" s="54"/>
      <c r="J19" s="53">
        <v>15</v>
      </c>
      <c r="K19" s="53">
        <v>0</v>
      </c>
      <c r="L19" s="53">
        <v>0</v>
      </c>
      <c r="M19" s="53">
        <v>3</v>
      </c>
      <c r="N19" s="53">
        <v>12</v>
      </c>
      <c r="O19" s="24">
        <f>SUM(テーブル1[[#This Row],[列11]:[列12]])</f>
        <v>15</v>
      </c>
      <c r="P19" s="54"/>
      <c r="Q19" s="54"/>
      <c r="R19" s="24">
        <f t="shared" si="1"/>
        <v>15</v>
      </c>
      <c r="S19" s="25">
        <f t="shared" si="2"/>
        <v>100073</v>
      </c>
      <c r="T19" s="25">
        <f>COUNTIF($V$4:V19,V19)</f>
        <v>16</v>
      </c>
      <c r="U19" s="25" t="str">
        <f>IF(T19=1,COUNTIF($T$4:T19,1),"")</f>
        <v/>
      </c>
      <c r="V19" s="26" t="str">
        <f>'施設状況(要更新)'!$E19&amp;'施設状況(要更新)'!$C19</f>
        <v>中央区04小規模A・B・C</v>
      </c>
      <c r="W19" s="26" t="str">
        <f>'施設状況(要更新)'!$F19</f>
        <v>スクルドエンジェル保育園北円山園</v>
      </c>
      <c r="X19" s="27">
        <v>15</v>
      </c>
      <c r="Y19" s="28" t="str">
        <f t="shared" si="4"/>
        <v>もりのなかま保育園札幌山鼻園</v>
      </c>
      <c r="Z19" s="26" t="str">
        <f t="shared" si="4"/>
        <v/>
      </c>
      <c r="AA19" s="26" t="str">
        <f t="shared" si="4"/>
        <v/>
      </c>
      <c r="AB19" s="26" t="str">
        <f t="shared" si="4"/>
        <v/>
      </c>
      <c r="AC19" s="26" t="str">
        <f t="shared" si="4"/>
        <v/>
      </c>
      <c r="AD19" s="26" t="str">
        <f t="shared" si="4"/>
        <v>とよひらる～む</v>
      </c>
      <c r="AE19" s="26" t="str">
        <f t="shared" si="4"/>
        <v/>
      </c>
      <c r="AF19" s="26" t="str">
        <f t="shared" si="4"/>
        <v/>
      </c>
      <c r="AG19" s="26" t="str">
        <f t="shared" si="4"/>
        <v>すまいる保育園</v>
      </c>
      <c r="AH19" s="26" t="str">
        <f t="shared" si="4"/>
        <v/>
      </c>
      <c r="AI19" s="26" t="str">
        <f t="shared" si="4"/>
        <v/>
      </c>
      <c r="AJ19" s="26" t="str">
        <f t="shared" si="4"/>
        <v/>
      </c>
      <c r="AK19" s="26" t="str">
        <f t="shared" si="4"/>
        <v/>
      </c>
      <c r="AL19" s="26" t="str">
        <f t="shared" si="4"/>
        <v/>
      </c>
      <c r="AM19" s="26" t="str">
        <f t="shared" si="4"/>
        <v/>
      </c>
      <c r="AN19" s="26">
        <f t="shared" si="4"/>
        <v>0</v>
      </c>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DJ19" s="29"/>
    </row>
    <row r="20" spans="1:114">
      <c r="A20" s="55">
        <v>100089</v>
      </c>
      <c r="B20" s="53" t="s">
        <v>182</v>
      </c>
      <c r="C20" s="53" t="s">
        <v>451</v>
      </c>
      <c r="D20" s="53" t="s">
        <v>194</v>
      </c>
      <c r="E20" s="53" t="s">
        <v>181</v>
      </c>
      <c r="F20" s="54" t="s">
        <v>836</v>
      </c>
      <c r="G20" s="54"/>
      <c r="H20" s="54"/>
      <c r="I20" s="54"/>
      <c r="J20" s="53">
        <v>19</v>
      </c>
      <c r="K20" s="53">
        <v>0</v>
      </c>
      <c r="L20" s="53">
        <v>0</v>
      </c>
      <c r="M20" s="53">
        <v>4</v>
      </c>
      <c r="N20" s="53">
        <v>8</v>
      </c>
      <c r="O20" s="24">
        <f>SUM(テーブル1[[#This Row],[列11]:[列12]])</f>
        <v>12</v>
      </c>
      <c r="P20" s="54"/>
      <c r="Q20" s="54"/>
      <c r="R20" s="24">
        <f t="shared" si="1"/>
        <v>12</v>
      </c>
      <c r="S20" s="25">
        <f t="shared" si="2"/>
        <v>100089</v>
      </c>
      <c r="T20" s="25">
        <f>COUNTIF($V$4:V20,V20)</f>
        <v>17</v>
      </c>
      <c r="U20" s="25" t="str">
        <f>IF(T20=1,COUNTIF($T$4:T20,1),"")</f>
        <v/>
      </c>
      <c r="V20" s="26" t="str">
        <f>'施設状況(要更新)'!$E20&amp;'施設状況(要更新)'!$C20</f>
        <v>中央区04小規模A・B・C</v>
      </c>
      <c r="W20" s="26" t="str">
        <f>'施設状況(要更新)'!$F20</f>
        <v>ひまわり保育園</v>
      </c>
      <c r="X20" s="27">
        <v>16</v>
      </c>
      <c r="Y20" s="28" t="str">
        <f t="shared" si="4"/>
        <v>スクルドエンジェル保育園北円山園</v>
      </c>
      <c r="Z20" s="26" t="str">
        <f t="shared" si="4"/>
        <v/>
      </c>
      <c r="AA20" s="26" t="str">
        <f t="shared" si="4"/>
        <v/>
      </c>
      <c r="AB20" s="26" t="str">
        <f t="shared" si="4"/>
        <v/>
      </c>
      <c r="AC20" s="26" t="str">
        <f t="shared" si="4"/>
        <v/>
      </c>
      <c r="AD20" s="26" t="str">
        <f t="shared" si="4"/>
        <v>さくらいろ保育園</v>
      </c>
      <c r="AE20" s="26" t="str">
        <f t="shared" si="4"/>
        <v/>
      </c>
      <c r="AF20" s="26" t="str">
        <f t="shared" si="4"/>
        <v/>
      </c>
      <c r="AG20" s="26" t="str">
        <f t="shared" si="4"/>
        <v/>
      </c>
      <c r="AH20" s="26" t="str">
        <f t="shared" si="4"/>
        <v/>
      </c>
      <c r="AI20" s="26" t="str">
        <f t="shared" si="4"/>
        <v/>
      </c>
      <c r="AJ20" s="26" t="str">
        <f t="shared" si="4"/>
        <v/>
      </c>
      <c r="AK20" s="26" t="str">
        <f t="shared" si="4"/>
        <v/>
      </c>
      <c r="AL20" s="26" t="str">
        <f t="shared" si="4"/>
        <v/>
      </c>
      <c r="AM20" s="26" t="str">
        <f t="shared" si="4"/>
        <v/>
      </c>
      <c r="AN20" s="26">
        <f t="shared" si="4"/>
        <v>0</v>
      </c>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DJ20" s="29"/>
    </row>
    <row r="21" spans="1:114">
      <c r="A21" s="55">
        <v>100090</v>
      </c>
      <c r="B21" s="53" t="s">
        <v>182</v>
      </c>
      <c r="C21" s="53" t="s">
        <v>451</v>
      </c>
      <c r="D21" s="53" t="s">
        <v>194</v>
      </c>
      <c r="E21" s="53" t="s">
        <v>181</v>
      </c>
      <c r="F21" s="54" t="s">
        <v>837</v>
      </c>
      <c r="G21" s="54"/>
      <c r="H21" s="54"/>
      <c r="I21" s="54"/>
      <c r="J21" s="53">
        <v>19</v>
      </c>
      <c r="K21" s="53">
        <v>0</v>
      </c>
      <c r="L21" s="53">
        <v>0</v>
      </c>
      <c r="M21" s="53">
        <v>2</v>
      </c>
      <c r="N21" s="53">
        <v>10</v>
      </c>
      <c r="O21" s="24">
        <f>SUM(テーブル1[[#This Row],[列11]:[列12]])</f>
        <v>12</v>
      </c>
      <c r="P21" s="54"/>
      <c r="Q21" s="54"/>
      <c r="R21" s="24">
        <f t="shared" si="1"/>
        <v>12</v>
      </c>
      <c r="S21" s="25">
        <f t="shared" si="2"/>
        <v>100090</v>
      </c>
      <c r="T21" s="25">
        <f>COUNTIF($V$4:V21,V21)</f>
        <v>18</v>
      </c>
      <c r="U21" s="25" t="str">
        <f>IF(T21=1,COUNTIF($T$4:T21,1),"")</f>
        <v/>
      </c>
      <c r="V21" s="26" t="str">
        <f>'施設状況(要更新)'!$E21&amp;'施設状況(要更新)'!$C21</f>
        <v>中央区04小規模A・B・C</v>
      </c>
      <c r="W21" s="26" t="str">
        <f>'施設状況(要更新)'!$F21</f>
        <v>おーるまいてぃ中央保育室</v>
      </c>
      <c r="X21" s="27">
        <v>17</v>
      </c>
      <c r="Y21" s="28" t="str">
        <f t="shared" si="4"/>
        <v>ひまわり保育園</v>
      </c>
      <c r="Z21" s="26" t="str">
        <f t="shared" si="4"/>
        <v/>
      </c>
      <c r="AA21" s="26" t="str">
        <f t="shared" si="4"/>
        <v/>
      </c>
      <c r="AB21" s="26" t="str">
        <f t="shared" si="4"/>
        <v/>
      </c>
      <c r="AC21" s="26" t="str">
        <f t="shared" si="4"/>
        <v/>
      </c>
      <c r="AD21" s="26" t="str">
        <f t="shared" si="4"/>
        <v>豊園よつば保育園</v>
      </c>
      <c r="AE21" s="26" t="str">
        <f t="shared" si="4"/>
        <v/>
      </c>
      <c r="AF21" s="26" t="str">
        <f t="shared" si="4"/>
        <v/>
      </c>
      <c r="AG21" s="26" t="str">
        <f t="shared" si="4"/>
        <v/>
      </c>
      <c r="AH21" s="26" t="str">
        <f t="shared" si="4"/>
        <v/>
      </c>
      <c r="AI21" s="26" t="str">
        <f t="shared" si="4"/>
        <v/>
      </c>
      <c r="AJ21" s="26" t="str">
        <f t="shared" si="4"/>
        <v/>
      </c>
      <c r="AK21" s="26" t="str">
        <f t="shared" si="4"/>
        <v/>
      </c>
      <c r="AL21" s="26" t="str">
        <f t="shared" si="4"/>
        <v/>
      </c>
      <c r="AM21" s="26" t="str">
        <f t="shared" si="4"/>
        <v/>
      </c>
      <c r="AN21" s="26">
        <f t="shared" si="4"/>
        <v>0</v>
      </c>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DJ21" s="29"/>
    </row>
    <row r="22" spans="1:114">
      <c r="A22" s="55">
        <v>100097</v>
      </c>
      <c r="B22" s="53" t="s">
        <v>182</v>
      </c>
      <c r="C22" s="53" t="s">
        <v>451</v>
      </c>
      <c r="D22" s="53" t="s">
        <v>194</v>
      </c>
      <c r="E22" s="53" t="s">
        <v>181</v>
      </c>
      <c r="F22" s="54" t="s">
        <v>838</v>
      </c>
      <c r="G22" s="54"/>
      <c r="H22" s="54"/>
      <c r="I22" s="54"/>
      <c r="J22" s="53">
        <v>19</v>
      </c>
      <c r="K22" s="53">
        <v>0</v>
      </c>
      <c r="L22" s="53">
        <v>0</v>
      </c>
      <c r="M22" s="53">
        <v>3</v>
      </c>
      <c r="N22" s="53">
        <v>16</v>
      </c>
      <c r="O22" s="24">
        <f>SUM(テーブル1[[#This Row],[列11]:[列12]])</f>
        <v>19</v>
      </c>
      <c r="P22" s="54"/>
      <c r="Q22" s="54"/>
      <c r="R22" s="24">
        <f t="shared" si="1"/>
        <v>19</v>
      </c>
      <c r="S22" s="25">
        <f t="shared" si="2"/>
        <v>100097</v>
      </c>
      <c r="T22" s="25">
        <f>COUNTIF($V$4:V22,V22)</f>
        <v>19</v>
      </c>
      <c r="U22" s="25" t="str">
        <f>IF(T22=1,COUNTIF($T$4:T22,1),"")</f>
        <v/>
      </c>
      <c r="V22" s="26" t="str">
        <f>'施設状況(要更新)'!$E22&amp;'施設状況(要更新)'!$C22</f>
        <v>中央区04小規模A・B・C</v>
      </c>
      <c r="W22" s="26" t="str">
        <f>'施設状況(要更新)'!$F22</f>
        <v>Ｓ．Ｔ．ナーサリーＳＣＨＯＯＬ山鼻南</v>
      </c>
      <c r="X22" s="27">
        <v>18</v>
      </c>
      <c r="Y22" s="28" t="str">
        <f t="shared" si="4"/>
        <v>おーるまいてぃ中央保育室</v>
      </c>
      <c r="Z22" s="26" t="str">
        <f t="shared" si="4"/>
        <v/>
      </c>
      <c r="AA22" s="26" t="str">
        <f t="shared" si="4"/>
        <v/>
      </c>
      <c r="AB22" s="26" t="str">
        <f t="shared" si="4"/>
        <v/>
      </c>
      <c r="AC22" s="26" t="str">
        <f t="shared" si="4"/>
        <v/>
      </c>
      <c r="AD22" s="26" t="str">
        <f t="shared" si="4"/>
        <v>西岡くりの木保育園</v>
      </c>
      <c r="AE22" s="26" t="str">
        <f t="shared" si="4"/>
        <v/>
      </c>
      <c r="AF22" s="26" t="str">
        <f t="shared" si="4"/>
        <v/>
      </c>
      <c r="AG22" s="26" t="str">
        <f t="shared" si="4"/>
        <v/>
      </c>
      <c r="AH22" s="26" t="str">
        <f t="shared" si="4"/>
        <v/>
      </c>
      <c r="AI22" s="26" t="str">
        <f t="shared" si="4"/>
        <v/>
      </c>
      <c r="AJ22" s="26" t="str">
        <f t="shared" si="4"/>
        <v/>
      </c>
      <c r="AK22" s="26" t="str">
        <f t="shared" si="4"/>
        <v/>
      </c>
      <c r="AL22" s="26" t="str">
        <f t="shared" si="4"/>
        <v/>
      </c>
      <c r="AM22" s="26" t="str">
        <f t="shared" si="4"/>
        <v/>
      </c>
      <c r="AN22" s="26">
        <f t="shared" si="4"/>
        <v>0</v>
      </c>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DJ22" s="29"/>
    </row>
    <row r="23" spans="1:114">
      <c r="A23" s="55">
        <v>100098</v>
      </c>
      <c r="B23" s="53" t="s">
        <v>182</v>
      </c>
      <c r="C23" s="53" t="s">
        <v>451</v>
      </c>
      <c r="D23" s="53" t="s">
        <v>194</v>
      </c>
      <c r="E23" s="53" t="s">
        <v>181</v>
      </c>
      <c r="F23" s="54" t="s">
        <v>839</v>
      </c>
      <c r="G23" s="54"/>
      <c r="H23" s="54"/>
      <c r="I23" s="54"/>
      <c r="J23" s="53">
        <v>19</v>
      </c>
      <c r="K23" s="53">
        <v>0</v>
      </c>
      <c r="L23" s="53">
        <v>0</v>
      </c>
      <c r="M23" s="53">
        <v>3</v>
      </c>
      <c r="N23" s="53">
        <v>16</v>
      </c>
      <c r="O23" s="24">
        <f>SUM(テーブル1[[#This Row],[列11]:[列12]])</f>
        <v>19</v>
      </c>
      <c r="P23" s="54"/>
      <c r="Q23" s="54"/>
      <c r="R23" s="24">
        <f t="shared" si="1"/>
        <v>19</v>
      </c>
      <c r="S23" s="25">
        <f t="shared" si="2"/>
        <v>100098</v>
      </c>
      <c r="T23" s="25">
        <f>COUNTIF($V$4:V23,V23)</f>
        <v>20</v>
      </c>
      <c r="U23" s="25" t="str">
        <f>IF(T23=1,COUNTIF($T$4:T23,1),"")</f>
        <v/>
      </c>
      <c r="V23" s="26" t="str">
        <f>'施設状況(要更新)'!$E23&amp;'施設状況(要更新)'!$C23</f>
        <v>中央区04小規模A・B・C</v>
      </c>
      <c r="W23" s="26" t="str">
        <f>'施設状況(要更新)'!$F23</f>
        <v>保育園キッズランド札幌こうさい園</v>
      </c>
      <c r="X23" s="27">
        <v>19</v>
      </c>
      <c r="Y23" s="28" t="str">
        <f t="shared" si="4"/>
        <v>Ｓ．Ｔ．ナーサリーＳＣＨＯＯＬ山鼻南</v>
      </c>
      <c r="Z23" s="26" t="str">
        <f t="shared" si="4"/>
        <v/>
      </c>
      <c r="AA23" s="26" t="str">
        <f t="shared" si="4"/>
        <v/>
      </c>
      <c r="AB23" s="26" t="str">
        <f t="shared" si="4"/>
        <v/>
      </c>
      <c r="AC23" s="26" t="str">
        <f t="shared" si="4"/>
        <v/>
      </c>
      <c r="AD23" s="26" t="str">
        <f t="shared" si="4"/>
        <v>ひまわりｓｕｎ保育園</v>
      </c>
      <c r="AE23" s="26" t="str">
        <f t="shared" si="4"/>
        <v/>
      </c>
      <c r="AF23" s="26" t="str">
        <f t="shared" si="4"/>
        <v/>
      </c>
      <c r="AG23" s="26" t="str">
        <f t="shared" si="4"/>
        <v/>
      </c>
      <c r="AH23" s="26" t="str">
        <f t="shared" si="4"/>
        <v/>
      </c>
      <c r="AI23" s="26" t="str">
        <f t="shared" si="4"/>
        <v/>
      </c>
      <c r="AJ23" s="26" t="str">
        <f t="shared" si="4"/>
        <v/>
      </c>
      <c r="AK23" s="26" t="str">
        <f t="shared" si="4"/>
        <v/>
      </c>
      <c r="AL23" s="26" t="str">
        <f t="shared" ref="AL23:AN23" si="5">IFERROR(INDEX($T$4:$W$700,MATCH($X23&amp;AL$3,INDEX($T$4:$T$700&amp;$V$4:$V$700,),0),MATCH("施設名",$T$3:$W$3,0)),"")</f>
        <v/>
      </c>
      <c r="AM23" s="26" t="str">
        <f t="shared" si="5"/>
        <v/>
      </c>
      <c r="AN23" s="26">
        <f t="shared" si="5"/>
        <v>0</v>
      </c>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DJ23" s="29"/>
    </row>
    <row r="24" spans="1:114">
      <c r="A24" s="55">
        <v>100099</v>
      </c>
      <c r="B24" s="53" t="s">
        <v>182</v>
      </c>
      <c r="C24" s="53" t="s">
        <v>451</v>
      </c>
      <c r="D24" s="53" t="s">
        <v>194</v>
      </c>
      <c r="E24" s="53" t="s">
        <v>181</v>
      </c>
      <c r="F24" s="54" t="s">
        <v>840</v>
      </c>
      <c r="G24" s="54"/>
      <c r="H24" s="54"/>
      <c r="I24" s="54"/>
      <c r="J24" s="53">
        <v>19</v>
      </c>
      <c r="K24" s="53">
        <v>0</v>
      </c>
      <c r="L24" s="53">
        <v>0</v>
      </c>
      <c r="M24" s="53">
        <v>4</v>
      </c>
      <c r="N24" s="53">
        <v>8</v>
      </c>
      <c r="O24" s="24">
        <f>SUM(テーブル1[[#This Row],[列11]:[列12]])</f>
        <v>12</v>
      </c>
      <c r="P24" s="54"/>
      <c r="Q24" s="54"/>
      <c r="R24" s="24">
        <f t="shared" si="1"/>
        <v>12</v>
      </c>
      <c r="S24" s="25">
        <f t="shared" si="2"/>
        <v>100099</v>
      </c>
      <c r="T24" s="25">
        <f>COUNTIF($V$4:V24,V24)</f>
        <v>21</v>
      </c>
      <c r="U24" s="25" t="str">
        <f>IF(T24=1,COUNTIF($T$4:T24,1),"")</f>
        <v/>
      </c>
      <c r="V24" s="26" t="str">
        <f>'施設状況(要更新)'!$E24&amp;'施設状況(要更新)'!$C24</f>
        <v>中央区04小規模A・B・C</v>
      </c>
      <c r="W24" s="26" t="str">
        <f>'施設状況(要更新)'!$F24</f>
        <v>第２ひまわり保育園</v>
      </c>
      <c r="X24" s="27">
        <v>20</v>
      </c>
      <c r="Y24" s="28" t="str">
        <f t="shared" ref="Y24:AN39" si="6">IFERROR(INDEX($T$4:$W$700,MATCH($X24&amp;Y$3,INDEX($T$4:$T$700&amp;$V$4:$V$700,),0),MATCH("施設名",$T$3:$W$3,0)),"")</f>
        <v>保育園キッズランド札幌こうさい園</v>
      </c>
      <c r="Z24" s="26" t="str">
        <f t="shared" si="6"/>
        <v/>
      </c>
      <c r="AA24" s="26" t="str">
        <f t="shared" si="6"/>
        <v/>
      </c>
      <c r="AB24" s="26" t="str">
        <f t="shared" si="6"/>
        <v/>
      </c>
      <c r="AC24" s="26" t="str">
        <f t="shared" si="6"/>
        <v/>
      </c>
      <c r="AD24" s="26" t="str">
        <f t="shared" si="6"/>
        <v/>
      </c>
      <c r="AE24" s="26" t="str">
        <f t="shared" si="6"/>
        <v/>
      </c>
      <c r="AF24" s="26" t="str">
        <f t="shared" si="6"/>
        <v/>
      </c>
      <c r="AG24" s="26" t="str">
        <f t="shared" si="6"/>
        <v/>
      </c>
      <c r="AH24" s="26" t="str">
        <f t="shared" si="6"/>
        <v/>
      </c>
      <c r="AI24" s="26" t="str">
        <f t="shared" si="6"/>
        <v/>
      </c>
      <c r="AJ24" s="26" t="str">
        <f t="shared" si="6"/>
        <v/>
      </c>
      <c r="AK24" s="26" t="str">
        <f t="shared" si="6"/>
        <v/>
      </c>
      <c r="AL24" s="26" t="str">
        <f t="shared" si="6"/>
        <v/>
      </c>
      <c r="AM24" s="26" t="str">
        <f t="shared" si="6"/>
        <v/>
      </c>
      <c r="AN24" s="26">
        <f t="shared" si="6"/>
        <v>0</v>
      </c>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DJ24" s="29"/>
    </row>
    <row r="25" spans="1:114">
      <c r="A25" s="55">
        <v>100103</v>
      </c>
      <c r="B25" s="53" t="s">
        <v>182</v>
      </c>
      <c r="C25" s="53" t="s">
        <v>451</v>
      </c>
      <c r="D25" s="53" t="s">
        <v>194</v>
      </c>
      <c r="E25" s="53" t="s">
        <v>181</v>
      </c>
      <c r="F25" s="54" t="s">
        <v>842</v>
      </c>
      <c r="G25" s="54"/>
      <c r="H25" s="54"/>
      <c r="I25" s="54"/>
      <c r="J25" s="53">
        <v>19</v>
      </c>
      <c r="K25" s="53">
        <v>0</v>
      </c>
      <c r="L25" s="53">
        <v>0</v>
      </c>
      <c r="M25" s="53">
        <v>3</v>
      </c>
      <c r="N25" s="53">
        <v>16</v>
      </c>
      <c r="O25" s="24">
        <f>SUM(テーブル1[[#This Row],[列11]:[列12]])</f>
        <v>19</v>
      </c>
      <c r="P25" s="54"/>
      <c r="Q25" s="54"/>
      <c r="R25" s="24">
        <f t="shared" si="1"/>
        <v>19</v>
      </c>
      <c r="S25" s="25">
        <f t="shared" si="2"/>
        <v>100103</v>
      </c>
      <c r="T25" s="25">
        <f>COUNTIF($V$4:V25,V25)</f>
        <v>22</v>
      </c>
      <c r="U25" s="25" t="str">
        <f>IF(T25=1,COUNTIF($T$4:T25,1),"")</f>
        <v/>
      </c>
      <c r="V25" s="26" t="str">
        <f>'施設状況(要更新)'!$E25&amp;'施設状況(要更新)'!$C25</f>
        <v>中央区04小規模A・B・C</v>
      </c>
      <c r="W25" s="26" t="str">
        <f>'施設状況(要更新)'!$F25</f>
        <v>小規模保育所夢ふうせん</v>
      </c>
      <c r="X25" s="27">
        <v>21</v>
      </c>
      <c r="Y25" s="28" t="str">
        <f t="shared" si="6"/>
        <v>第２ひまわり保育園</v>
      </c>
      <c r="Z25" s="26" t="str">
        <f t="shared" si="6"/>
        <v/>
      </c>
      <c r="AA25" s="26" t="str">
        <f t="shared" si="6"/>
        <v/>
      </c>
      <c r="AB25" s="26" t="str">
        <f t="shared" si="6"/>
        <v/>
      </c>
      <c r="AC25" s="26" t="str">
        <f t="shared" si="6"/>
        <v/>
      </c>
      <c r="AD25" s="26" t="str">
        <f t="shared" si="6"/>
        <v/>
      </c>
      <c r="AE25" s="26" t="str">
        <f t="shared" si="6"/>
        <v/>
      </c>
      <c r="AF25" s="26" t="str">
        <f t="shared" si="6"/>
        <v/>
      </c>
      <c r="AG25" s="26" t="str">
        <f t="shared" si="6"/>
        <v/>
      </c>
      <c r="AH25" s="26" t="str">
        <f t="shared" si="6"/>
        <v/>
      </c>
      <c r="AI25" s="26" t="str">
        <f t="shared" si="6"/>
        <v/>
      </c>
      <c r="AJ25" s="26" t="str">
        <f t="shared" si="6"/>
        <v/>
      </c>
      <c r="AK25" s="26" t="str">
        <f t="shared" si="6"/>
        <v/>
      </c>
      <c r="AL25" s="26" t="str">
        <f t="shared" si="6"/>
        <v/>
      </c>
      <c r="AM25" s="26" t="str">
        <f t="shared" si="6"/>
        <v/>
      </c>
      <c r="AN25" s="26">
        <f t="shared" si="6"/>
        <v>0</v>
      </c>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DJ25" s="29"/>
    </row>
    <row r="26" spans="1:114">
      <c r="A26" s="55">
        <v>100105</v>
      </c>
      <c r="B26" s="53" t="s">
        <v>182</v>
      </c>
      <c r="C26" s="53" t="s">
        <v>451</v>
      </c>
      <c r="D26" s="53" t="s">
        <v>194</v>
      </c>
      <c r="E26" s="53" t="s">
        <v>181</v>
      </c>
      <c r="F26" s="54" t="s">
        <v>843</v>
      </c>
      <c r="G26" s="54"/>
      <c r="H26" s="54"/>
      <c r="I26" s="54"/>
      <c r="J26" s="53">
        <v>19</v>
      </c>
      <c r="K26" s="53">
        <v>0</v>
      </c>
      <c r="L26" s="53">
        <v>0</v>
      </c>
      <c r="M26" s="53">
        <v>2</v>
      </c>
      <c r="N26" s="53">
        <v>10</v>
      </c>
      <c r="O26" s="24">
        <f>SUM(テーブル1[[#This Row],[列11]:[列12]])</f>
        <v>12</v>
      </c>
      <c r="P26" s="54"/>
      <c r="Q26" s="54"/>
      <c r="R26" s="24">
        <f t="shared" si="1"/>
        <v>12</v>
      </c>
      <c r="S26" s="25">
        <f t="shared" si="2"/>
        <v>100105</v>
      </c>
      <c r="T26" s="25">
        <f>COUNTIF($V$4:V26,V26)</f>
        <v>23</v>
      </c>
      <c r="U26" s="25" t="str">
        <f>IF(T26=1,COUNTIF($T$4:T26,1),"")</f>
        <v/>
      </c>
      <c r="V26" s="26" t="str">
        <f>'施設状況(要更新)'!$E26&amp;'施設状況(要更新)'!$C26</f>
        <v>中央区04小規模A・B・C</v>
      </c>
      <c r="W26" s="26" t="str">
        <f>'施設状況(要更新)'!$F26</f>
        <v>スター保育園南２条園</v>
      </c>
      <c r="X26" s="27">
        <v>22</v>
      </c>
      <c r="Y26" s="28" t="str">
        <f t="shared" si="6"/>
        <v>小規模保育所夢ふうせん</v>
      </c>
      <c r="Z26" s="26" t="str">
        <f t="shared" si="6"/>
        <v/>
      </c>
      <c r="AA26" s="26" t="str">
        <f t="shared" si="6"/>
        <v/>
      </c>
      <c r="AB26" s="26" t="str">
        <f t="shared" si="6"/>
        <v/>
      </c>
      <c r="AC26" s="26" t="str">
        <f t="shared" si="6"/>
        <v/>
      </c>
      <c r="AD26" s="26" t="str">
        <f t="shared" si="6"/>
        <v/>
      </c>
      <c r="AE26" s="26" t="str">
        <f t="shared" si="6"/>
        <v/>
      </c>
      <c r="AF26" s="26" t="str">
        <f t="shared" si="6"/>
        <v/>
      </c>
      <c r="AG26" s="26" t="str">
        <f t="shared" si="6"/>
        <v/>
      </c>
      <c r="AH26" s="26" t="str">
        <f t="shared" si="6"/>
        <v/>
      </c>
      <c r="AI26" s="26" t="str">
        <f t="shared" si="6"/>
        <v/>
      </c>
      <c r="AJ26" s="26" t="str">
        <f t="shared" si="6"/>
        <v/>
      </c>
      <c r="AK26" s="26" t="str">
        <f t="shared" si="6"/>
        <v/>
      </c>
      <c r="AL26" s="26" t="str">
        <f t="shared" si="6"/>
        <v/>
      </c>
      <c r="AM26" s="26" t="str">
        <f t="shared" si="6"/>
        <v/>
      </c>
      <c r="AN26" s="26">
        <f t="shared" si="6"/>
        <v>0</v>
      </c>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DJ26" s="29"/>
    </row>
    <row r="27" spans="1:114">
      <c r="A27" s="55">
        <v>100110</v>
      </c>
      <c r="B27" s="53" t="s">
        <v>182</v>
      </c>
      <c r="C27" s="53" t="s">
        <v>451</v>
      </c>
      <c r="D27" s="53" t="s">
        <v>194</v>
      </c>
      <c r="E27" s="53" t="s">
        <v>181</v>
      </c>
      <c r="F27" s="54" t="s">
        <v>844</v>
      </c>
      <c r="G27" s="54"/>
      <c r="H27" s="54"/>
      <c r="I27" s="54"/>
      <c r="J27" s="53">
        <v>19</v>
      </c>
      <c r="K27" s="53">
        <v>0</v>
      </c>
      <c r="L27" s="53">
        <v>0</v>
      </c>
      <c r="M27" s="53">
        <v>3</v>
      </c>
      <c r="N27" s="53">
        <v>16</v>
      </c>
      <c r="O27" s="24">
        <f>SUM(テーブル1[[#This Row],[列11]:[列12]])</f>
        <v>19</v>
      </c>
      <c r="P27" s="54"/>
      <c r="Q27" s="54"/>
      <c r="R27" s="24">
        <f t="shared" si="1"/>
        <v>19</v>
      </c>
      <c r="S27" s="25">
        <f t="shared" si="2"/>
        <v>100110</v>
      </c>
      <c r="T27" s="25">
        <f>COUNTIF($V$4:V27,V27)</f>
        <v>24</v>
      </c>
      <c r="U27" s="25" t="str">
        <f>IF(T27=1,COUNTIF($T$4:T27,1),"")</f>
        <v/>
      </c>
      <c r="V27" s="26" t="str">
        <f>'施設状況(要更新)'!$E27&amp;'施設状況(要更新)'!$C27</f>
        <v>中央区04小規模A・B・C</v>
      </c>
      <c r="W27" s="26" t="str">
        <f>'施設状況(要更新)'!$F27</f>
        <v>スター保育園西屯田通園</v>
      </c>
      <c r="X27" s="27">
        <v>23</v>
      </c>
      <c r="Y27" s="28" t="str">
        <f t="shared" si="6"/>
        <v>スター保育園南２条園</v>
      </c>
      <c r="Z27" s="26" t="str">
        <f t="shared" si="6"/>
        <v/>
      </c>
      <c r="AA27" s="26" t="str">
        <f t="shared" si="6"/>
        <v/>
      </c>
      <c r="AB27" s="26" t="str">
        <f t="shared" si="6"/>
        <v/>
      </c>
      <c r="AC27" s="26" t="str">
        <f t="shared" si="6"/>
        <v/>
      </c>
      <c r="AD27" s="26" t="str">
        <f t="shared" si="6"/>
        <v/>
      </c>
      <c r="AE27" s="26" t="str">
        <f t="shared" si="6"/>
        <v/>
      </c>
      <c r="AF27" s="26" t="str">
        <f t="shared" si="6"/>
        <v/>
      </c>
      <c r="AG27" s="26" t="str">
        <f t="shared" si="6"/>
        <v/>
      </c>
      <c r="AH27" s="26" t="str">
        <f t="shared" si="6"/>
        <v/>
      </c>
      <c r="AI27" s="26" t="str">
        <f t="shared" si="6"/>
        <v/>
      </c>
      <c r="AJ27" s="26" t="str">
        <f t="shared" si="6"/>
        <v/>
      </c>
      <c r="AK27" s="26" t="str">
        <f t="shared" si="6"/>
        <v/>
      </c>
      <c r="AL27" s="26" t="str">
        <f t="shared" si="6"/>
        <v/>
      </c>
      <c r="AM27" s="26" t="str">
        <f t="shared" si="6"/>
        <v/>
      </c>
      <c r="AN27" s="26">
        <f t="shared" si="6"/>
        <v>0</v>
      </c>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DJ27" s="29"/>
    </row>
    <row r="28" spans="1:114">
      <c r="A28" s="55">
        <v>200073</v>
      </c>
      <c r="B28" s="53" t="s">
        <v>182</v>
      </c>
      <c r="C28" s="53" t="s">
        <v>451</v>
      </c>
      <c r="D28" s="53" t="s">
        <v>194</v>
      </c>
      <c r="E28" s="53" t="s">
        <v>183</v>
      </c>
      <c r="F28" s="54" t="s">
        <v>209</v>
      </c>
      <c r="G28" s="54"/>
      <c r="H28" s="54"/>
      <c r="I28" s="54"/>
      <c r="J28" s="53">
        <v>19</v>
      </c>
      <c r="K28" s="53">
        <v>0</v>
      </c>
      <c r="L28" s="53">
        <v>0</v>
      </c>
      <c r="M28" s="966">
        <v>6</v>
      </c>
      <c r="N28" s="966">
        <v>13</v>
      </c>
      <c r="O28" s="24">
        <f>SUM(テーブル1[[#This Row],[列11]:[列12]])</f>
        <v>19</v>
      </c>
      <c r="P28" s="54"/>
      <c r="Q28" s="54"/>
      <c r="R28" s="24">
        <f t="shared" si="1"/>
        <v>19</v>
      </c>
      <c r="S28" s="25">
        <f t="shared" si="2"/>
        <v>200073</v>
      </c>
      <c r="T28" s="25">
        <f>COUNTIF($V$4:V28,V28)</f>
        <v>1</v>
      </c>
      <c r="U28" s="25">
        <f>IF(T28=1,COUNTIF($T$4:T28,1),"")</f>
        <v>2</v>
      </c>
      <c r="V28" s="26" t="str">
        <f>'施設状況(要更新)'!$E28&amp;'施設状況(要更新)'!$C28</f>
        <v>北区04小規模A・B・C</v>
      </c>
      <c r="W28" s="26" t="str">
        <f>'施設状況(要更新)'!$F28</f>
        <v>アンジェロ保育園</v>
      </c>
      <c r="X28" s="27">
        <v>24</v>
      </c>
      <c r="Y28" s="28" t="str">
        <f t="shared" si="6"/>
        <v>スター保育園西屯田通園</v>
      </c>
      <c r="Z28" s="26" t="str">
        <f t="shared" si="6"/>
        <v/>
      </c>
      <c r="AA28" s="26" t="str">
        <f t="shared" si="6"/>
        <v/>
      </c>
      <c r="AB28" s="26" t="str">
        <f t="shared" si="6"/>
        <v/>
      </c>
      <c r="AC28" s="26" t="str">
        <f t="shared" si="6"/>
        <v/>
      </c>
      <c r="AD28" s="26" t="str">
        <f t="shared" si="6"/>
        <v/>
      </c>
      <c r="AE28" s="26" t="str">
        <f t="shared" si="6"/>
        <v/>
      </c>
      <c r="AF28" s="26" t="str">
        <f t="shared" si="6"/>
        <v/>
      </c>
      <c r="AG28" s="26" t="str">
        <f t="shared" si="6"/>
        <v/>
      </c>
      <c r="AH28" s="26" t="str">
        <f t="shared" si="6"/>
        <v/>
      </c>
      <c r="AI28" s="26" t="str">
        <f t="shared" si="6"/>
        <v/>
      </c>
      <c r="AJ28" s="26" t="str">
        <f t="shared" si="6"/>
        <v/>
      </c>
      <c r="AK28" s="26" t="str">
        <f t="shared" si="6"/>
        <v/>
      </c>
      <c r="AL28" s="26" t="str">
        <f t="shared" si="6"/>
        <v/>
      </c>
      <c r="AM28" s="26" t="str">
        <f t="shared" si="6"/>
        <v/>
      </c>
      <c r="AN28" s="26">
        <f t="shared" si="6"/>
        <v>0</v>
      </c>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DJ28" s="29"/>
    </row>
    <row r="29" spans="1:114">
      <c r="A29" s="55">
        <v>200075</v>
      </c>
      <c r="B29" s="53" t="s">
        <v>182</v>
      </c>
      <c r="C29" s="53" t="s">
        <v>451</v>
      </c>
      <c r="D29" s="53" t="s">
        <v>194</v>
      </c>
      <c r="E29" s="53" t="s">
        <v>183</v>
      </c>
      <c r="F29" s="54" t="s">
        <v>211</v>
      </c>
      <c r="G29" s="54"/>
      <c r="H29" s="54"/>
      <c r="I29" s="54"/>
      <c r="J29" s="53">
        <v>19</v>
      </c>
      <c r="K29" s="53">
        <v>0</v>
      </c>
      <c r="L29" s="53">
        <v>0</v>
      </c>
      <c r="M29" s="53">
        <v>2</v>
      </c>
      <c r="N29" s="53">
        <v>10</v>
      </c>
      <c r="O29" s="24">
        <f>SUM(テーブル1[[#This Row],[列11]:[列12]])</f>
        <v>12</v>
      </c>
      <c r="P29" s="54"/>
      <c r="Q29" s="54"/>
      <c r="R29" s="24">
        <f t="shared" si="1"/>
        <v>12</v>
      </c>
      <c r="S29" s="25">
        <f t="shared" si="2"/>
        <v>200075</v>
      </c>
      <c r="T29" s="25">
        <f>COUNTIF($V$4:V29,V29)</f>
        <v>2</v>
      </c>
      <c r="U29" s="25" t="str">
        <f>IF(T29=1,COUNTIF($T$4:T29,1),"")</f>
        <v/>
      </c>
      <c r="V29" s="26" t="str">
        <f>'施設状況(要更新)'!$E29&amp;'施設状況(要更新)'!$C29</f>
        <v>北区04小規模A・B・C</v>
      </c>
      <c r="W29" s="26" t="str">
        <f>'施設状況(要更新)'!$F29</f>
        <v>おーるまいてぃ屯田保育室</v>
      </c>
      <c r="X29" s="27">
        <v>25</v>
      </c>
      <c r="Y29" s="28" t="str">
        <f t="shared" si="6"/>
        <v/>
      </c>
      <c r="Z29" s="26" t="str">
        <f t="shared" si="6"/>
        <v/>
      </c>
      <c r="AA29" s="26" t="str">
        <f t="shared" si="6"/>
        <v/>
      </c>
      <c r="AB29" s="26" t="str">
        <f t="shared" si="6"/>
        <v/>
      </c>
      <c r="AC29" s="26" t="str">
        <f t="shared" si="6"/>
        <v/>
      </c>
      <c r="AD29" s="26" t="str">
        <f t="shared" si="6"/>
        <v/>
      </c>
      <c r="AE29" s="26" t="str">
        <f t="shared" si="6"/>
        <v/>
      </c>
      <c r="AF29" s="26" t="str">
        <f t="shared" si="6"/>
        <v/>
      </c>
      <c r="AG29" s="26" t="str">
        <f t="shared" si="6"/>
        <v/>
      </c>
      <c r="AH29" s="26" t="str">
        <f t="shared" si="6"/>
        <v/>
      </c>
      <c r="AI29" s="26" t="str">
        <f t="shared" si="6"/>
        <v/>
      </c>
      <c r="AJ29" s="26" t="str">
        <f t="shared" si="6"/>
        <v/>
      </c>
      <c r="AK29" s="26" t="str">
        <f t="shared" si="6"/>
        <v/>
      </c>
      <c r="AL29" s="26" t="str">
        <f t="shared" si="6"/>
        <v/>
      </c>
      <c r="AM29" s="26" t="str">
        <f t="shared" si="6"/>
        <v/>
      </c>
      <c r="AN29" s="26">
        <f t="shared" si="6"/>
        <v>0</v>
      </c>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DJ29" s="29"/>
    </row>
    <row r="30" spans="1:114">
      <c r="A30" s="55">
        <v>200076</v>
      </c>
      <c r="B30" s="53" t="s">
        <v>182</v>
      </c>
      <c r="C30" s="53" t="s">
        <v>451</v>
      </c>
      <c r="D30" s="53" t="s">
        <v>194</v>
      </c>
      <c r="E30" s="53" t="s">
        <v>183</v>
      </c>
      <c r="F30" s="54" t="s">
        <v>845</v>
      </c>
      <c r="G30" s="54"/>
      <c r="H30" s="54"/>
      <c r="I30" s="54"/>
      <c r="J30" s="53">
        <v>19</v>
      </c>
      <c r="K30" s="53">
        <v>0</v>
      </c>
      <c r="L30" s="53">
        <v>0</v>
      </c>
      <c r="M30" s="53">
        <v>6</v>
      </c>
      <c r="N30" s="53">
        <v>13</v>
      </c>
      <c r="O30" s="24">
        <f>SUM(テーブル1[[#This Row],[列11]:[列12]])</f>
        <v>19</v>
      </c>
      <c r="P30" s="54"/>
      <c r="Q30" s="54"/>
      <c r="R30" s="24">
        <f t="shared" si="1"/>
        <v>19</v>
      </c>
      <c r="S30" s="25">
        <f t="shared" si="2"/>
        <v>200076</v>
      </c>
      <c r="T30" s="25">
        <f>COUNTIF($V$4:V30,V30)</f>
        <v>3</v>
      </c>
      <c r="U30" s="25" t="str">
        <f>IF(T30=1,COUNTIF($T$4:T30,1),"")</f>
        <v/>
      </c>
      <c r="V30" s="26" t="str">
        <f>'施設状況(要更新)'!$E30&amp;'施設状況(要更新)'!$C30</f>
        <v>北区04小規模A・B・C</v>
      </c>
      <c r="W30" s="26" t="str">
        <f>'施設状況(要更新)'!$F30</f>
        <v>新琴似にじのいろ保育園</v>
      </c>
      <c r="X30" s="27">
        <v>26</v>
      </c>
      <c r="Y30" s="28" t="str">
        <f t="shared" si="6"/>
        <v/>
      </c>
      <c r="Z30" s="26" t="str">
        <f t="shared" si="6"/>
        <v/>
      </c>
      <c r="AA30" s="26" t="str">
        <f t="shared" si="6"/>
        <v/>
      </c>
      <c r="AB30" s="26" t="str">
        <f t="shared" si="6"/>
        <v/>
      </c>
      <c r="AC30" s="26" t="str">
        <f t="shared" si="6"/>
        <v/>
      </c>
      <c r="AD30" s="26" t="str">
        <f t="shared" si="6"/>
        <v/>
      </c>
      <c r="AE30" s="26" t="str">
        <f t="shared" si="6"/>
        <v/>
      </c>
      <c r="AF30" s="26" t="str">
        <f t="shared" si="6"/>
        <v/>
      </c>
      <c r="AG30" s="26" t="str">
        <f t="shared" si="6"/>
        <v/>
      </c>
      <c r="AH30" s="26" t="str">
        <f t="shared" si="6"/>
        <v/>
      </c>
      <c r="AI30" s="26" t="str">
        <f t="shared" si="6"/>
        <v/>
      </c>
      <c r="AJ30" s="26" t="str">
        <f t="shared" si="6"/>
        <v/>
      </c>
      <c r="AK30" s="26" t="str">
        <f t="shared" si="6"/>
        <v/>
      </c>
      <c r="AL30" s="26" t="str">
        <f t="shared" si="6"/>
        <v/>
      </c>
      <c r="AM30" s="26" t="str">
        <f t="shared" si="6"/>
        <v/>
      </c>
      <c r="AN30" s="26">
        <f t="shared" si="6"/>
        <v>0</v>
      </c>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DJ30" s="29"/>
    </row>
    <row r="31" spans="1:114">
      <c r="A31" s="55">
        <v>200078</v>
      </c>
      <c r="B31" s="53" t="s">
        <v>182</v>
      </c>
      <c r="C31" s="53" t="s">
        <v>451</v>
      </c>
      <c r="D31" s="53" t="s">
        <v>194</v>
      </c>
      <c r="E31" s="53" t="s">
        <v>183</v>
      </c>
      <c r="F31" s="54" t="s">
        <v>212</v>
      </c>
      <c r="G31" s="54"/>
      <c r="H31" s="54"/>
      <c r="I31" s="54"/>
      <c r="J31" s="53">
        <v>19</v>
      </c>
      <c r="K31" s="53">
        <v>0</v>
      </c>
      <c r="L31" s="53">
        <v>0</v>
      </c>
      <c r="M31" s="53">
        <v>6</v>
      </c>
      <c r="N31" s="53">
        <v>13</v>
      </c>
      <c r="O31" s="24">
        <f>SUM(テーブル1[[#This Row],[列11]:[列12]])</f>
        <v>19</v>
      </c>
      <c r="P31" s="54"/>
      <c r="Q31" s="54"/>
      <c r="R31" s="24">
        <f t="shared" si="1"/>
        <v>19</v>
      </c>
      <c r="S31" s="25">
        <f t="shared" si="2"/>
        <v>200078</v>
      </c>
      <c r="T31" s="25">
        <f>COUNTIF($V$4:V31,V31)</f>
        <v>4</v>
      </c>
      <c r="U31" s="25" t="str">
        <f>IF(T31=1,COUNTIF($T$4:T31,1),"")</f>
        <v/>
      </c>
      <c r="V31" s="26" t="str">
        <f>'施設状況(要更新)'!$E31&amp;'施設状況(要更新)'!$C31</f>
        <v>北区04小規模A・B・C</v>
      </c>
      <c r="W31" s="26" t="str">
        <f>'施設状況(要更新)'!$F31</f>
        <v>美友希保育園</v>
      </c>
      <c r="X31" s="27">
        <v>27</v>
      </c>
      <c r="Y31" s="28" t="str">
        <f t="shared" si="6"/>
        <v/>
      </c>
      <c r="Z31" s="26" t="str">
        <f t="shared" si="6"/>
        <v/>
      </c>
      <c r="AA31" s="26" t="str">
        <f t="shared" si="6"/>
        <v/>
      </c>
      <c r="AB31" s="26" t="str">
        <f t="shared" si="6"/>
        <v/>
      </c>
      <c r="AC31" s="26" t="str">
        <f t="shared" si="6"/>
        <v/>
      </c>
      <c r="AD31" s="26" t="str">
        <f t="shared" si="6"/>
        <v/>
      </c>
      <c r="AE31" s="26" t="str">
        <f t="shared" si="6"/>
        <v/>
      </c>
      <c r="AF31" s="26" t="str">
        <f t="shared" si="6"/>
        <v/>
      </c>
      <c r="AG31" s="26" t="str">
        <f t="shared" si="6"/>
        <v/>
      </c>
      <c r="AH31" s="26" t="str">
        <f t="shared" si="6"/>
        <v/>
      </c>
      <c r="AI31" s="26" t="str">
        <f t="shared" si="6"/>
        <v/>
      </c>
      <c r="AJ31" s="26" t="str">
        <f t="shared" si="6"/>
        <v/>
      </c>
      <c r="AK31" s="26" t="str">
        <f t="shared" si="6"/>
        <v/>
      </c>
      <c r="AL31" s="26" t="str">
        <f t="shared" si="6"/>
        <v/>
      </c>
      <c r="AM31" s="26" t="str">
        <f t="shared" si="6"/>
        <v/>
      </c>
      <c r="AN31" s="26">
        <f t="shared" si="6"/>
        <v>0</v>
      </c>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DJ31" s="29"/>
    </row>
    <row r="32" spans="1:114">
      <c r="A32" s="55">
        <v>200074</v>
      </c>
      <c r="B32" s="53" t="s">
        <v>182</v>
      </c>
      <c r="C32" s="53" t="s">
        <v>451</v>
      </c>
      <c r="D32" s="53" t="s">
        <v>194</v>
      </c>
      <c r="E32" s="53" t="s">
        <v>183</v>
      </c>
      <c r="F32" s="54" t="s">
        <v>210</v>
      </c>
      <c r="G32" s="54"/>
      <c r="H32" s="54"/>
      <c r="I32" s="54"/>
      <c r="J32" s="53">
        <v>12</v>
      </c>
      <c r="K32" s="53">
        <v>0</v>
      </c>
      <c r="L32" s="53">
        <v>0</v>
      </c>
      <c r="M32" s="53">
        <v>4</v>
      </c>
      <c r="N32" s="53">
        <v>8</v>
      </c>
      <c r="O32" s="24">
        <f>SUM(テーブル1[[#This Row],[列11]:[列12]])</f>
        <v>12</v>
      </c>
      <c r="P32" s="54"/>
      <c r="Q32" s="54"/>
      <c r="R32" s="24">
        <f t="shared" si="1"/>
        <v>12</v>
      </c>
      <c r="S32" s="25">
        <f t="shared" si="2"/>
        <v>200074</v>
      </c>
      <c r="T32" s="25">
        <f>COUNTIF($V$4:V32,V32)</f>
        <v>5</v>
      </c>
      <c r="U32" s="25" t="str">
        <f>IF(T32=1,COUNTIF($T$4:T32,1),"")</f>
        <v/>
      </c>
      <c r="V32" s="26" t="str">
        <f>'施設状況(要更新)'!$E32&amp;'施設状況(要更新)'!$C32</f>
        <v>北区04小規模A・B・C</v>
      </c>
      <c r="W32" s="26" t="str">
        <f>'施設状況(要更新)'!$F32</f>
        <v>バンビ保育園</v>
      </c>
      <c r="X32" s="27">
        <v>28</v>
      </c>
      <c r="Y32" s="28" t="str">
        <f t="shared" si="6"/>
        <v/>
      </c>
      <c r="Z32" s="26" t="str">
        <f t="shared" si="6"/>
        <v/>
      </c>
      <c r="AA32" s="26" t="str">
        <f t="shared" si="6"/>
        <v/>
      </c>
      <c r="AB32" s="26" t="str">
        <f t="shared" si="6"/>
        <v/>
      </c>
      <c r="AC32" s="26" t="str">
        <f t="shared" si="6"/>
        <v/>
      </c>
      <c r="AD32" s="26" t="str">
        <f t="shared" si="6"/>
        <v/>
      </c>
      <c r="AE32" s="26" t="str">
        <f t="shared" si="6"/>
        <v/>
      </c>
      <c r="AF32" s="26" t="str">
        <f t="shared" si="6"/>
        <v/>
      </c>
      <c r="AG32" s="26" t="str">
        <f t="shared" si="6"/>
        <v/>
      </c>
      <c r="AH32" s="26" t="str">
        <f t="shared" si="6"/>
        <v/>
      </c>
      <c r="AI32" s="26" t="str">
        <f t="shared" si="6"/>
        <v/>
      </c>
      <c r="AJ32" s="26" t="str">
        <f t="shared" si="6"/>
        <v/>
      </c>
      <c r="AK32" s="26" t="str">
        <f t="shared" si="6"/>
        <v/>
      </c>
      <c r="AL32" s="26" t="str">
        <f t="shared" si="6"/>
        <v/>
      </c>
      <c r="AM32" s="26" t="str">
        <f t="shared" si="6"/>
        <v/>
      </c>
      <c r="AN32" s="26">
        <f t="shared" si="6"/>
        <v>0</v>
      </c>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DJ32" s="29"/>
    </row>
    <row r="33" spans="1:114">
      <c r="A33" s="55">
        <v>200092</v>
      </c>
      <c r="B33" s="53" t="s">
        <v>182</v>
      </c>
      <c r="C33" s="53" t="s">
        <v>451</v>
      </c>
      <c r="D33" s="53" t="s">
        <v>194</v>
      </c>
      <c r="E33" s="53" t="s">
        <v>183</v>
      </c>
      <c r="F33" s="54" t="s">
        <v>214</v>
      </c>
      <c r="G33" s="54"/>
      <c r="H33" s="54"/>
      <c r="I33" s="54"/>
      <c r="J33" s="53">
        <v>19</v>
      </c>
      <c r="K33" s="53">
        <v>0</v>
      </c>
      <c r="L33" s="53">
        <v>0</v>
      </c>
      <c r="M33" s="53">
        <v>5</v>
      </c>
      <c r="N33" s="53">
        <v>14</v>
      </c>
      <c r="O33" s="24">
        <f>SUM(テーブル1[[#This Row],[列11]:[列12]])</f>
        <v>19</v>
      </c>
      <c r="P33" s="54"/>
      <c r="Q33" s="54"/>
      <c r="R33" s="24">
        <f t="shared" si="1"/>
        <v>19</v>
      </c>
      <c r="S33" s="25">
        <f t="shared" si="2"/>
        <v>200092</v>
      </c>
      <c r="T33" s="25">
        <f>COUNTIF($V$4:V33,V33)</f>
        <v>6</v>
      </c>
      <c r="U33" s="25" t="str">
        <f>IF(T33=1,COUNTIF($T$4:T33,1),"")</f>
        <v/>
      </c>
      <c r="V33" s="26" t="str">
        <f>'施設状況(要更新)'!$E33&amp;'施設状況(要更新)'!$C33</f>
        <v>北区04小規模A・B・C</v>
      </c>
      <c r="W33" s="26" t="str">
        <f>'施設状況(要更新)'!$F33</f>
        <v>北２４条はぐはぐ乳児保育園</v>
      </c>
      <c r="X33" s="27">
        <v>29</v>
      </c>
      <c r="Y33" s="28" t="str">
        <f t="shared" si="6"/>
        <v/>
      </c>
      <c r="Z33" s="26" t="str">
        <f t="shared" si="6"/>
        <v/>
      </c>
      <c r="AA33" s="26" t="str">
        <f t="shared" si="6"/>
        <v/>
      </c>
      <c r="AB33" s="26" t="str">
        <f t="shared" si="6"/>
        <v/>
      </c>
      <c r="AC33" s="26" t="str">
        <f t="shared" si="6"/>
        <v/>
      </c>
      <c r="AD33" s="26" t="str">
        <f t="shared" si="6"/>
        <v/>
      </c>
      <c r="AE33" s="26" t="str">
        <f t="shared" si="6"/>
        <v/>
      </c>
      <c r="AF33" s="26" t="str">
        <f t="shared" si="6"/>
        <v/>
      </c>
      <c r="AG33" s="26" t="str">
        <f t="shared" si="6"/>
        <v/>
      </c>
      <c r="AH33" s="26" t="str">
        <f t="shared" si="6"/>
        <v/>
      </c>
      <c r="AI33" s="26" t="str">
        <f t="shared" si="6"/>
        <v/>
      </c>
      <c r="AJ33" s="26" t="str">
        <f t="shared" si="6"/>
        <v/>
      </c>
      <c r="AK33" s="26" t="str">
        <f t="shared" si="6"/>
        <v/>
      </c>
      <c r="AL33" s="26" t="str">
        <f t="shared" si="6"/>
        <v/>
      </c>
      <c r="AM33" s="26" t="str">
        <f t="shared" si="6"/>
        <v/>
      </c>
      <c r="AN33" s="26">
        <f t="shared" si="6"/>
        <v>0</v>
      </c>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DJ33" s="29"/>
    </row>
    <row r="34" spans="1:114">
      <c r="A34" s="55">
        <v>200091</v>
      </c>
      <c r="B34" s="53" t="s">
        <v>182</v>
      </c>
      <c r="C34" s="53" t="s">
        <v>451</v>
      </c>
      <c r="D34" s="53" t="s">
        <v>194</v>
      </c>
      <c r="E34" s="53" t="s">
        <v>183</v>
      </c>
      <c r="F34" s="54" t="s">
        <v>213</v>
      </c>
      <c r="G34" s="54"/>
      <c r="H34" s="54"/>
      <c r="I34" s="54"/>
      <c r="J34" s="53">
        <v>19</v>
      </c>
      <c r="K34" s="53">
        <v>0</v>
      </c>
      <c r="L34" s="53">
        <v>0</v>
      </c>
      <c r="M34" s="53">
        <v>3</v>
      </c>
      <c r="N34" s="53">
        <v>16</v>
      </c>
      <c r="O34" s="24">
        <f>SUM(テーブル1[[#This Row],[列11]:[列12]])</f>
        <v>19</v>
      </c>
      <c r="P34" s="54"/>
      <c r="Q34" s="54"/>
      <c r="R34" s="24">
        <f t="shared" si="1"/>
        <v>19</v>
      </c>
      <c r="S34" s="25">
        <f t="shared" si="2"/>
        <v>200091</v>
      </c>
      <c r="T34" s="25">
        <f>COUNTIF($V$4:V34,V34)</f>
        <v>7</v>
      </c>
      <c r="U34" s="25" t="str">
        <f>IF(T34=1,COUNTIF($T$4:T34,1),"")</f>
        <v/>
      </c>
      <c r="V34" s="26" t="str">
        <f>'施設状況(要更新)'!$E34&amp;'施設状況(要更新)'!$C34</f>
        <v>北区04小規模A・B・C</v>
      </c>
      <c r="W34" s="26" t="str">
        <f>'施設状況(要更新)'!$F34</f>
        <v>太平桜の花保育園</v>
      </c>
      <c r="X34" s="27">
        <v>30</v>
      </c>
      <c r="Y34" s="28" t="str">
        <f t="shared" si="6"/>
        <v/>
      </c>
      <c r="Z34" s="26" t="str">
        <f t="shared" si="6"/>
        <v/>
      </c>
      <c r="AA34" s="26" t="str">
        <f t="shared" si="6"/>
        <v/>
      </c>
      <c r="AB34" s="26" t="str">
        <f t="shared" si="6"/>
        <v/>
      </c>
      <c r="AC34" s="26" t="str">
        <f t="shared" si="6"/>
        <v/>
      </c>
      <c r="AD34" s="26" t="str">
        <f t="shared" si="6"/>
        <v/>
      </c>
      <c r="AE34" s="26" t="str">
        <f t="shared" si="6"/>
        <v/>
      </c>
      <c r="AF34" s="26" t="str">
        <f t="shared" si="6"/>
        <v/>
      </c>
      <c r="AG34" s="26" t="str">
        <f t="shared" si="6"/>
        <v/>
      </c>
      <c r="AH34" s="26" t="str">
        <f t="shared" si="6"/>
        <v/>
      </c>
      <c r="AI34" s="26" t="str">
        <f t="shared" si="6"/>
        <v/>
      </c>
      <c r="AJ34" s="26" t="str">
        <f t="shared" si="6"/>
        <v/>
      </c>
      <c r="AK34" s="26" t="str">
        <f t="shared" si="6"/>
        <v/>
      </c>
      <c r="AL34" s="26" t="str">
        <f t="shared" si="6"/>
        <v/>
      </c>
      <c r="AM34" s="26" t="str">
        <f t="shared" si="6"/>
        <v/>
      </c>
      <c r="AN34" s="26">
        <f t="shared" si="6"/>
        <v>0</v>
      </c>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DJ34" s="29"/>
    </row>
    <row r="35" spans="1:114">
      <c r="A35" s="55">
        <v>200095</v>
      </c>
      <c r="B35" s="53" t="s">
        <v>182</v>
      </c>
      <c r="C35" s="53" t="s">
        <v>451</v>
      </c>
      <c r="D35" s="53" t="s">
        <v>194</v>
      </c>
      <c r="E35" s="53" t="s">
        <v>183</v>
      </c>
      <c r="F35" s="54" t="s">
        <v>846</v>
      </c>
      <c r="G35" s="54"/>
      <c r="H35" s="54"/>
      <c r="I35" s="54"/>
      <c r="J35" s="53">
        <v>19</v>
      </c>
      <c r="K35" s="53">
        <v>0</v>
      </c>
      <c r="L35" s="53">
        <v>0</v>
      </c>
      <c r="M35" s="53">
        <v>3</v>
      </c>
      <c r="N35" s="53">
        <v>16</v>
      </c>
      <c r="O35" s="24">
        <f>SUM(テーブル1[[#This Row],[列11]:[列12]])</f>
        <v>19</v>
      </c>
      <c r="P35" s="54"/>
      <c r="Q35" s="54"/>
      <c r="R35" s="24">
        <f t="shared" si="1"/>
        <v>19</v>
      </c>
      <c r="S35" s="25">
        <f t="shared" si="2"/>
        <v>200095</v>
      </c>
      <c r="T35" s="25">
        <f>COUNTIF($V$4:V35,V35)</f>
        <v>8</v>
      </c>
      <c r="U35" s="25" t="str">
        <f>IF(T35=1,COUNTIF($T$4:T35,1),"")</f>
        <v/>
      </c>
      <c r="V35" s="26" t="str">
        <f>'施設状況(要更新)'!$E35&amp;'施設状況(要更新)'!$C35</f>
        <v>北区04小規模A・B・C</v>
      </c>
      <c r="W35" s="26" t="str">
        <f>'施設状況(要更新)'!$F35</f>
        <v>麻生アンジェロ保育園</v>
      </c>
      <c r="X35" s="27">
        <v>31</v>
      </c>
      <c r="Y35" s="28" t="str">
        <f t="shared" si="6"/>
        <v/>
      </c>
      <c r="Z35" s="26" t="str">
        <f t="shared" si="6"/>
        <v/>
      </c>
      <c r="AA35" s="26" t="str">
        <f t="shared" si="6"/>
        <v/>
      </c>
      <c r="AB35" s="26" t="str">
        <f t="shared" si="6"/>
        <v/>
      </c>
      <c r="AC35" s="26" t="str">
        <f t="shared" si="6"/>
        <v/>
      </c>
      <c r="AD35" s="26" t="str">
        <f t="shared" si="6"/>
        <v/>
      </c>
      <c r="AE35" s="26" t="str">
        <f t="shared" si="6"/>
        <v/>
      </c>
      <c r="AF35" s="26" t="str">
        <f t="shared" si="6"/>
        <v/>
      </c>
      <c r="AG35" s="26" t="str">
        <f t="shared" si="6"/>
        <v/>
      </c>
      <c r="AH35" s="26" t="str">
        <f t="shared" si="6"/>
        <v/>
      </c>
      <c r="AI35" s="26" t="str">
        <f t="shared" si="6"/>
        <v/>
      </c>
      <c r="AJ35" s="26" t="str">
        <f t="shared" si="6"/>
        <v/>
      </c>
      <c r="AK35" s="26" t="str">
        <f t="shared" si="6"/>
        <v/>
      </c>
      <c r="AL35" s="26" t="str">
        <f t="shared" si="6"/>
        <v/>
      </c>
      <c r="AM35" s="26" t="str">
        <f t="shared" si="6"/>
        <v/>
      </c>
      <c r="AN35" s="26">
        <f t="shared" si="6"/>
        <v>0</v>
      </c>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DJ35" s="29"/>
    </row>
    <row r="36" spans="1:114">
      <c r="A36" s="55">
        <v>200061</v>
      </c>
      <c r="B36" s="53" t="s">
        <v>182</v>
      </c>
      <c r="C36" s="53" t="s">
        <v>451</v>
      </c>
      <c r="D36" s="53" t="s">
        <v>194</v>
      </c>
      <c r="E36" s="53" t="s">
        <v>183</v>
      </c>
      <c r="F36" s="54" t="s">
        <v>208</v>
      </c>
      <c r="G36" s="54"/>
      <c r="H36" s="54"/>
      <c r="I36" s="54"/>
      <c r="J36" s="53">
        <v>12</v>
      </c>
      <c r="K36" s="53">
        <v>0</v>
      </c>
      <c r="L36" s="53">
        <v>0</v>
      </c>
      <c r="M36" s="53">
        <v>2</v>
      </c>
      <c r="N36" s="53">
        <v>10</v>
      </c>
      <c r="O36" s="24">
        <f>SUM(テーブル1[[#This Row],[列11]:[列12]])</f>
        <v>12</v>
      </c>
      <c r="P36" s="54"/>
      <c r="Q36" s="54"/>
      <c r="R36" s="24">
        <f t="shared" si="1"/>
        <v>12</v>
      </c>
      <c r="S36" s="25">
        <f t="shared" si="2"/>
        <v>200061</v>
      </c>
      <c r="T36" s="25">
        <f>COUNTIF($V$4:V36,V36)</f>
        <v>9</v>
      </c>
      <c r="U36" s="25" t="str">
        <f>IF(T36=1,COUNTIF($T$4:T36,1),"")</f>
        <v/>
      </c>
      <c r="V36" s="26" t="str">
        <f>'施設状況(要更新)'!$E36&amp;'施設状況(要更新)'!$C36</f>
        <v>北区04小規模A・B・C</v>
      </c>
      <c r="W36" s="26" t="str">
        <f>'施設状況(要更新)'!$F36</f>
        <v>プチトマト保育室</v>
      </c>
      <c r="X36" s="27">
        <v>32</v>
      </c>
      <c r="Y36" s="28" t="str">
        <f t="shared" si="6"/>
        <v/>
      </c>
      <c r="Z36" s="26" t="str">
        <f t="shared" si="6"/>
        <v/>
      </c>
      <c r="AA36" s="26" t="str">
        <f t="shared" si="6"/>
        <v/>
      </c>
      <c r="AB36" s="26" t="str">
        <f t="shared" si="6"/>
        <v/>
      </c>
      <c r="AC36" s="26" t="str">
        <f t="shared" si="6"/>
        <v/>
      </c>
      <c r="AD36" s="26" t="str">
        <f t="shared" si="6"/>
        <v/>
      </c>
      <c r="AE36" s="26" t="str">
        <f t="shared" si="6"/>
        <v/>
      </c>
      <c r="AF36" s="26" t="str">
        <f t="shared" si="6"/>
        <v/>
      </c>
      <c r="AG36" s="26" t="str">
        <f t="shared" si="6"/>
        <v/>
      </c>
      <c r="AH36" s="26" t="str">
        <f t="shared" si="6"/>
        <v/>
      </c>
      <c r="AI36" s="26" t="str">
        <f t="shared" si="6"/>
        <v/>
      </c>
      <c r="AJ36" s="26" t="str">
        <f t="shared" si="6"/>
        <v/>
      </c>
      <c r="AK36" s="26" t="str">
        <f t="shared" si="6"/>
        <v/>
      </c>
      <c r="AL36" s="26" t="str">
        <f t="shared" si="6"/>
        <v/>
      </c>
      <c r="AM36" s="26" t="str">
        <f t="shared" si="6"/>
        <v/>
      </c>
      <c r="AN36" s="26">
        <f t="shared" si="6"/>
        <v>0</v>
      </c>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DJ36" s="29"/>
    </row>
    <row r="37" spans="1:114">
      <c r="A37" s="55">
        <v>200100</v>
      </c>
      <c r="B37" s="53" t="s">
        <v>182</v>
      </c>
      <c r="C37" s="53" t="s">
        <v>451</v>
      </c>
      <c r="D37" s="53" t="s">
        <v>194</v>
      </c>
      <c r="E37" s="53" t="s">
        <v>183</v>
      </c>
      <c r="F37" s="54" t="s">
        <v>215</v>
      </c>
      <c r="G37" s="54"/>
      <c r="H37" s="54"/>
      <c r="I37" s="54"/>
      <c r="J37" s="53">
        <v>19</v>
      </c>
      <c r="K37" s="53">
        <v>0</v>
      </c>
      <c r="L37" s="53">
        <v>0</v>
      </c>
      <c r="M37" s="53">
        <v>3</v>
      </c>
      <c r="N37" s="53">
        <v>16</v>
      </c>
      <c r="O37" s="24">
        <f>SUM(テーブル1[[#This Row],[列11]:[列12]])</f>
        <v>19</v>
      </c>
      <c r="P37" s="54"/>
      <c r="Q37" s="54"/>
      <c r="R37" s="24">
        <f t="shared" si="1"/>
        <v>19</v>
      </c>
      <c r="S37" s="25">
        <f t="shared" si="2"/>
        <v>200100</v>
      </c>
      <c r="T37" s="25">
        <f>COUNTIF($V$4:V37,V37)</f>
        <v>10</v>
      </c>
      <c r="U37" s="25" t="str">
        <f>IF(T37=1,COUNTIF($T$4:T37,1),"")</f>
        <v/>
      </c>
      <c r="V37" s="26" t="str">
        <f>'施設状況(要更新)'!$E37&amp;'施設状況(要更新)'!$C37</f>
        <v>北区04小規模A・B・C</v>
      </c>
      <c r="W37" s="26" t="str">
        <f>'施設状況(要更新)'!$F37</f>
        <v>オリオン</v>
      </c>
      <c r="X37" s="27">
        <v>33</v>
      </c>
      <c r="Y37" s="28" t="str">
        <f t="shared" si="6"/>
        <v/>
      </c>
      <c r="Z37" s="26" t="str">
        <f t="shared" si="6"/>
        <v/>
      </c>
      <c r="AA37" s="26" t="str">
        <f t="shared" si="6"/>
        <v/>
      </c>
      <c r="AB37" s="26" t="str">
        <f t="shared" si="6"/>
        <v/>
      </c>
      <c r="AC37" s="26" t="str">
        <f t="shared" si="6"/>
        <v/>
      </c>
      <c r="AD37" s="26" t="str">
        <f t="shared" si="6"/>
        <v/>
      </c>
      <c r="AE37" s="26" t="str">
        <f t="shared" si="6"/>
        <v/>
      </c>
      <c r="AF37" s="26" t="str">
        <f t="shared" si="6"/>
        <v/>
      </c>
      <c r="AG37" s="26" t="str">
        <f t="shared" si="6"/>
        <v/>
      </c>
      <c r="AH37" s="26" t="str">
        <f t="shared" si="6"/>
        <v/>
      </c>
      <c r="AI37" s="26" t="str">
        <f t="shared" si="6"/>
        <v/>
      </c>
      <c r="AJ37" s="26" t="str">
        <f t="shared" si="6"/>
        <v/>
      </c>
      <c r="AK37" s="26" t="str">
        <f t="shared" si="6"/>
        <v/>
      </c>
      <c r="AL37" s="26" t="str">
        <f t="shared" si="6"/>
        <v/>
      </c>
      <c r="AM37" s="26" t="str">
        <f t="shared" si="6"/>
        <v/>
      </c>
      <c r="AN37" s="26">
        <f t="shared" si="6"/>
        <v>0</v>
      </c>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DJ37" s="29"/>
    </row>
    <row r="38" spans="1:114">
      <c r="A38" s="55">
        <v>200101</v>
      </c>
      <c r="B38" s="53" t="s">
        <v>182</v>
      </c>
      <c r="C38" s="53" t="s">
        <v>451</v>
      </c>
      <c r="D38" s="53" t="s">
        <v>194</v>
      </c>
      <c r="E38" s="53" t="s">
        <v>183</v>
      </c>
      <c r="F38" s="54" t="s">
        <v>1032</v>
      </c>
      <c r="G38" s="54"/>
      <c r="H38" s="54"/>
      <c r="I38" s="54"/>
      <c r="J38" s="53">
        <v>19</v>
      </c>
      <c r="K38" s="53">
        <v>0</v>
      </c>
      <c r="L38" s="53">
        <v>0</v>
      </c>
      <c r="M38" s="53">
        <v>3</v>
      </c>
      <c r="N38" s="53">
        <v>16</v>
      </c>
      <c r="O38" s="24">
        <f>SUM(テーブル1[[#This Row],[列11]:[列12]])</f>
        <v>19</v>
      </c>
      <c r="P38" s="54"/>
      <c r="Q38" s="54"/>
      <c r="R38" s="24">
        <f t="shared" si="1"/>
        <v>19</v>
      </c>
      <c r="S38" s="25">
        <f t="shared" si="2"/>
        <v>200101</v>
      </c>
      <c r="T38" s="25">
        <f>COUNTIF($V$4:V38,V38)</f>
        <v>11</v>
      </c>
      <c r="U38" s="25" t="str">
        <f>IF(T38=1,COUNTIF($T$4:T38,1),"")</f>
        <v/>
      </c>
      <c r="V38" s="26" t="str">
        <f>'施設状況(要更新)'!$E38&amp;'施設状況(要更新)'!$C38</f>
        <v>北区04小規模A・B・C</v>
      </c>
      <c r="W38" s="26" t="str">
        <f>'施設状況(要更新)'!$F38</f>
        <v>木育こどもの家屯田園</v>
      </c>
      <c r="X38" s="27">
        <v>34</v>
      </c>
      <c r="Y38" s="28" t="str">
        <f t="shared" si="6"/>
        <v/>
      </c>
      <c r="Z38" s="26" t="str">
        <f t="shared" si="6"/>
        <v/>
      </c>
      <c r="AA38" s="26" t="str">
        <f t="shared" si="6"/>
        <v/>
      </c>
      <c r="AB38" s="26" t="str">
        <f t="shared" si="6"/>
        <v/>
      </c>
      <c r="AC38" s="26" t="str">
        <f t="shared" si="6"/>
        <v/>
      </c>
      <c r="AD38" s="26" t="str">
        <f t="shared" si="6"/>
        <v/>
      </c>
      <c r="AE38" s="26" t="str">
        <f t="shared" si="6"/>
        <v/>
      </c>
      <c r="AF38" s="26" t="str">
        <f t="shared" si="6"/>
        <v/>
      </c>
      <c r="AG38" s="26" t="str">
        <f t="shared" si="6"/>
        <v/>
      </c>
      <c r="AH38" s="26" t="str">
        <f t="shared" si="6"/>
        <v/>
      </c>
      <c r="AI38" s="26" t="str">
        <f t="shared" si="6"/>
        <v/>
      </c>
      <c r="AJ38" s="26" t="str">
        <f t="shared" si="6"/>
        <v/>
      </c>
      <c r="AK38" s="26" t="str">
        <f t="shared" si="6"/>
        <v/>
      </c>
      <c r="AL38" s="26" t="str">
        <f t="shared" si="6"/>
        <v/>
      </c>
      <c r="AM38" s="26" t="str">
        <f t="shared" si="6"/>
        <v/>
      </c>
      <c r="AN38" s="26">
        <f t="shared" si="6"/>
        <v>0</v>
      </c>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DJ38" s="29"/>
    </row>
    <row r="39" spans="1:114">
      <c r="A39" s="55">
        <v>200103</v>
      </c>
      <c r="B39" s="53" t="s">
        <v>182</v>
      </c>
      <c r="C39" s="53" t="s">
        <v>451</v>
      </c>
      <c r="D39" s="53" t="s">
        <v>194</v>
      </c>
      <c r="E39" s="53" t="s">
        <v>183</v>
      </c>
      <c r="F39" s="54" t="s">
        <v>847</v>
      </c>
      <c r="G39" s="54"/>
      <c r="H39" s="54"/>
      <c r="I39" s="54"/>
      <c r="J39" s="53">
        <v>16</v>
      </c>
      <c r="K39" s="53">
        <v>0</v>
      </c>
      <c r="L39" s="53">
        <v>0</v>
      </c>
      <c r="M39" s="53">
        <v>2</v>
      </c>
      <c r="N39" s="53">
        <v>10</v>
      </c>
      <c r="O39" s="24">
        <f>SUM(テーブル1[[#This Row],[列11]:[列12]])</f>
        <v>12</v>
      </c>
      <c r="P39" s="54"/>
      <c r="Q39" s="54"/>
      <c r="R39" s="24">
        <f t="shared" si="1"/>
        <v>12</v>
      </c>
      <c r="S39" s="25">
        <f t="shared" si="2"/>
        <v>200103</v>
      </c>
      <c r="T39" s="25">
        <f>COUNTIF($V$4:V39,V39)</f>
        <v>12</v>
      </c>
      <c r="U39" s="25" t="str">
        <f>IF(T39=1,COUNTIF($T$4:T39,1),"")</f>
        <v/>
      </c>
      <c r="V39" s="26" t="str">
        <f>'施設状況(要更新)'!$E39&amp;'施設状況(要更新)'!$C39</f>
        <v>北区04小規模A・B・C</v>
      </c>
      <c r="W39" s="26" t="str">
        <f>'施設状況(要更新)'!$F39</f>
        <v>きずな新琴似保育園</v>
      </c>
      <c r="X39" s="27">
        <v>35</v>
      </c>
      <c r="Y39" s="28" t="str">
        <f t="shared" si="6"/>
        <v/>
      </c>
      <c r="Z39" s="26" t="str">
        <f t="shared" si="6"/>
        <v/>
      </c>
      <c r="AA39" s="26" t="str">
        <f t="shared" si="6"/>
        <v/>
      </c>
      <c r="AB39" s="26" t="str">
        <f t="shared" si="6"/>
        <v/>
      </c>
      <c r="AC39" s="26" t="str">
        <f t="shared" si="6"/>
        <v/>
      </c>
      <c r="AD39" s="26" t="str">
        <f t="shared" si="6"/>
        <v/>
      </c>
      <c r="AE39" s="26" t="str">
        <f t="shared" si="6"/>
        <v/>
      </c>
      <c r="AF39" s="26" t="str">
        <f t="shared" si="6"/>
        <v/>
      </c>
      <c r="AG39" s="26" t="str">
        <f t="shared" si="6"/>
        <v/>
      </c>
      <c r="AH39" s="26" t="str">
        <f t="shared" si="6"/>
        <v/>
      </c>
      <c r="AI39" s="26" t="str">
        <f t="shared" si="6"/>
        <v/>
      </c>
      <c r="AJ39" s="26" t="str">
        <f t="shared" si="6"/>
        <v/>
      </c>
      <c r="AK39" s="26" t="str">
        <f t="shared" si="6"/>
        <v/>
      </c>
      <c r="AL39" s="26" t="str">
        <f t="shared" si="6"/>
        <v/>
      </c>
      <c r="AM39" s="26" t="str">
        <f t="shared" si="6"/>
        <v/>
      </c>
      <c r="AN39" s="26">
        <f t="shared" ref="AN39" si="7">IFERROR(INDEX($T$4:$W$700,MATCH($X39&amp;AN$3,INDEX($T$4:$T$700&amp;$V$4:$V$700,),0),MATCH("施設名",$T$3:$W$3,0)),"")</f>
        <v>0</v>
      </c>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DJ39" s="29"/>
    </row>
    <row r="40" spans="1:114">
      <c r="A40" s="55">
        <v>200109</v>
      </c>
      <c r="B40" s="53" t="s">
        <v>182</v>
      </c>
      <c r="C40" s="53" t="s">
        <v>451</v>
      </c>
      <c r="D40" s="53" t="s">
        <v>194</v>
      </c>
      <c r="E40" s="53" t="s">
        <v>183</v>
      </c>
      <c r="F40" s="54" t="s">
        <v>848</v>
      </c>
      <c r="G40" s="54"/>
      <c r="H40" s="54"/>
      <c r="I40" s="54"/>
      <c r="J40" s="53">
        <v>19</v>
      </c>
      <c r="K40" s="53">
        <v>0</v>
      </c>
      <c r="L40" s="53">
        <v>0</v>
      </c>
      <c r="M40" s="53">
        <v>2</v>
      </c>
      <c r="N40" s="53">
        <v>10</v>
      </c>
      <c r="O40" s="24">
        <f>SUM(テーブル1[[#This Row],[列11]:[列12]])</f>
        <v>12</v>
      </c>
      <c r="P40" s="54"/>
      <c r="Q40" s="54"/>
      <c r="R40" s="24">
        <f t="shared" si="1"/>
        <v>12</v>
      </c>
      <c r="S40" s="25">
        <f t="shared" si="2"/>
        <v>200109</v>
      </c>
      <c r="T40" s="25">
        <f>COUNTIF($V$4:V40,V40)</f>
        <v>13</v>
      </c>
      <c r="U40" s="25" t="str">
        <f>IF(T40=1,COUNTIF($T$4:T40,1),"")</f>
        <v/>
      </c>
      <c r="V40" s="26" t="str">
        <f>'施設状況(要更新)'!$E40&amp;'施設状況(要更新)'!$C40</f>
        <v>北区04小規模A・B・C</v>
      </c>
      <c r="W40" s="26" t="str">
        <f>'施設状況(要更新)'!$F40</f>
        <v>アートチャイルドケア札幌あいの里保育園</v>
      </c>
      <c r="X40" s="27">
        <v>36</v>
      </c>
      <c r="Y40" s="28" t="str">
        <f t="shared" ref="Y40:AN55" si="8">IFERROR(INDEX($T$4:$W$700,MATCH($X40&amp;Y$3,INDEX($T$4:$T$700&amp;$V$4:$V$700,),0),MATCH("施設名",$T$3:$W$3,0)),"")</f>
        <v/>
      </c>
      <c r="Z40" s="26" t="str">
        <f t="shared" si="8"/>
        <v/>
      </c>
      <c r="AA40" s="26" t="str">
        <f t="shared" si="8"/>
        <v/>
      </c>
      <c r="AB40" s="26" t="str">
        <f t="shared" si="8"/>
        <v/>
      </c>
      <c r="AC40" s="26" t="str">
        <f t="shared" si="8"/>
        <v/>
      </c>
      <c r="AD40" s="26" t="str">
        <f t="shared" si="8"/>
        <v/>
      </c>
      <c r="AE40" s="26" t="str">
        <f t="shared" si="8"/>
        <v/>
      </c>
      <c r="AF40" s="26" t="str">
        <f t="shared" si="8"/>
        <v/>
      </c>
      <c r="AG40" s="26" t="str">
        <f t="shared" si="8"/>
        <v/>
      </c>
      <c r="AH40" s="26" t="str">
        <f t="shared" si="8"/>
        <v/>
      </c>
      <c r="AI40" s="26" t="str">
        <f t="shared" si="8"/>
        <v/>
      </c>
      <c r="AJ40" s="26" t="str">
        <f t="shared" si="8"/>
        <v/>
      </c>
      <c r="AK40" s="26" t="str">
        <f t="shared" si="8"/>
        <v/>
      </c>
      <c r="AL40" s="26" t="str">
        <f t="shared" si="8"/>
        <v/>
      </c>
      <c r="AM40" s="26" t="str">
        <f t="shared" si="8"/>
        <v/>
      </c>
      <c r="AN40" s="26">
        <f t="shared" si="8"/>
        <v>0</v>
      </c>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DJ40" s="29"/>
    </row>
    <row r="41" spans="1:114">
      <c r="A41" s="55">
        <v>200110</v>
      </c>
      <c r="B41" s="53" t="s">
        <v>182</v>
      </c>
      <c r="C41" s="53" t="s">
        <v>451</v>
      </c>
      <c r="D41" s="53" t="s">
        <v>194</v>
      </c>
      <c r="E41" s="53" t="s">
        <v>183</v>
      </c>
      <c r="F41" s="54" t="s">
        <v>849</v>
      </c>
      <c r="G41" s="54"/>
      <c r="H41" s="54"/>
      <c r="I41" s="54"/>
      <c r="J41" s="53">
        <v>19</v>
      </c>
      <c r="K41" s="53">
        <v>0</v>
      </c>
      <c r="L41" s="53">
        <v>0</v>
      </c>
      <c r="M41" s="53">
        <v>3</v>
      </c>
      <c r="N41" s="53">
        <v>16</v>
      </c>
      <c r="O41" s="24">
        <f>SUM(テーブル1[[#This Row],[列11]:[列12]])</f>
        <v>19</v>
      </c>
      <c r="P41" s="54"/>
      <c r="Q41" s="54"/>
      <c r="R41" s="24">
        <f t="shared" si="1"/>
        <v>19</v>
      </c>
      <c r="S41" s="25">
        <f t="shared" si="2"/>
        <v>200110</v>
      </c>
      <c r="T41" s="25">
        <f>COUNTIF($V$4:V41,V41)</f>
        <v>14</v>
      </c>
      <c r="U41" s="25" t="str">
        <f>IF(T41=1,COUNTIF($T$4:T41,1),"")</f>
        <v/>
      </c>
      <c r="V41" s="26" t="str">
        <f>'施設状況(要更新)'!$E41&amp;'施設状況(要更新)'!$C41</f>
        <v>北区04小規模A・B・C</v>
      </c>
      <c r="W41" s="26" t="str">
        <f>'施設状況(要更新)'!$F41</f>
        <v>木育こどもの家新川園</v>
      </c>
      <c r="X41" s="27">
        <v>37</v>
      </c>
      <c r="Y41" s="28" t="str">
        <f t="shared" si="8"/>
        <v/>
      </c>
      <c r="Z41" s="26" t="str">
        <f t="shared" si="8"/>
        <v/>
      </c>
      <c r="AA41" s="26" t="str">
        <f t="shared" si="8"/>
        <v/>
      </c>
      <c r="AB41" s="26" t="str">
        <f t="shared" si="8"/>
        <v/>
      </c>
      <c r="AC41" s="26" t="str">
        <f t="shared" si="8"/>
        <v/>
      </c>
      <c r="AD41" s="26" t="str">
        <f t="shared" si="8"/>
        <v/>
      </c>
      <c r="AE41" s="26" t="str">
        <f t="shared" si="8"/>
        <v/>
      </c>
      <c r="AF41" s="26" t="str">
        <f t="shared" si="8"/>
        <v/>
      </c>
      <c r="AG41" s="26" t="str">
        <f t="shared" si="8"/>
        <v/>
      </c>
      <c r="AH41" s="26" t="str">
        <f t="shared" si="8"/>
        <v/>
      </c>
      <c r="AI41" s="26" t="str">
        <f t="shared" si="8"/>
        <v/>
      </c>
      <c r="AJ41" s="26" t="str">
        <f t="shared" si="8"/>
        <v/>
      </c>
      <c r="AK41" s="26" t="str">
        <f t="shared" si="8"/>
        <v/>
      </c>
      <c r="AL41" s="26" t="str">
        <f t="shared" si="8"/>
        <v/>
      </c>
      <c r="AM41" s="26" t="str">
        <f t="shared" si="8"/>
        <v/>
      </c>
      <c r="AN41" s="26">
        <f t="shared" si="8"/>
        <v>0</v>
      </c>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DJ41" s="29"/>
    </row>
    <row r="42" spans="1:114">
      <c r="A42" s="55">
        <v>300059</v>
      </c>
      <c r="B42" s="53" t="s">
        <v>182</v>
      </c>
      <c r="C42" s="53" t="s">
        <v>451</v>
      </c>
      <c r="D42" s="53" t="s">
        <v>194</v>
      </c>
      <c r="E42" s="53" t="s">
        <v>184</v>
      </c>
      <c r="F42" s="54" t="s">
        <v>216</v>
      </c>
      <c r="G42" s="54"/>
      <c r="H42" s="54"/>
      <c r="I42" s="54"/>
      <c r="J42" s="53">
        <v>13</v>
      </c>
      <c r="K42" s="53">
        <v>0</v>
      </c>
      <c r="L42" s="53">
        <v>0</v>
      </c>
      <c r="M42" s="53">
        <v>2</v>
      </c>
      <c r="N42" s="966">
        <v>10</v>
      </c>
      <c r="O42" s="24">
        <f>SUM(テーブル1[[#This Row],[列11]:[列12]])</f>
        <v>12</v>
      </c>
      <c r="P42" s="54"/>
      <c r="Q42" s="54"/>
      <c r="R42" s="24">
        <f t="shared" si="1"/>
        <v>12</v>
      </c>
      <c r="S42" s="25">
        <f t="shared" si="2"/>
        <v>300059</v>
      </c>
      <c r="T42" s="25">
        <f>COUNTIF($V$4:V42,V42)</f>
        <v>1</v>
      </c>
      <c r="U42" s="25">
        <f>IF(T42=1,COUNTIF($T$4:T42,1),"")</f>
        <v>3</v>
      </c>
      <c r="V42" s="26" t="str">
        <f>'施設状況(要更新)'!$E42&amp;'施設状況(要更新)'!$C42</f>
        <v>東区04小規模A・B・C</v>
      </c>
      <c r="W42" s="26" t="str">
        <f>'施設状況(要更新)'!$F42</f>
        <v>あいあい保育園</v>
      </c>
      <c r="X42" s="27">
        <v>38</v>
      </c>
      <c r="Y42" s="28" t="str">
        <f t="shared" si="8"/>
        <v/>
      </c>
      <c r="Z42" s="26" t="str">
        <f t="shared" si="8"/>
        <v/>
      </c>
      <c r="AA42" s="26" t="str">
        <f t="shared" si="8"/>
        <v/>
      </c>
      <c r="AB42" s="26" t="str">
        <f t="shared" si="8"/>
        <v/>
      </c>
      <c r="AC42" s="26" t="str">
        <f t="shared" si="8"/>
        <v/>
      </c>
      <c r="AD42" s="26" t="str">
        <f t="shared" si="8"/>
        <v/>
      </c>
      <c r="AE42" s="26" t="str">
        <f t="shared" si="8"/>
        <v/>
      </c>
      <c r="AF42" s="26" t="str">
        <f t="shared" si="8"/>
        <v/>
      </c>
      <c r="AG42" s="26" t="str">
        <f t="shared" si="8"/>
        <v/>
      </c>
      <c r="AH42" s="26" t="str">
        <f t="shared" si="8"/>
        <v/>
      </c>
      <c r="AI42" s="26" t="str">
        <f t="shared" si="8"/>
        <v/>
      </c>
      <c r="AJ42" s="26" t="str">
        <f t="shared" si="8"/>
        <v/>
      </c>
      <c r="AK42" s="26" t="str">
        <f t="shared" si="8"/>
        <v/>
      </c>
      <c r="AL42" s="26" t="str">
        <f t="shared" si="8"/>
        <v/>
      </c>
      <c r="AM42" s="26" t="str">
        <f t="shared" si="8"/>
        <v/>
      </c>
      <c r="AN42" s="26">
        <f t="shared" si="8"/>
        <v>0</v>
      </c>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DJ42" s="29"/>
    </row>
    <row r="43" spans="1:114">
      <c r="A43" s="55">
        <v>300069</v>
      </c>
      <c r="B43" s="53" t="s">
        <v>182</v>
      </c>
      <c r="C43" s="53" t="s">
        <v>451</v>
      </c>
      <c r="D43" s="53" t="s">
        <v>194</v>
      </c>
      <c r="E43" s="53" t="s">
        <v>184</v>
      </c>
      <c r="F43" s="54" t="s">
        <v>217</v>
      </c>
      <c r="G43" s="54"/>
      <c r="H43" s="54"/>
      <c r="I43" s="54"/>
      <c r="J43" s="53">
        <v>19</v>
      </c>
      <c r="K43" s="53">
        <v>0</v>
      </c>
      <c r="L43" s="53">
        <v>0</v>
      </c>
      <c r="M43" s="53">
        <v>6</v>
      </c>
      <c r="N43" s="53">
        <v>13</v>
      </c>
      <c r="O43" s="24">
        <f>SUM(テーブル1[[#This Row],[列11]:[列12]])</f>
        <v>19</v>
      </c>
      <c r="P43" s="54"/>
      <c r="Q43" s="54"/>
      <c r="R43" s="24">
        <f t="shared" si="1"/>
        <v>19</v>
      </c>
      <c r="S43" s="25">
        <f t="shared" si="2"/>
        <v>300069</v>
      </c>
      <c r="T43" s="25">
        <f>COUNTIF($V$4:V43,V43)</f>
        <v>2</v>
      </c>
      <c r="U43" s="25" t="str">
        <f>IF(T43=1,COUNTIF($T$4:T43,1),"")</f>
        <v/>
      </c>
      <c r="V43" s="26" t="str">
        <f>'施設状況(要更新)'!$E43&amp;'施設状況(要更新)'!$C43</f>
        <v>東区04小規模A・B・C</v>
      </c>
      <c r="W43" s="26" t="str">
        <f>'施設状況(要更新)'!$F43</f>
        <v>ぴっころきっず元町</v>
      </c>
      <c r="X43" s="27">
        <v>39</v>
      </c>
      <c r="Y43" s="28" t="str">
        <f t="shared" si="8"/>
        <v/>
      </c>
      <c r="Z43" s="26" t="str">
        <f t="shared" si="8"/>
        <v/>
      </c>
      <c r="AA43" s="26" t="str">
        <f t="shared" si="8"/>
        <v/>
      </c>
      <c r="AB43" s="26" t="str">
        <f t="shared" si="8"/>
        <v/>
      </c>
      <c r="AC43" s="26" t="str">
        <f t="shared" si="8"/>
        <v/>
      </c>
      <c r="AD43" s="26" t="str">
        <f t="shared" si="8"/>
        <v/>
      </c>
      <c r="AE43" s="26" t="str">
        <f t="shared" si="8"/>
        <v/>
      </c>
      <c r="AF43" s="26" t="str">
        <f t="shared" si="8"/>
        <v/>
      </c>
      <c r="AG43" s="26" t="str">
        <f t="shared" si="8"/>
        <v/>
      </c>
      <c r="AH43" s="26" t="str">
        <f t="shared" si="8"/>
        <v/>
      </c>
      <c r="AI43" s="26" t="str">
        <f t="shared" si="8"/>
        <v/>
      </c>
      <c r="AJ43" s="26" t="str">
        <f t="shared" si="8"/>
        <v/>
      </c>
      <c r="AK43" s="26" t="str">
        <f t="shared" si="8"/>
        <v/>
      </c>
      <c r="AL43" s="26" t="str">
        <f t="shared" si="8"/>
        <v/>
      </c>
      <c r="AM43" s="26" t="str">
        <f t="shared" si="8"/>
        <v/>
      </c>
      <c r="AN43" s="26">
        <f t="shared" si="8"/>
        <v>0</v>
      </c>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DJ43" s="29"/>
    </row>
    <row r="44" spans="1:114">
      <c r="A44" s="55">
        <v>300092</v>
      </c>
      <c r="B44" s="53" t="s">
        <v>182</v>
      </c>
      <c r="C44" s="53" t="s">
        <v>451</v>
      </c>
      <c r="D44" s="53" t="s">
        <v>194</v>
      </c>
      <c r="E44" s="53" t="s">
        <v>184</v>
      </c>
      <c r="F44" s="54" t="s">
        <v>853</v>
      </c>
      <c r="G44" s="54"/>
      <c r="H44" s="54"/>
      <c r="I44" s="54"/>
      <c r="J44" s="53">
        <v>12</v>
      </c>
      <c r="K44" s="53">
        <v>0</v>
      </c>
      <c r="L44" s="53">
        <v>0</v>
      </c>
      <c r="M44" s="53">
        <v>2</v>
      </c>
      <c r="N44" s="53">
        <v>10</v>
      </c>
      <c r="O44" s="24">
        <f>SUM(テーブル1[[#This Row],[列11]:[列12]])</f>
        <v>12</v>
      </c>
      <c r="P44" s="54"/>
      <c r="Q44" s="54"/>
      <c r="R44" s="24">
        <f t="shared" si="1"/>
        <v>12</v>
      </c>
      <c r="S44" s="25">
        <f t="shared" si="2"/>
        <v>300092</v>
      </c>
      <c r="T44" s="25">
        <f>COUNTIF($V$4:V44,V44)</f>
        <v>3</v>
      </c>
      <c r="U44" s="25" t="str">
        <f>IF(T44=1,COUNTIF($T$4:T44,1),"")</f>
        <v/>
      </c>
      <c r="V44" s="26" t="str">
        <f>'施設状況(要更新)'!$E44&amp;'施設状況(要更新)'!$C44</f>
        <v>東区04小規模A・B・C</v>
      </c>
      <c r="W44" s="26" t="str">
        <f>'施設状況(要更新)'!$F44</f>
        <v>びくとりー保育園</v>
      </c>
      <c r="X44" s="27">
        <v>40</v>
      </c>
      <c r="Y44" s="28" t="str">
        <f t="shared" si="8"/>
        <v/>
      </c>
      <c r="Z44" s="26" t="str">
        <f t="shared" si="8"/>
        <v/>
      </c>
      <c r="AA44" s="26" t="str">
        <f t="shared" si="8"/>
        <v/>
      </c>
      <c r="AB44" s="26" t="str">
        <f t="shared" si="8"/>
        <v/>
      </c>
      <c r="AC44" s="26" t="str">
        <f t="shared" si="8"/>
        <v/>
      </c>
      <c r="AD44" s="26" t="str">
        <f t="shared" si="8"/>
        <v/>
      </c>
      <c r="AE44" s="26" t="str">
        <f t="shared" si="8"/>
        <v/>
      </c>
      <c r="AF44" s="26" t="str">
        <f t="shared" si="8"/>
        <v/>
      </c>
      <c r="AG44" s="26" t="str">
        <f t="shared" si="8"/>
        <v/>
      </c>
      <c r="AH44" s="26" t="str">
        <f t="shared" si="8"/>
        <v/>
      </c>
      <c r="AI44" s="26" t="str">
        <f t="shared" si="8"/>
        <v/>
      </c>
      <c r="AJ44" s="26" t="str">
        <f t="shared" si="8"/>
        <v/>
      </c>
      <c r="AK44" s="26" t="str">
        <f t="shared" si="8"/>
        <v/>
      </c>
      <c r="AL44" s="26" t="str">
        <f t="shared" si="8"/>
        <v/>
      </c>
      <c r="AM44" s="26" t="str">
        <f t="shared" si="8"/>
        <v/>
      </c>
      <c r="AN44" s="26">
        <f t="shared" si="8"/>
        <v>0</v>
      </c>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DJ44" s="29"/>
    </row>
    <row r="45" spans="1:114">
      <c r="A45" s="55">
        <v>300082</v>
      </c>
      <c r="B45" s="53" t="s">
        <v>182</v>
      </c>
      <c r="C45" s="53" t="s">
        <v>451</v>
      </c>
      <c r="D45" s="53" t="s">
        <v>194</v>
      </c>
      <c r="E45" s="53" t="s">
        <v>184</v>
      </c>
      <c r="F45" s="54" t="s">
        <v>850</v>
      </c>
      <c r="G45" s="54"/>
      <c r="H45" s="54"/>
      <c r="I45" s="54"/>
      <c r="J45" s="53">
        <v>19</v>
      </c>
      <c r="K45" s="53">
        <v>0</v>
      </c>
      <c r="L45" s="53">
        <v>0</v>
      </c>
      <c r="M45" s="53">
        <v>3</v>
      </c>
      <c r="N45" s="53">
        <v>16</v>
      </c>
      <c r="O45" s="24">
        <f>SUM(テーブル1[[#This Row],[列11]:[列12]])</f>
        <v>19</v>
      </c>
      <c r="P45" s="54"/>
      <c r="Q45" s="54"/>
      <c r="R45" s="24">
        <f t="shared" si="1"/>
        <v>19</v>
      </c>
      <c r="S45" s="25">
        <f t="shared" si="2"/>
        <v>300082</v>
      </c>
      <c r="T45" s="25">
        <f>COUNTIF($V$4:V45,V45)</f>
        <v>4</v>
      </c>
      <c r="U45" s="25" t="str">
        <f>IF(T45=1,COUNTIF($T$4:T45,1),"")</f>
        <v/>
      </c>
      <c r="V45" s="26" t="str">
        <f>'施設状況(要更新)'!$E45&amp;'施設状況(要更新)'!$C45</f>
        <v>東区04小規模A・B・C</v>
      </c>
      <c r="W45" s="26" t="str">
        <f>'施設状況(要更新)'!$F45</f>
        <v>あうら乳児保育園</v>
      </c>
      <c r="X45" s="27">
        <v>41</v>
      </c>
      <c r="Y45" s="28" t="str">
        <f t="shared" si="8"/>
        <v/>
      </c>
      <c r="Z45" s="26" t="str">
        <f t="shared" si="8"/>
        <v/>
      </c>
      <c r="AA45" s="26" t="str">
        <f t="shared" si="8"/>
        <v/>
      </c>
      <c r="AB45" s="26" t="str">
        <f t="shared" si="8"/>
        <v/>
      </c>
      <c r="AC45" s="26" t="str">
        <f t="shared" si="8"/>
        <v/>
      </c>
      <c r="AD45" s="26" t="str">
        <f t="shared" si="8"/>
        <v/>
      </c>
      <c r="AE45" s="26" t="str">
        <f t="shared" si="8"/>
        <v/>
      </c>
      <c r="AF45" s="26" t="str">
        <f t="shared" si="8"/>
        <v/>
      </c>
      <c r="AG45" s="26" t="str">
        <f t="shared" si="8"/>
        <v/>
      </c>
      <c r="AH45" s="26" t="str">
        <f t="shared" si="8"/>
        <v/>
      </c>
      <c r="AI45" s="26" t="str">
        <f t="shared" si="8"/>
        <v/>
      </c>
      <c r="AJ45" s="26" t="str">
        <f t="shared" si="8"/>
        <v/>
      </c>
      <c r="AK45" s="26" t="str">
        <f t="shared" si="8"/>
        <v/>
      </c>
      <c r="AL45" s="26" t="str">
        <f t="shared" si="8"/>
        <v/>
      </c>
      <c r="AM45" s="26" t="str">
        <f t="shared" si="8"/>
        <v/>
      </c>
      <c r="AN45" s="26">
        <f t="shared" si="8"/>
        <v>0</v>
      </c>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DJ45" s="29"/>
    </row>
    <row r="46" spans="1:114">
      <c r="A46" s="55">
        <v>300087</v>
      </c>
      <c r="B46" s="53" t="s">
        <v>182</v>
      </c>
      <c r="C46" s="53" t="s">
        <v>451</v>
      </c>
      <c r="D46" s="53" t="s">
        <v>194</v>
      </c>
      <c r="E46" s="53" t="s">
        <v>184</v>
      </c>
      <c r="F46" s="54" t="s">
        <v>851</v>
      </c>
      <c r="G46" s="54"/>
      <c r="H46" s="54"/>
      <c r="I46" s="54"/>
      <c r="J46" s="53">
        <v>19</v>
      </c>
      <c r="K46" s="53">
        <v>0</v>
      </c>
      <c r="L46" s="53">
        <v>0</v>
      </c>
      <c r="M46" s="53">
        <v>1</v>
      </c>
      <c r="N46" s="53">
        <v>18</v>
      </c>
      <c r="O46" s="24">
        <f>SUM(テーブル1[[#This Row],[列11]:[列12]])</f>
        <v>19</v>
      </c>
      <c r="P46" s="54"/>
      <c r="Q46" s="54"/>
      <c r="R46" s="24">
        <f t="shared" si="1"/>
        <v>19</v>
      </c>
      <c r="S46" s="25">
        <f t="shared" si="2"/>
        <v>300087</v>
      </c>
      <c r="T46" s="25">
        <f>COUNTIF($V$4:V46,V46)</f>
        <v>5</v>
      </c>
      <c r="U46" s="25" t="str">
        <f>IF(T46=1,COUNTIF($T$4:T46,1),"")</f>
        <v/>
      </c>
      <c r="V46" s="26" t="str">
        <f>'施設状況(要更新)'!$E46&amp;'施設状況(要更新)'!$C46</f>
        <v>東区04小規模A・B・C</v>
      </c>
      <c r="W46" s="26" t="str">
        <f>'施設状況(要更新)'!$F46</f>
        <v>すこやか保育園北海道</v>
      </c>
      <c r="X46" s="27">
        <v>42</v>
      </c>
      <c r="Y46" s="28" t="str">
        <f t="shared" si="8"/>
        <v/>
      </c>
      <c r="Z46" s="26" t="str">
        <f t="shared" si="8"/>
        <v/>
      </c>
      <c r="AA46" s="26" t="str">
        <f t="shared" si="8"/>
        <v/>
      </c>
      <c r="AB46" s="26" t="str">
        <f t="shared" si="8"/>
        <v/>
      </c>
      <c r="AC46" s="26" t="str">
        <f t="shared" si="8"/>
        <v/>
      </c>
      <c r="AD46" s="26" t="str">
        <f t="shared" si="8"/>
        <v/>
      </c>
      <c r="AE46" s="26" t="str">
        <f t="shared" si="8"/>
        <v/>
      </c>
      <c r="AF46" s="26" t="str">
        <f t="shared" si="8"/>
        <v/>
      </c>
      <c r="AG46" s="26" t="str">
        <f t="shared" si="8"/>
        <v/>
      </c>
      <c r="AH46" s="26" t="str">
        <f t="shared" si="8"/>
        <v/>
      </c>
      <c r="AI46" s="26" t="str">
        <f t="shared" si="8"/>
        <v/>
      </c>
      <c r="AJ46" s="26" t="str">
        <f t="shared" si="8"/>
        <v/>
      </c>
      <c r="AK46" s="26" t="str">
        <f t="shared" si="8"/>
        <v/>
      </c>
      <c r="AL46" s="26" t="str">
        <f t="shared" si="8"/>
        <v/>
      </c>
      <c r="AM46" s="26" t="str">
        <f t="shared" si="8"/>
        <v/>
      </c>
      <c r="AN46" s="26">
        <f t="shared" si="8"/>
        <v>0</v>
      </c>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DJ46" s="29"/>
    </row>
    <row r="47" spans="1:114">
      <c r="A47" s="55">
        <v>300088</v>
      </c>
      <c r="B47" s="53" t="s">
        <v>182</v>
      </c>
      <c r="C47" s="53" t="s">
        <v>451</v>
      </c>
      <c r="D47" s="53" t="s">
        <v>194</v>
      </c>
      <c r="E47" s="53" t="s">
        <v>184</v>
      </c>
      <c r="F47" s="54" t="s">
        <v>852</v>
      </c>
      <c r="G47" s="54"/>
      <c r="H47" s="54"/>
      <c r="I47" s="54"/>
      <c r="J47" s="53">
        <v>19</v>
      </c>
      <c r="K47" s="53">
        <v>0</v>
      </c>
      <c r="L47" s="53">
        <v>0</v>
      </c>
      <c r="M47" s="53">
        <v>3</v>
      </c>
      <c r="N47" s="53">
        <v>16</v>
      </c>
      <c r="O47" s="24">
        <f>SUM(テーブル1[[#This Row],[列11]:[列12]])</f>
        <v>19</v>
      </c>
      <c r="P47" s="54"/>
      <c r="Q47" s="54"/>
      <c r="R47" s="24">
        <f t="shared" si="1"/>
        <v>19</v>
      </c>
      <c r="S47" s="25">
        <f t="shared" si="2"/>
        <v>300088</v>
      </c>
      <c r="T47" s="25">
        <f>COUNTIF($V$4:V47,V47)</f>
        <v>6</v>
      </c>
      <c r="U47" s="25" t="str">
        <f>IF(T47=1,COUNTIF($T$4:T47,1),"")</f>
        <v/>
      </c>
      <c r="V47" s="26" t="str">
        <f>'施設状況(要更新)'!$E47&amp;'施設状況(要更新)'!$C47</f>
        <v>東区04小規模A・B・C</v>
      </c>
      <c r="W47" s="26" t="str">
        <f>'施設状況(要更新)'!$F47</f>
        <v>おりーぶべりー保育園</v>
      </c>
      <c r="X47" s="27">
        <v>43</v>
      </c>
      <c r="Y47" s="28" t="str">
        <f t="shared" si="8"/>
        <v/>
      </c>
      <c r="Z47" s="26" t="str">
        <f t="shared" si="8"/>
        <v/>
      </c>
      <c r="AA47" s="26" t="str">
        <f t="shared" si="8"/>
        <v/>
      </c>
      <c r="AB47" s="26" t="str">
        <f t="shared" si="8"/>
        <v/>
      </c>
      <c r="AC47" s="26" t="str">
        <f t="shared" si="8"/>
        <v/>
      </c>
      <c r="AD47" s="26" t="str">
        <f t="shared" si="8"/>
        <v/>
      </c>
      <c r="AE47" s="26" t="str">
        <f t="shared" si="8"/>
        <v/>
      </c>
      <c r="AF47" s="26" t="str">
        <f t="shared" si="8"/>
        <v/>
      </c>
      <c r="AG47" s="26" t="str">
        <f t="shared" si="8"/>
        <v/>
      </c>
      <c r="AH47" s="26" t="str">
        <f t="shared" si="8"/>
        <v/>
      </c>
      <c r="AI47" s="26" t="str">
        <f t="shared" si="8"/>
        <v/>
      </c>
      <c r="AJ47" s="26" t="str">
        <f t="shared" si="8"/>
        <v/>
      </c>
      <c r="AK47" s="26" t="str">
        <f t="shared" si="8"/>
        <v/>
      </c>
      <c r="AL47" s="26" t="str">
        <f t="shared" si="8"/>
        <v/>
      </c>
      <c r="AM47" s="26" t="str">
        <f t="shared" si="8"/>
        <v/>
      </c>
      <c r="AN47" s="26">
        <f t="shared" si="8"/>
        <v>0</v>
      </c>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DJ47" s="29"/>
    </row>
    <row r="48" spans="1:114">
      <c r="A48" s="55">
        <v>300094</v>
      </c>
      <c r="B48" s="53" t="s">
        <v>182</v>
      </c>
      <c r="C48" s="53" t="s">
        <v>451</v>
      </c>
      <c r="D48" s="53" t="s">
        <v>194</v>
      </c>
      <c r="E48" s="53" t="s">
        <v>184</v>
      </c>
      <c r="F48" s="54" t="s">
        <v>854</v>
      </c>
      <c r="G48" s="54"/>
      <c r="H48" s="54"/>
      <c r="I48" s="54"/>
      <c r="J48" s="53">
        <v>19</v>
      </c>
      <c r="K48" s="53">
        <v>0</v>
      </c>
      <c r="L48" s="53">
        <v>0</v>
      </c>
      <c r="M48" s="53">
        <v>3</v>
      </c>
      <c r="N48" s="53">
        <v>16</v>
      </c>
      <c r="O48" s="24">
        <f>SUM(テーブル1[[#This Row],[列11]:[列12]])</f>
        <v>19</v>
      </c>
      <c r="P48" s="54"/>
      <c r="Q48" s="54"/>
      <c r="R48" s="24">
        <f t="shared" si="1"/>
        <v>19</v>
      </c>
      <c r="S48" s="25">
        <f t="shared" si="2"/>
        <v>300094</v>
      </c>
      <c r="T48" s="25">
        <f>COUNTIF($V$4:V48,V48)</f>
        <v>7</v>
      </c>
      <c r="U48" s="25" t="str">
        <f>IF(T48=1,COUNTIF($T$4:T48,1),"")</f>
        <v/>
      </c>
      <c r="V48" s="26" t="str">
        <f>'施設状況(要更新)'!$E48&amp;'施設状況(要更新)'!$C48</f>
        <v>東区04小規模A・B・C</v>
      </c>
      <c r="W48" s="26" t="str">
        <f>'施設状況(要更新)'!$F48</f>
        <v>栄町みつばち保育園</v>
      </c>
      <c r="X48" s="27">
        <v>44</v>
      </c>
      <c r="Y48" s="28" t="str">
        <f t="shared" si="8"/>
        <v/>
      </c>
      <c r="Z48" s="26" t="str">
        <f t="shared" si="8"/>
        <v/>
      </c>
      <c r="AA48" s="26" t="str">
        <f t="shared" si="8"/>
        <v/>
      </c>
      <c r="AB48" s="26" t="str">
        <f t="shared" si="8"/>
        <v/>
      </c>
      <c r="AC48" s="26" t="str">
        <f t="shared" si="8"/>
        <v/>
      </c>
      <c r="AD48" s="26" t="str">
        <f t="shared" si="8"/>
        <v/>
      </c>
      <c r="AE48" s="26" t="str">
        <f t="shared" si="8"/>
        <v/>
      </c>
      <c r="AF48" s="26" t="str">
        <f t="shared" si="8"/>
        <v/>
      </c>
      <c r="AG48" s="26" t="str">
        <f t="shared" si="8"/>
        <v/>
      </c>
      <c r="AH48" s="26" t="str">
        <f t="shared" si="8"/>
        <v/>
      </c>
      <c r="AI48" s="26" t="str">
        <f t="shared" si="8"/>
        <v/>
      </c>
      <c r="AJ48" s="26" t="str">
        <f t="shared" si="8"/>
        <v/>
      </c>
      <c r="AK48" s="26" t="str">
        <f t="shared" si="8"/>
        <v/>
      </c>
      <c r="AL48" s="26" t="str">
        <f t="shared" si="8"/>
        <v/>
      </c>
      <c r="AM48" s="26" t="str">
        <f t="shared" si="8"/>
        <v/>
      </c>
      <c r="AN48" s="26">
        <f t="shared" si="8"/>
        <v>0</v>
      </c>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DJ48" s="29"/>
    </row>
    <row r="49" spans="1:114">
      <c r="A49" s="55">
        <v>300095</v>
      </c>
      <c r="B49" s="53" t="s">
        <v>182</v>
      </c>
      <c r="C49" s="53" t="s">
        <v>451</v>
      </c>
      <c r="D49" s="53" t="s">
        <v>194</v>
      </c>
      <c r="E49" s="53" t="s">
        <v>184</v>
      </c>
      <c r="F49" s="54" t="s">
        <v>855</v>
      </c>
      <c r="G49" s="54"/>
      <c r="H49" s="54"/>
      <c r="I49" s="54"/>
      <c r="J49" s="53">
        <v>19</v>
      </c>
      <c r="K49" s="53">
        <v>0</v>
      </c>
      <c r="L49" s="53">
        <v>0</v>
      </c>
      <c r="M49" s="53">
        <v>3</v>
      </c>
      <c r="N49" s="53">
        <v>16</v>
      </c>
      <c r="O49" s="24">
        <f>SUM(テーブル1[[#This Row],[列11]:[列12]])</f>
        <v>19</v>
      </c>
      <c r="P49" s="54"/>
      <c r="Q49" s="54"/>
      <c r="R49" s="24">
        <f t="shared" si="1"/>
        <v>19</v>
      </c>
      <c r="S49" s="25">
        <f t="shared" si="2"/>
        <v>300095</v>
      </c>
      <c r="T49" s="25">
        <f>COUNTIF($V$4:V49,V49)</f>
        <v>8</v>
      </c>
      <c r="U49" s="25" t="str">
        <f>IF(T49=1,COUNTIF($T$4:T49,1),"")</f>
        <v/>
      </c>
      <c r="V49" s="26" t="str">
        <f>'施設状況(要更新)'!$E49&amp;'施設状況(要更新)'!$C49</f>
        <v>東区04小規模A・B・C</v>
      </c>
      <c r="W49" s="26" t="str">
        <f>'施設状況(要更新)'!$F49</f>
        <v>あうら元町乳児保育園</v>
      </c>
      <c r="X49" s="27">
        <v>45</v>
      </c>
      <c r="Y49" s="28" t="str">
        <f t="shared" si="8"/>
        <v/>
      </c>
      <c r="Z49" s="26" t="str">
        <f t="shared" si="8"/>
        <v/>
      </c>
      <c r="AA49" s="26" t="str">
        <f t="shared" si="8"/>
        <v/>
      </c>
      <c r="AB49" s="26" t="str">
        <f t="shared" si="8"/>
        <v/>
      </c>
      <c r="AC49" s="26" t="str">
        <f t="shared" si="8"/>
        <v/>
      </c>
      <c r="AD49" s="26" t="str">
        <f t="shared" si="8"/>
        <v/>
      </c>
      <c r="AE49" s="26" t="str">
        <f t="shared" si="8"/>
        <v/>
      </c>
      <c r="AF49" s="26" t="str">
        <f t="shared" si="8"/>
        <v/>
      </c>
      <c r="AG49" s="26" t="str">
        <f t="shared" si="8"/>
        <v/>
      </c>
      <c r="AH49" s="26" t="str">
        <f t="shared" si="8"/>
        <v/>
      </c>
      <c r="AI49" s="26" t="str">
        <f t="shared" si="8"/>
        <v/>
      </c>
      <c r="AJ49" s="26" t="str">
        <f t="shared" si="8"/>
        <v/>
      </c>
      <c r="AK49" s="26" t="str">
        <f t="shared" si="8"/>
        <v/>
      </c>
      <c r="AL49" s="26" t="str">
        <f t="shared" si="8"/>
        <v/>
      </c>
      <c r="AM49" s="26" t="str">
        <f t="shared" si="8"/>
        <v/>
      </c>
      <c r="AN49" s="26">
        <f t="shared" si="8"/>
        <v>0</v>
      </c>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DJ49" s="29"/>
    </row>
    <row r="50" spans="1:114">
      <c r="A50" s="55">
        <v>300096</v>
      </c>
      <c r="B50" s="53" t="s">
        <v>182</v>
      </c>
      <c r="C50" s="53" t="s">
        <v>451</v>
      </c>
      <c r="D50" s="53" t="s">
        <v>194</v>
      </c>
      <c r="E50" s="53" t="s">
        <v>184</v>
      </c>
      <c r="F50" s="54" t="s">
        <v>856</v>
      </c>
      <c r="G50" s="54"/>
      <c r="H50" s="54"/>
      <c r="I50" s="54"/>
      <c r="J50" s="53">
        <v>19</v>
      </c>
      <c r="K50" s="53">
        <v>0</v>
      </c>
      <c r="L50" s="53">
        <v>0</v>
      </c>
      <c r="M50" s="53">
        <v>3</v>
      </c>
      <c r="N50" s="53">
        <v>16</v>
      </c>
      <c r="O50" s="24">
        <f>SUM(テーブル1[[#This Row],[列11]:[列12]])</f>
        <v>19</v>
      </c>
      <c r="P50" s="54"/>
      <c r="Q50" s="54"/>
      <c r="R50" s="24">
        <f t="shared" si="1"/>
        <v>19</v>
      </c>
      <c r="S50" s="25">
        <f t="shared" si="2"/>
        <v>300096</v>
      </c>
      <c r="T50" s="25">
        <f>COUNTIF($V$4:V50,V50)</f>
        <v>9</v>
      </c>
      <c r="U50" s="25" t="str">
        <f>IF(T50=1,COUNTIF($T$4:T50,1),"")</f>
        <v/>
      </c>
      <c r="V50" s="26" t="str">
        <f>'施設状況(要更新)'!$E50&amp;'施設状況(要更新)'!$C50</f>
        <v>東区04小規模A・B・C</v>
      </c>
      <c r="W50" s="26" t="str">
        <f>'施設状況(要更新)'!$F50</f>
        <v>苗穂みらいのたね</v>
      </c>
      <c r="X50" s="27">
        <v>46</v>
      </c>
      <c r="Y50" s="28" t="str">
        <f t="shared" si="8"/>
        <v/>
      </c>
      <c r="Z50" s="26" t="str">
        <f t="shared" si="8"/>
        <v/>
      </c>
      <c r="AA50" s="26" t="str">
        <f t="shared" si="8"/>
        <v/>
      </c>
      <c r="AB50" s="26" t="str">
        <f t="shared" si="8"/>
        <v/>
      </c>
      <c r="AC50" s="26" t="str">
        <f t="shared" si="8"/>
        <v/>
      </c>
      <c r="AD50" s="26" t="str">
        <f t="shared" si="8"/>
        <v/>
      </c>
      <c r="AE50" s="26" t="str">
        <f t="shared" si="8"/>
        <v/>
      </c>
      <c r="AF50" s="26" t="str">
        <f t="shared" si="8"/>
        <v/>
      </c>
      <c r="AG50" s="26" t="str">
        <f t="shared" si="8"/>
        <v/>
      </c>
      <c r="AH50" s="26" t="str">
        <f t="shared" si="8"/>
        <v/>
      </c>
      <c r="AI50" s="26" t="str">
        <f t="shared" si="8"/>
        <v/>
      </c>
      <c r="AJ50" s="26" t="str">
        <f t="shared" si="8"/>
        <v/>
      </c>
      <c r="AK50" s="26" t="str">
        <f t="shared" si="8"/>
        <v/>
      </c>
      <c r="AL50" s="26" t="str">
        <f t="shared" si="8"/>
        <v/>
      </c>
      <c r="AM50" s="26" t="str">
        <f t="shared" si="8"/>
        <v/>
      </c>
      <c r="AN50" s="26">
        <f t="shared" si="8"/>
        <v>0</v>
      </c>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DJ50" s="29"/>
    </row>
    <row r="51" spans="1:114">
      <c r="A51" s="55">
        <v>300097</v>
      </c>
      <c r="B51" s="53" t="s">
        <v>182</v>
      </c>
      <c r="C51" s="53" t="s">
        <v>451</v>
      </c>
      <c r="D51" s="53" t="s">
        <v>194</v>
      </c>
      <c r="E51" s="53" t="s">
        <v>184</v>
      </c>
      <c r="F51" s="54" t="s">
        <v>857</v>
      </c>
      <c r="G51" s="54"/>
      <c r="H51" s="54"/>
      <c r="I51" s="54"/>
      <c r="J51" s="53">
        <v>19</v>
      </c>
      <c r="K51" s="53">
        <v>0</v>
      </c>
      <c r="L51" s="53">
        <v>0</v>
      </c>
      <c r="M51" s="53">
        <v>1</v>
      </c>
      <c r="N51" s="53">
        <v>18</v>
      </c>
      <c r="O51" s="24">
        <f>SUM(テーブル1[[#This Row],[列11]:[列12]])</f>
        <v>19</v>
      </c>
      <c r="P51" s="54"/>
      <c r="Q51" s="54"/>
      <c r="R51" s="24">
        <f t="shared" si="1"/>
        <v>19</v>
      </c>
      <c r="S51" s="25">
        <f t="shared" si="2"/>
        <v>300097</v>
      </c>
      <c r="T51" s="25">
        <f>COUNTIF($V$4:V51,V51)</f>
        <v>10</v>
      </c>
      <c r="U51" s="25" t="str">
        <f>IF(T51=1,COUNTIF($T$4:T51,1),"")</f>
        <v/>
      </c>
      <c r="V51" s="26" t="str">
        <f>'施設状況(要更新)'!$E51&amp;'施設状況(要更新)'!$C51</f>
        <v>東区04小規模A・B・C</v>
      </c>
      <c r="W51" s="26" t="str">
        <f>'施設状況(要更新)'!$F51</f>
        <v>こくあの彩保育園</v>
      </c>
      <c r="X51" s="27">
        <v>47</v>
      </c>
      <c r="Y51" s="28" t="str">
        <f t="shared" si="8"/>
        <v/>
      </c>
      <c r="Z51" s="26" t="str">
        <f t="shared" si="8"/>
        <v/>
      </c>
      <c r="AA51" s="26" t="str">
        <f t="shared" si="8"/>
        <v/>
      </c>
      <c r="AB51" s="26" t="str">
        <f t="shared" si="8"/>
        <v/>
      </c>
      <c r="AC51" s="26" t="str">
        <f t="shared" si="8"/>
        <v/>
      </c>
      <c r="AD51" s="26" t="str">
        <f t="shared" si="8"/>
        <v/>
      </c>
      <c r="AE51" s="26" t="str">
        <f t="shared" si="8"/>
        <v/>
      </c>
      <c r="AF51" s="26" t="str">
        <f t="shared" si="8"/>
        <v/>
      </c>
      <c r="AG51" s="26" t="str">
        <f t="shared" si="8"/>
        <v/>
      </c>
      <c r="AH51" s="26" t="str">
        <f t="shared" si="8"/>
        <v/>
      </c>
      <c r="AI51" s="26" t="str">
        <f t="shared" si="8"/>
        <v/>
      </c>
      <c r="AJ51" s="26" t="str">
        <f t="shared" si="8"/>
        <v/>
      </c>
      <c r="AK51" s="26" t="str">
        <f t="shared" si="8"/>
        <v/>
      </c>
      <c r="AL51" s="26" t="str">
        <f t="shared" si="8"/>
        <v/>
      </c>
      <c r="AM51" s="26" t="str">
        <f t="shared" si="8"/>
        <v/>
      </c>
      <c r="AN51" s="26">
        <f t="shared" si="8"/>
        <v>0</v>
      </c>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DJ51" s="29"/>
    </row>
    <row r="52" spans="1:114">
      <c r="A52" s="55">
        <v>300098</v>
      </c>
      <c r="B52" s="53" t="s">
        <v>182</v>
      </c>
      <c r="C52" s="53" t="s">
        <v>451</v>
      </c>
      <c r="D52" s="53" t="s">
        <v>194</v>
      </c>
      <c r="E52" s="53" t="s">
        <v>184</v>
      </c>
      <c r="F52" s="54" t="s">
        <v>218</v>
      </c>
      <c r="G52" s="54"/>
      <c r="H52" s="54"/>
      <c r="I52" s="54"/>
      <c r="J52" s="53">
        <v>19</v>
      </c>
      <c r="K52" s="53">
        <v>0</v>
      </c>
      <c r="L52" s="53">
        <v>0</v>
      </c>
      <c r="M52" s="53">
        <v>3</v>
      </c>
      <c r="N52" s="53">
        <v>16</v>
      </c>
      <c r="O52" s="24">
        <f>SUM(テーブル1[[#This Row],[列11]:[列12]])</f>
        <v>19</v>
      </c>
      <c r="P52" s="54"/>
      <c r="Q52" s="54"/>
      <c r="R52" s="24">
        <f t="shared" si="1"/>
        <v>19</v>
      </c>
      <c r="S52" s="25">
        <f t="shared" si="2"/>
        <v>300098</v>
      </c>
      <c r="T52" s="25">
        <f>COUNTIF($V$4:V52,V52)</f>
        <v>11</v>
      </c>
      <c r="U52" s="25" t="str">
        <f>IF(T52=1,COUNTIF($T$4:T52,1),"")</f>
        <v/>
      </c>
      <c r="V52" s="26" t="str">
        <f>'施設状況(要更新)'!$E52&amp;'施設状況(要更新)'!$C52</f>
        <v>東区04小規模A・B・C</v>
      </c>
      <c r="W52" s="26" t="str">
        <f>'施設状況(要更新)'!$F52</f>
        <v>カシオペア</v>
      </c>
      <c r="X52" s="27">
        <v>48</v>
      </c>
      <c r="Y52" s="28" t="str">
        <f t="shared" si="8"/>
        <v/>
      </c>
      <c r="Z52" s="26" t="str">
        <f t="shared" si="8"/>
        <v/>
      </c>
      <c r="AA52" s="26" t="str">
        <f t="shared" si="8"/>
        <v/>
      </c>
      <c r="AB52" s="26" t="str">
        <f t="shared" si="8"/>
        <v/>
      </c>
      <c r="AC52" s="26" t="str">
        <f t="shared" si="8"/>
        <v/>
      </c>
      <c r="AD52" s="26" t="str">
        <f t="shared" si="8"/>
        <v/>
      </c>
      <c r="AE52" s="26" t="str">
        <f t="shared" si="8"/>
        <v/>
      </c>
      <c r="AF52" s="26" t="str">
        <f t="shared" si="8"/>
        <v/>
      </c>
      <c r="AG52" s="26" t="str">
        <f t="shared" si="8"/>
        <v/>
      </c>
      <c r="AH52" s="26" t="str">
        <f t="shared" si="8"/>
        <v/>
      </c>
      <c r="AI52" s="26" t="str">
        <f t="shared" si="8"/>
        <v/>
      </c>
      <c r="AJ52" s="26" t="str">
        <f t="shared" si="8"/>
        <v/>
      </c>
      <c r="AK52" s="26" t="str">
        <f t="shared" si="8"/>
        <v/>
      </c>
      <c r="AL52" s="26" t="str">
        <f t="shared" si="8"/>
        <v/>
      </c>
      <c r="AM52" s="26" t="str">
        <f t="shared" si="8"/>
        <v/>
      </c>
      <c r="AN52" s="26">
        <f t="shared" si="8"/>
        <v>0</v>
      </c>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DJ52" s="29"/>
    </row>
    <row r="53" spans="1:114">
      <c r="A53" s="55">
        <v>300099</v>
      </c>
      <c r="B53" s="53" t="s">
        <v>182</v>
      </c>
      <c r="C53" s="53" t="s">
        <v>451</v>
      </c>
      <c r="D53" s="53" t="s">
        <v>194</v>
      </c>
      <c r="E53" s="53" t="s">
        <v>184</v>
      </c>
      <c r="F53" s="54" t="s">
        <v>858</v>
      </c>
      <c r="G53" s="54"/>
      <c r="H53" s="54"/>
      <c r="I53" s="54"/>
      <c r="J53" s="53">
        <v>19</v>
      </c>
      <c r="K53" s="53">
        <v>0</v>
      </c>
      <c r="L53" s="53">
        <v>0</v>
      </c>
      <c r="M53" s="53">
        <v>3</v>
      </c>
      <c r="N53" s="53">
        <v>16</v>
      </c>
      <c r="O53" s="24">
        <f>SUM(テーブル1[[#This Row],[列11]:[列12]])</f>
        <v>19</v>
      </c>
      <c r="P53" s="54"/>
      <c r="Q53" s="54"/>
      <c r="R53" s="24">
        <f t="shared" si="1"/>
        <v>19</v>
      </c>
      <c r="S53" s="25">
        <f t="shared" si="2"/>
        <v>300099</v>
      </c>
      <c r="T53" s="25">
        <f>COUNTIF($V$4:V53,V53)</f>
        <v>12</v>
      </c>
      <c r="U53" s="25" t="str">
        <f>IF(T53=1,COUNTIF($T$4:T53,1),"")</f>
        <v/>
      </c>
      <c r="V53" s="26" t="str">
        <f>'施設状況(要更新)'!$E53&amp;'施設状況(要更新)'!$C53</f>
        <v>東区04小規模A・B・C</v>
      </c>
      <c r="W53" s="26" t="str">
        <f>'施設状況(要更新)'!$F53</f>
        <v>あんあん乳児保育園環状通東ルーム</v>
      </c>
      <c r="X53" s="27">
        <v>49</v>
      </c>
      <c r="Y53" s="28" t="str">
        <f t="shared" si="8"/>
        <v/>
      </c>
      <c r="Z53" s="26" t="str">
        <f t="shared" si="8"/>
        <v/>
      </c>
      <c r="AA53" s="26" t="str">
        <f t="shared" si="8"/>
        <v/>
      </c>
      <c r="AB53" s="26" t="str">
        <f t="shared" si="8"/>
        <v/>
      </c>
      <c r="AC53" s="26" t="str">
        <f t="shared" si="8"/>
        <v/>
      </c>
      <c r="AD53" s="26" t="str">
        <f t="shared" si="8"/>
        <v/>
      </c>
      <c r="AE53" s="26" t="str">
        <f t="shared" si="8"/>
        <v/>
      </c>
      <c r="AF53" s="26" t="str">
        <f t="shared" si="8"/>
        <v/>
      </c>
      <c r="AG53" s="26" t="str">
        <f t="shared" si="8"/>
        <v/>
      </c>
      <c r="AH53" s="26" t="str">
        <f t="shared" si="8"/>
        <v/>
      </c>
      <c r="AI53" s="26" t="str">
        <f t="shared" si="8"/>
        <v/>
      </c>
      <c r="AJ53" s="26" t="str">
        <f t="shared" si="8"/>
        <v/>
      </c>
      <c r="AK53" s="26" t="str">
        <f t="shared" si="8"/>
        <v/>
      </c>
      <c r="AL53" s="26" t="str">
        <f t="shared" si="8"/>
        <v/>
      </c>
      <c r="AM53" s="26" t="str">
        <f t="shared" si="8"/>
        <v/>
      </c>
      <c r="AN53" s="26">
        <f t="shared" si="8"/>
        <v>0</v>
      </c>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DJ53" s="29"/>
    </row>
    <row r="54" spans="1:114">
      <c r="A54" s="55">
        <v>300108</v>
      </c>
      <c r="B54" s="53" t="s">
        <v>182</v>
      </c>
      <c r="C54" s="53" t="s">
        <v>451</v>
      </c>
      <c r="D54" s="53" t="s">
        <v>194</v>
      </c>
      <c r="E54" s="53" t="s">
        <v>184</v>
      </c>
      <c r="F54" s="54" t="s">
        <v>859</v>
      </c>
      <c r="G54" s="54"/>
      <c r="H54" s="54"/>
      <c r="I54" s="54"/>
      <c r="J54" s="53">
        <v>12</v>
      </c>
      <c r="K54" s="53">
        <v>0</v>
      </c>
      <c r="L54" s="53">
        <v>0</v>
      </c>
      <c r="M54" s="53">
        <v>4</v>
      </c>
      <c r="N54" s="53">
        <v>8</v>
      </c>
      <c r="O54" s="24">
        <f>SUM(テーブル1[[#This Row],[列11]:[列12]])</f>
        <v>12</v>
      </c>
      <c r="P54" s="54"/>
      <c r="Q54" s="54"/>
      <c r="R54" s="24">
        <f t="shared" si="1"/>
        <v>12</v>
      </c>
      <c r="S54" s="25">
        <f t="shared" si="2"/>
        <v>300108</v>
      </c>
      <c r="T54" s="25">
        <f>COUNTIF($V$4:V54,V54)</f>
        <v>13</v>
      </c>
      <c r="U54" s="25" t="str">
        <f>IF(T54=1,COUNTIF($T$4:T54,1),"")</f>
        <v/>
      </c>
      <c r="V54" s="26" t="str">
        <f>'施設状況(要更新)'!$E54&amp;'施設状況(要更新)'!$C54</f>
        <v>東区04小規模A・B・C</v>
      </c>
      <c r="W54" s="26" t="str">
        <f>'施設状況(要更新)'!$F54</f>
        <v>北７条はな保育園</v>
      </c>
      <c r="X54" s="27">
        <v>50</v>
      </c>
      <c r="Y54" s="28" t="str">
        <f t="shared" si="8"/>
        <v/>
      </c>
      <c r="Z54" s="26" t="str">
        <f t="shared" si="8"/>
        <v/>
      </c>
      <c r="AA54" s="26" t="str">
        <f t="shared" si="8"/>
        <v/>
      </c>
      <c r="AB54" s="10" t="str">
        <f t="shared" si="8"/>
        <v/>
      </c>
      <c r="AC54" s="10" t="str">
        <f t="shared" si="8"/>
        <v/>
      </c>
      <c r="AD54" s="10" t="str">
        <f t="shared" si="8"/>
        <v/>
      </c>
      <c r="AE54" s="10" t="str">
        <f t="shared" si="8"/>
        <v/>
      </c>
      <c r="AF54" s="26" t="str">
        <f t="shared" si="8"/>
        <v/>
      </c>
      <c r="AG54" s="10" t="str">
        <f t="shared" si="8"/>
        <v/>
      </c>
      <c r="AH54" s="12" t="str">
        <f t="shared" si="8"/>
        <v/>
      </c>
      <c r="AI54" s="12" t="str">
        <f t="shared" si="8"/>
        <v/>
      </c>
      <c r="AJ54" s="12" t="str">
        <f t="shared" si="8"/>
        <v/>
      </c>
      <c r="AK54" s="12" t="str">
        <f t="shared" si="8"/>
        <v/>
      </c>
      <c r="AL54" s="12" t="str">
        <f t="shared" si="8"/>
        <v/>
      </c>
      <c r="AM54" s="12" t="str">
        <f t="shared" si="8"/>
        <v/>
      </c>
      <c r="AN54" s="12">
        <f t="shared" si="8"/>
        <v>0</v>
      </c>
      <c r="DJ54" s="29"/>
    </row>
    <row r="55" spans="1:114">
      <c r="A55" s="55">
        <v>400046</v>
      </c>
      <c r="B55" s="53" t="s">
        <v>182</v>
      </c>
      <c r="C55" s="53" t="s">
        <v>451</v>
      </c>
      <c r="D55" s="53" t="s">
        <v>194</v>
      </c>
      <c r="E55" s="53" t="s">
        <v>185</v>
      </c>
      <c r="F55" s="54" t="s">
        <v>219</v>
      </c>
      <c r="G55" s="54"/>
      <c r="H55" s="54"/>
      <c r="I55" s="54"/>
      <c r="J55" s="53">
        <v>19</v>
      </c>
      <c r="K55" s="53">
        <v>0</v>
      </c>
      <c r="L55" s="53">
        <v>0</v>
      </c>
      <c r="M55" s="53">
        <v>6</v>
      </c>
      <c r="N55" s="53">
        <v>13</v>
      </c>
      <c r="O55" s="24">
        <f>SUM(テーブル1[[#This Row],[列11]:[列12]])</f>
        <v>19</v>
      </c>
      <c r="P55" s="54"/>
      <c r="Q55" s="54"/>
      <c r="R55" s="24">
        <f t="shared" si="1"/>
        <v>19</v>
      </c>
      <c r="S55" s="25">
        <f t="shared" si="2"/>
        <v>400046</v>
      </c>
      <c r="T55" s="25">
        <f>COUNTIF($V$4:V55,V55)</f>
        <v>1</v>
      </c>
      <c r="U55" s="25">
        <f>IF(T55=1,COUNTIF($T$4:T55,1),"")</f>
        <v>4</v>
      </c>
      <c r="V55" s="26" t="str">
        <f>'施設状況(要更新)'!$E55&amp;'施設状況(要更新)'!$C55</f>
        <v>白石区04小規模A・B・C</v>
      </c>
      <c r="W55" s="26" t="str">
        <f>'施設状況(要更新)'!$F55</f>
        <v>ぴっころきっず白石駅前</v>
      </c>
      <c r="X55" s="27">
        <v>51</v>
      </c>
      <c r="Y55" s="28" t="str">
        <f t="shared" si="8"/>
        <v/>
      </c>
      <c r="Z55" s="26" t="str">
        <f t="shared" si="8"/>
        <v/>
      </c>
      <c r="AA55" s="26" t="str">
        <f t="shared" si="8"/>
        <v/>
      </c>
      <c r="AB55" s="10" t="str">
        <f t="shared" si="8"/>
        <v/>
      </c>
      <c r="AC55" s="10" t="str">
        <f t="shared" si="8"/>
        <v/>
      </c>
      <c r="AD55" s="10" t="str">
        <f t="shared" si="8"/>
        <v/>
      </c>
      <c r="AE55" s="10" t="str">
        <f t="shared" si="8"/>
        <v/>
      </c>
      <c r="AF55" s="26" t="str">
        <f t="shared" si="8"/>
        <v/>
      </c>
      <c r="AG55" s="10" t="str">
        <f t="shared" si="8"/>
        <v/>
      </c>
      <c r="AH55" s="12" t="str">
        <f t="shared" si="8"/>
        <v/>
      </c>
      <c r="AI55" s="12" t="str">
        <f t="shared" si="8"/>
        <v/>
      </c>
      <c r="AJ55" s="12" t="str">
        <f t="shared" si="8"/>
        <v/>
      </c>
      <c r="AK55" s="12" t="str">
        <f t="shared" si="8"/>
        <v/>
      </c>
      <c r="AL55" s="12" t="str">
        <f t="shared" si="8"/>
        <v/>
      </c>
      <c r="AM55" s="12" t="str">
        <f t="shared" si="8"/>
        <v/>
      </c>
      <c r="AN55" s="12">
        <f t="shared" ref="AN55" si="9">IFERROR(INDEX($T$4:$W$700,MATCH($X55&amp;AN$3,INDEX($T$4:$T$700&amp;$V$4:$V$700,),0),MATCH("施設名",$T$3:$W$3,0)),"")</f>
        <v>0</v>
      </c>
      <c r="DJ55" s="29"/>
    </row>
    <row r="56" spans="1:114">
      <c r="A56" s="55">
        <v>400048</v>
      </c>
      <c r="B56" s="53" t="s">
        <v>182</v>
      </c>
      <c r="C56" s="53" t="s">
        <v>451</v>
      </c>
      <c r="D56" s="53" t="s">
        <v>194</v>
      </c>
      <c r="E56" s="53" t="s">
        <v>185</v>
      </c>
      <c r="F56" s="54" t="s">
        <v>220</v>
      </c>
      <c r="G56" s="54"/>
      <c r="H56" s="54"/>
      <c r="I56" s="54"/>
      <c r="J56" s="53">
        <v>10</v>
      </c>
      <c r="K56" s="53">
        <v>0</v>
      </c>
      <c r="L56" s="53">
        <v>0</v>
      </c>
      <c r="M56" s="53">
        <v>2</v>
      </c>
      <c r="N56" s="53">
        <v>8</v>
      </c>
      <c r="O56" s="24">
        <f>SUM(テーブル1[[#This Row],[列11]:[列12]])</f>
        <v>10</v>
      </c>
      <c r="P56" s="54"/>
      <c r="Q56" s="54"/>
      <c r="R56" s="24">
        <f t="shared" si="1"/>
        <v>10</v>
      </c>
      <c r="S56" s="25">
        <f t="shared" si="2"/>
        <v>400048</v>
      </c>
      <c r="T56" s="25">
        <f>COUNTIF($V$4:V56,V56)</f>
        <v>2</v>
      </c>
      <c r="U56" s="25" t="str">
        <f>IF(T56=1,COUNTIF($T$4:T56,1),"")</f>
        <v/>
      </c>
      <c r="V56" s="26" t="str">
        <f>'施設状況(要更新)'!$E56&amp;'施設状況(要更新)'!$C56</f>
        <v>白石区04小規模A・B・C</v>
      </c>
      <c r="W56" s="26" t="str">
        <f>'施設状況(要更新)'!$F56</f>
        <v>保育室すまいる</v>
      </c>
      <c r="X56" s="27">
        <v>52</v>
      </c>
      <c r="Y56" s="28" t="str">
        <f t="shared" ref="Y56:AN64" si="10">IFERROR(INDEX($T$4:$W$700,MATCH($X56&amp;Y$3,INDEX($T$4:$T$700&amp;$V$4:$V$700,),0),MATCH("施設名",$T$3:$W$3,0)),"")</f>
        <v/>
      </c>
      <c r="Z56" s="26" t="str">
        <f t="shared" si="10"/>
        <v/>
      </c>
      <c r="AA56" s="26" t="str">
        <f t="shared" si="10"/>
        <v/>
      </c>
      <c r="AB56" s="10" t="str">
        <f t="shared" si="10"/>
        <v/>
      </c>
      <c r="AC56" s="10" t="str">
        <f t="shared" si="10"/>
        <v/>
      </c>
      <c r="AD56" s="10" t="str">
        <f t="shared" si="10"/>
        <v/>
      </c>
      <c r="AE56" s="10" t="str">
        <f t="shared" si="10"/>
        <v/>
      </c>
      <c r="AF56" s="26" t="str">
        <f t="shared" si="10"/>
        <v/>
      </c>
      <c r="AG56" s="10" t="str">
        <f t="shared" si="10"/>
        <v/>
      </c>
      <c r="AH56" s="12" t="str">
        <f t="shared" si="10"/>
        <v/>
      </c>
      <c r="AI56" s="12" t="str">
        <f t="shared" si="10"/>
        <v/>
      </c>
      <c r="AJ56" s="12" t="str">
        <f t="shared" si="10"/>
        <v/>
      </c>
      <c r="AK56" s="12" t="str">
        <f t="shared" si="10"/>
        <v/>
      </c>
      <c r="AL56" s="12" t="str">
        <f t="shared" si="10"/>
        <v/>
      </c>
      <c r="AM56" s="12" t="str">
        <f t="shared" si="10"/>
        <v/>
      </c>
      <c r="AN56" s="12">
        <f t="shared" si="10"/>
        <v>0</v>
      </c>
      <c r="DJ56" s="29"/>
    </row>
    <row r="57" spans="1:114">
      <c r="A57" s="55">
        <v>400056</v>
      </c>
      <c r="B57" s="53" t="s">
        <v>182</v>
      </c>
      <c r="C57" s="53" t="s">
        <v>451</v>
      </c>
      <c r="D57" s="53" t="s">
        <v>194</v>
      </c>
      <c r="E57" s="53" t="s">
        <v>185</v>
      </c>
      <c r="F57" s="54" t="s">
        <v>221</v>
      </c>
      <c r="G57" s="54"/>
      <c r="H57" s="54"/>
      <c r="I57" s="54"/>
      <c r="J57" s="53">
        <v>19</v>
      </c>
      <c r="K57" s="53">
        <v>0</v>
      </c>
      <c r="L57" s="53">
        <v>0</v>
      </c>
      <c r="M57" s="53">
        <v>6</v>
      </c>
      <c r="N57" s="53">
        <v>13</v>
      </c>
      <c r="O57" s="24">
        <f>SUM(テーブル1[[#This Row],[列11]:[列12]])</f>
        <v>19</v>
      </c>
      <c r="P57" s="54"/>
      <c r="Q57" s="54"/>
      <c r="R57" s="24">
        <f t="shared" si="1"/>
        <v>19</v>
      </c>
      <c r="S57" s="25">
        <f t="shared" si="2"/>
        <v>400056</v>
      </c>
      <c r="T57" s="25">
        <f>COUNTIF($V$4:V57,V57)</f>
        <v>3</v>
      </c>
      <c r="U57" s="25" t="str">
        <f>IF(T57=1,COUNTIF($T$4:T57,1),"")</f>
        <v/>
      </c>
      <c r="V57" s="26" t="str">
        <f>'施設状況(要更新)'!$E57&amp;'施設状況(要更新)'!$C57</f>
        <v>白石区04小規模A・B・C</v>
      </c>
      <c r="W57" s="26" t="str">
        <f>'施設状況(要更新)'!$F57</f>
        <v>ぴっころきっず東札幌</v>
      </c>
      <c r="X57" s="27">
        <v>53</v>
      </c>
      <c r="Y57" s="28" t="str">
        <f t="shared" si="10"/>
        <v/>
      </c>
      <c r="Z57" s="26" t="str">
        <f t="shared" si="10"/>
        <v/>
      </c>
      <c r="AA57" s="26" t="str">
        <f t="shared" si="10"/>
        <v/>
      </c>
      <c r="AB57" s="10" t="str">
        <f t="shared" si="10"/>
        <v/>
      </c>
      <c r="AC57" s="10" t="str">
        <f t="shared" si="10"/>
        <v/>
      </c>
      <c r="AD57" s="10" t="str">
        <f t="shared" si="10"/>
        <v/>
      </c>
      <c r="AE57" s="10" t="str">
        <f t="shared" si="10"/>
        <v/>
      </c>
      <c r="AF57" s="26" t="str">
        <f t="shared" si="10"/>
        <v/>
      </c>
      <c r="AG57" s="10" t="str">
        <f t="shared" si="10"/>
        <v/>
      </c>
      <c r="AH57" s="12" t="str">
        <f t="shared" si="10"/>
        <v/>
      </c>
      <c r="AI57" s="12" t="str">
        <f t="shared" si="10"/>
        <v/>
      </c>
      <c r="AJ57" s="12" t="str">
        <f t="shared" si="10"/>
        <v/>
      </c>
      <c r="AK57" s="12" t="str">
        <f t="shared" si="10"/>
        <v/>
      </c>
      <c r="AL57" s="12" t="str">
        <f t="shared" si="10"/>
        <v/>
      </c>
      <c r="AM57" s="12" t="str">
        <f t="shared" si="10"/>
        <v/>
      </c>
      <c r="AN57" s="12">
        <f t="shared" si="10"/>
        <v>0</v>
      </c>
      <c r="DJ57" s="29"/>
    </row>
    <row r="58" spans="1:114">
      <c r="A58" s="55">
        <v>400065</v>
      </c>
      <c r="B58" s="53" t="s">
        <v>182</v>
      </c>
      <c r="C58" s="53" t="s">
        <v>451</v>
      </c>
      <c r="D58" s="53" t="s">
        <v>194</v>
      </c>
      <c r="E58" s="53" t="s">
        <v>185</v>
      </c>
      <c r="F58" s="54" t="s">
        <v>860</v>
      </c>
      <c r="G58" s="54"/>
      <c r="H58" s="54"/>
      <c r="I58" s="54"/>
      <c r="J58" s="53">
        <v>19</v>
      </c>
      <c r="K58" s="53">
        <v>0</v>
      </c>
      <c r="L58" s="53">
        <v>0</v>
      </c>
      <c r="M58" s="53">
        <v>3</v>
      </c>
      <c r="N58" s="53">
        <v>16</v>
      </c>
      <c r="O58" s="24">
        <f>SUM(テーブル1[[#This Row],[列11]:[列12]])</f>
        <v>19</v>
      </c>
      <c r="P58" s="54"/>
      <c r="Q58" s="54"/>
      <c r="R58" s="24">
        <f t="shared" si="1"/>
        <v>19</v>
      </c>
      <c r="S58" s="25">
        <f t="shared" si="2"/>
        <v>400065</v>
      </c>
      <c r="T58" s="25">
        <f>COUNTIF($V$4:V58,V58)</f>
        <v>4</v>
      </c>
      <c r="U58" s="25" t="str">
        <f>IF(T58=1,COUNTIF($T$4:T58,1),"")</f>
        <v/>
      </c>
      <c r="V58" s="26" t="str">
        <f>'施設状況(要更新)'!$E58&amp;'施設状況(要更新)'!$C58</f>
        <v>白石区04小規模A・B・C</v>
      </c>
      <c r="W58" s="26" t="str">
        <f>'施設状況(要更新)'!$F58</f>
        <v>大藤子ども園ほんごう館</v>
      </c>
      <c r="X58" s="27">
        <v>54</v>
      </c>
      <c r="Y58" s="28" t="str">
        <f t="shared" si="10"/>
        <v/>
      </c>
      <c r="Z58" s="26" t="str">
        <f t="shared" si="10"/>
        <v/>
      </c>
      <c r="AA58" s="26" t="str">
        <f t="shared" si="10"/>
        <v/>
      </c>
      <c r="AB58" s="10" t="str">
        <f t="shared" si="10"/>
        <v/>
      </c>
      <c r="AC58" s="10" t="str">
        <f t="shared" si="10"/>
        <v/>
      </c>
      <c r="AD58" s="10" t="str">
        <f t="shared" si="10"/>
        <v/>
      </c>
      <c r="AE58" s="10" t="str">
        <f t="shared" si="10"/>
        <v/>
      </c>
      <c r="AF58" s="26" t="str">
        <f t="shared" si="10"/>
        <v/>
      </c>
      <c r="AG58" s="10" t="str">
        <f t="shared" si="10"/>
        <v/>
      </c>
      <c r="AH58" s="12" t="str">
        <f t="shared" si="10"/>
        <v/>
      </c>
      <c r="AI58" s="12" t="str">
        <f t="shared" si="10"/>
        <v/>
      </c>
      <c r="AJ58" s="12" t="str">
        <f t="shared" si="10"/>
        <v/>
      </c>
      <c r="AK58" s="12" t="str">
        <f t="shared" si="10"/>
        <v/>
      </c>
      <c r="AL58" s="12" t="str">
        <f t="shared" si="10"/>
        <v/>
      </c>
      <c r="AM58" s="12" t="str">
        <f t="shared" si="10"/>
        <v/>
      </c>
      <c r="AN58" s="12">
        <f t="shared" si="10"/>
        <v>0</v>
      </c>
      <c r="DJ58" s="29"/>
    </row>
    <row r="59" spans="1:114">
      <c r="A59" s="55">
        <v>400071</v>
      </c>
      <c r="B59" s="53" t="s">
        <v>182</v>
      </c>
      <c r="C59" s="53" t="s">
        <v>451</v>
      </c>
      <c r="D59" s="53" t="s">
        <v>194</v>
      </c>
      <c r="E59" s="53" t="s">
        <v>185</v>
      </c>
      <c r="F59" s="54" t="s">
        <v>1033</v>
      </c>
      <c r="G59" s="54"/>
      <c r="H59" s="54"/>
      <c r="I59" s="54"/>
      <c r="J59" s="53">
        <v>19</v>
      </c>
      <c r="K59" s="53">
        <v>0</v>
      </c>
      <c r="L59" s="53">
        <v>0</v>
      </c>
      <c r="M59" s="53">
        <v>3</v>
      </c>
      <c r="N59" s="53">
        <v>16</v>
      </c>
      <c r="O59" s="24">
        <f>SUM(テーブル1[[#This Row],[列11]:[列12]])</f>
        <v>19</v>
      </c>
      <c r="P59" s="54"/>
      <c r="Q59" s="54"/>
      <c r="R59" s="24">
        <f t="shared" si="1"/>
        <v>19</v>
      </c>
      <c r="S59" s="25">
        <f t="shared" si="2"/>
        <v>400071</v>
      </c>
      <c r="T59" s="25">
        <f>COUNTIF($V$4:V59,V59)</f>
        <v>5</v>
      </c>
      <c r="U59" s="25" t="str">
        <f>IF(T59=1,COUNTIF($T$4:T59,1),"")</f>
        <v/>
      </c>
      <c r="V59" s="26" t="str">
        <f>'施設状況(要更新)'!$E59&amp;'施設状況(要更新)'!$C59</f>
        <v>白石区04小規模A・B・C</v>
      </c>
      <c r="W59" s="26" t="str">
        <f>'施設状況(要更新)'!$F59</f>
        <v>大藤子ども園しらかば館</v>
      </c>
      <c r="X59" s="27">
        <v>55</v>
      </c>
      <c r="Y59" s="28" t="str">
        <f t="shared" si="10"/>
        <v/>
      </c>
      <c r="Z59" s="26" t="str">
        <f t="shared" si="10"/>
        <v/>
      </c>
      <c r="AA59" s="26" t="str">
        <f t="shared" si="10"/>
        <v/>
      </c>
      <c r="AB59" s="10" t="str">
        <f t="shared" si="10"/>
        <v/>
      </c>
      <c r="AC59" s="10" t="str">
        <f t="shared" si="10"/>
        <v/>
      </c>
      <c r="AD59" s="10" t="str">
        <f t="shared" si="10"/>
        <v/>
      </c>
      <c r="AE59" s="10" t="str">
        <f t="shared" si="10"/>
        <v/>
      </c>
      <c r="AF59" s="10" t="str">
        <f t="shared" si="10"/>
        <v/>
      </c>
      <c r="AG59" s="10" t="str">
        <f t="shared" si="10"/>
        <v/>
      </c>
      <c r="AH59" s="12" t="str">
        <f t="shared" si="10"/>
        <v/>
      </c>
      <c r="AI59" s="12" t="str">
        <f t="shared" si="10"/>
        <v/>
      </c>
      <c r="AJ59" s="12" t="str">
        <f t="shared" si="10"/>
        <v/>
      </c>
      <c r="AK59" s="12" t="str">
        <f t="shared" si="10"/>
        <v/>
      </c>
      <c r="AL59" s="12" t="str">
        <f t="shared" si="10"/>
        <v/>
      </c>
      <c r="AM59" s="12" t="str">
        <f t="shared" si="10"/>
        <v/>
      </c>
      <c r="AN59" s="12">
        <f t="shared" si="10"/>
        <v>0</v>
      </c>
      <c r="DJ59" s="29"/>
    </row>
    <row r="60" spans="1:114">
      <c r="A60" s="55">
        <v>400072</v>
      </c>
      <c r="B60" s="53" t="s">
        <v>182</v>
      </c>
      <c r="C60" s="53" t="s">
        <v>451</v>
      </c>
      <c r="D60" s="53" t="s">
        <v>194</v>
      </c>
      <c r="E60" s="53" t="s">
        <v>185</v>
      </c>
      <c r="F60" s="54" t="s">
        <v>1034</v>
      </c>
      <c r="G60" s="54"/>
      <c r="H60" s="54"/>
      <c r="I60" s="54"/>
      <c r="J60" s="53">
        <v>19</v>
      </c>
      <c r="K60" s="53">
        <v>0</v>
      </c>
      <c r="L60" s="53">
        <v>0</v>
      </c>
      <c r="M60" s="53">
        <v>3</v>
      </c>
      <c r="N60" s="53">
        <v>16</v>
      </c>
      <c r="O60" s="24">
        <f>SUM(テーブル1[[#This Row],[列11]:[列12]])</f>
        <v>19</v>
      </c>
      <c r="P60" s="54"/>
      <c r="Q60" s="54"/>
      <c r="R60" s="24">
        <f t="shared" si="1"/>
        <v>19</v>
      </c>
      <c r="S60" s="25">
        <f t="shared" si="2"/>
        <v>400072</v>
      </c>
      <c r="T60" s="25">
        <f>COUNTIF($V$4:V60,V60)</f>
        <v>6</v>
      </c>
      <c r="U60" s="25" t="str">
        <f>IF(T60=1,COUNTIF($T$4:T60,1),"")</f>
        <v/>
      </c>
      <c r="V60" s="26" t="str">
        <f>'施設状況(要更新)'!$E60&amp;'施設状況(要更新)'!$C60</f>
        <v>白石区04小規模A・B・C</v>
      </c>
      <c r="W60" s="26" t="str">
        <f>'施設状況(要更新)'!$F60</f>
        <v>にこまるえん東白石</v>
      </c>
      <c r="X60" s="27">
        <v>56</v>
      </c>
      <c r="Y60" s="28" t="str">
        <f t="shared" si="10"/>
        <v/>
      </c>
      <c r="Z60" s="26" t="str">
        <f t="shared" si="10"/>
        <v/>
      </c>
      <c r="AA60" s="26" t="str">
        <f t="shared" si="10"/>
        <v/>
      </c>
      <c r="AB60" s="10" t="str">
        <f t="shared" si="10"/>
        <v/>
      </c>
      <c r="AC60" s="10" t="str">
        <f t="shared" si="10"/>
        <v/>
      </c>
      <c r="AD60" s="10" t="str">
        <f t="shared" si="10"/>
        <v/>
      </c>
      <c r="AE60" s="10" t="str">
        <f t="shared" si="10"/>
        <v/>
      </c>
      <c r="AF60" s="10" t="str">
        <f t="shared" si="10"/>
        <v/>
      </c>
      <c r="AG60" s="10" t="str">
        <f t="shared" si="10"/>
        <v/>
      </c>
      <c r="AH60" s="12" t="str">
        <f t="shared" si="10"/>
        <v/>
      </c>
      <c r="AI60" s="12" t="str">
        <f t="shared" si="10"/>
        <v/>
      </c>
      <c r="AJ60" s="12" t="str">
        <f t="shared" si="10"/>
        <v/>
      </c>
      <c r="AK60" s="12" t="str">
        <f t="shared" si="10"/>
        <v/>
      </c>
      <c r="AL60" s="12" t="str">
        <f t="shared" si="10"/>
        <v/>
      </c>
      <c r="AM60" s="12" t="str">
        <f t="shared" si="10"/>
        <v/>
      </c>
      <c r="AN60" s="12">
        <f t="shared" si="10"/>
        <v>0</v>
      </c>
      <c r="DJ60" s="29"/>
    </row>
    <row r="61" spans="1:114">
      <c r="A61" s="55">
        <v>400077</v>
      </c>
      <c r="B61" s="53" t="s">
        <v>182</v>
      </c>
      <c r="C61" s="53" t="s">
        <v>451</v>
      </c>
      <c r="D61" s="53" t="s">
        <v>194</v>
      </c>
      <c r="E61" s="53" t="s">
        <v>185</v>
      </c>
      <c r="F61" s="54" t="s">
        <v>222</v>
      </c>
      <c r="G61" s="54"/>
      <c r="H61" s="54"/>
      <c r="I61" s="54"/>
      <c r="J61" s="53">
        <v>12</v>
      </c>
      <c r="K61" s="53">
        <v>0</v>
      </c>
      <c r="L61" s="53">
        <v>0</v>
      </c>
      <c r="M61" s="53">
        <v>3</v>
      </c>
      <c r="N61" s="53">
        <v>9</v>
      </c>
      <c r="O61" s="24">
        <f>SUM(テーブル1[[#This Row],[列11]:[列12]])</f>
        <v>12</v>
      </c>
      <c r="P61" s="54"/>
      <c r="Q61" s="54"/>
      <c r="R61" s="24">
        <f t="shared" si="1"/>
        <v>12</v>
      </c>
      <c r="S61" s="25">
        <f t="shared" si="2"/>
        <v>400077</v>
      </c>
      <c r="T61" s="25">
        <f>COUNTIF($V$4:V61,V61)</f>
        <v>7</v>
      </c>
      <c r="U61" s="25" t="str">
        <f>IF(T61=1,COUNTIF($T$4:T61,1),"")</f>
        <v/>
      </c>
      <c r="V61" s="26" t="str">
        <f>'施設状況(要更新)'!$E61&amp;'施設状況(要更新)'!$C61</f>
        <v>白石区04小規模A・B・C</v>
      </c>
      <c r="W61" s="26" t="str">
        <f>'施設状況(要更新)'!$F61</f>
        <v>保育ママだんだん</v>
      </c>
      <c r="X61" s="27">
        <v>57</v>
      </c>
      <c r="Y61" s="28" t="str">
        <f t="shared" si="10"/>
        <v/>
      </c>
      <c r="Z61" s="26" t="str">
        <f t="shared" si="10"/>
        <v/>
      </c>
      <c r="AA61" s="26" t="str">
        <f t="shared" si="10"/>
        <v/>
      </c>
      <c r="AB61" s="10" t="str">
        <f t="shared" si="10"/>
        <v/>
      </c>
      <c r="AC61" s="10" t="str">
        <f t="shared" si="10"/>
        <v/>
      </c>
      <c r="AD61" s="10" t="str">
        <f t="shared" si="10"/>
        <v/>
      </c>
      <c r="AE61" s="10" t="str">
        <f t="shared" si="10"/>
        <v/>
      </c>
      <c r="AF61" s="10" t="str">
        <f t="shared" si="10"/>
        <v/>
      </c>
      <c r="AG61" s="10" t="str">
        <f t="shared" si="10"/>
        <v/>
      </c>
      <c r="AH61" s="12" t="str">
        <f t="shared" si="10"/>
        <v/>
      </c>
      <c r="AI61" s="12" t="str">
        <f t="shared" si="10"/>
        <v/>
      </c>
      <c r="AJ61" s="12" t="str">
        <f t="shared" si="10"/>
        <v/>
      </c>
      <c r="AK61" s="12" t="str">
        <f t="shared" si="10"/>
        <v/>
      </c>
      <c r="AL61" s="12" t="str">
        <f t="shared" si="10"/>
        <v/>
      </c>
      <c r="AM61" s="12" t="str">
        <f t="shared" si="10"/>
        <v/>
      </c>
      <c r="AN61" s="12">
        <f t="shared" si="10"/>
        <v>0</v>
      </c>
      <c r="DJ61" s="29"/>
    </row>
    <row r="62" spans="1:114">
      <c r="A62" s="55">
        <v>400078</v>
      </c>
      <c r="B62" s="53" t="s">
        <v>182</v>
      </c>
      <c r="C62" s="53" t="s">
        <v>451</v>
      </c>
      <c r="D62" s="53" t="s">
        <v>194</v>
      </c>
      <c r="E62" s="53" t="s">
        <v>185</v>
      </c>
      <c r="F62" s="54" t="s">
        <v>861</v>
      </c>
      <c r="G62" s="54"/>
      <c r="H62" s="54"/>
      <c r="I62" s="54"/>
      <c r="J62" s="53">
        <v>19</v>
      </c>
      <c r="K62" s="53">
        <v>0</v>
      </c>
      <c r="L62" s="53">
        <v>0</v>
      </c>
      <c r="M62" s="53">
        <v>4</v>
      </c>
      <c r="N62" s="53">
        <v>8</v>
      </c>
      <c r="O62" s="24">
        <f>SUM(テーブル1[[#This Row],[列11]:[列12]])</f>
        <v>12</v>
      </c>
      <c r="P62" s="54"/>
      <c r="Q62" s="54"/>
      <c r="R62" s="24">
        <f t="shared" si="1"/>
        <v>12</v>
      </c>
      <c r="S62" s="25">
        <f t="shared" si="2"/>
        <v>400078</v>
      </c>
      <c r="T62" s="25">
        <f>COUNTIF($V$4:V62,V62)</f>
        <v>8</v>
      </c>
      <c r="U62" s="25" t="str">
        <f>IF(T62=1,COUNTIF($T$4:T62,1),"")</f>
        <v/>
      </c>
      <c r="V62" s="26" t="str">
        <f>'施設状況(要更新)'!$E62&amp;'施設状況(要更新)'!$C62</f>
        <v>白石区04小規模A・B・C</v>
      </c>
      <c r="W62" s="26" t="str">
        <f>'施設状況(要更新)'!$F62</f>
        <v>白石よつば保育園</v>
      </c>
      <c r="X62" s="27">
        <v>58</v>
      </c>
      <c r="Y62" s="28" t="str">
        <f t="shared" si="10"/>
        <v/>
      </c>
      <c r="Z62" s="26" t="str">
        <f t="shared" si="10"/>
        <v/>
      </c>
      <c r="AA62" s="26" t="str">
        <f t="shared" si="10"/>
        <v/>
      </c>
      <c r="AB62" s="10" t="str">
        <f t="shared" si="10"/>
        <v/>
      </c>
      <c r="AC62" s="10" t="str">
        <f t="shared" si="10"/>
        <v/>
      </c>
      <c r="AD62" s="10" t="str">
        <f t="shared" si="10"/>
        <v/>
      </c>
      <c r="AE62" s="10" t="str">
        <f t="shared" si="10"/>
        <v/>
      </c>
      <c r="AF62" s="10" t="str">
        <f t="shared" si="10"/>
        <v/>
      </c>
      <c r="AG62" s="10" t="str">
        <f t="shared" si="10"/>
        <v/>
      </c>
      <c r="AH62" s="12" t="str">
        <f t="shared" si="10"/>
        <v/>
      </c>
      <c r="AI62" s="12" t="str">
        <f t="shared" si="10"/>
        <v/>
      </c>
      <c r="AJ62" s="12" t="str">
        <f t="shared" si="10"/>
        <v/>
      </c>
      <c r="AK62" s="12" t="str">
        <f t="shared" si="10"/>
        <v/>
      </c>
      <c r="AL62" s="12" t="str">
        <f t="shared" si="10"/>
        <v/>
      </c>
      <c r="AM62" s="12" t="str">
        <f t="shared" si="10"/>
        <v/>
      </c>
      <c r="AN62" s="12">
        <f t="shared" si="10"/>
        <v>0</v>
      </c>
      <c r="DJ62" s="29"/>
    </row>
    <row r="63" spans="1:114">
      <c r="A63" s="55">
        <v>400079</v>
      </c>
      <c r="B63" s="53" t="s">
        <v>182</v>
      </c>
      <c r="C63" s="53" t="s">
        <v>451</v>
      </c>
      <c r="D63" s="53" t="s">
        <v>194</v>
      </c>
      <c r="E63" s="53" t="s">
        <v>185</v>
      </c>
      <c r="F63" s="54" t="s">
        <v>1035</v>
      </c>
      <c r="G63" s="54"/>
      <c r="H63" s="54"/>
      <c r="I63" s="54"/>
      <c r="J63" s="53">
        <v>19</v>
      </c>
      <c r="K63" s="53">
        <v>0</v>
      </c>
      <c r="L63" s="53">
        <v>0</v>
      </c>
      <c r="M63" s="53">
        <v>3</v>
      </c>
      <c r="N63" s="53">
        <v>16</v>
      </c>
      <c r="O63" s="24">
        <f>SUM(テーブル1[[#This Row],[列11]:[列12]])</f>
        <v>19</v>
      </c>
      <c r="P63" s="54"/>
      <c r="Q63" s="54"/>
      <c r="R63" s="24">
        <f t="shared" si="1"/>
        <v>19</v>
      </c>
      <c r="S63" s="25">
        <f t="shared" si="2"/>
        <v>400079</v>
      </c>
      <c r="T63" s="25">
        <f>COUNTIF($V$4:V63,V63)</f>
        <v>9</v>
      </c>
      <c r="U63" s="25" t="str">
        <f>IF(T63=1,COUNTIF($T$4:T63,1),"")</f>
        <v/>
      </c>
      <c r="V63" s="26" t="str">
        <f>'施設状況(要更新)'!$E63&amp;'施設状況(要更新)'!$C63</f>
        <v>白石区04小規模A・B・C</v>
      </c>
      <c r="W63" s="26" t="str">
        <f>'施設状況(要更新)'!$F63</f>
        <v>にこまるえん南郷</v>
      </c>
      <c r="X63" s="27">
        <v>59</v>
      </c>
      <c r="Y63" s="28" t="str">
        <f t="shared" si="10"/>
        <v/>
      </c>
      <c r="Z63" s="26" t="str">
        <f t="shared" si="10"/>
        <v/>
      </c>
      <c r="AA63" s="26" t="str">
        <f t="shared" si="10"/>
        <v/>
      </c>
      <c r="AB63" s="10" t="str">
        <f t="shared" si="10"/>
        <v/>
      </c>
      <c r="AC63" s="10" t="str">
        <f t="shared" si="10"/>
        <v/>
      </c>
      <c r="AD63" s="10" t="str">
        <f t="shared" si="10"/>
        <v/>
      </c>
      <c r="AE63" s="10" t="str">
        <f t="shared" si="10"/>
        <v/>
      </c>
      <c r="AF63" s="10" t="str">
        <f t="shared" si="10"/>
        <v/>
      </c>
      <c r="AG63" s="10" t="str">
        <f t="shared" si="10"/>
        <v/>
      </c>
      <c r="AH63" s="12" t="str">
        <f t="shared" si="10"/>
        <v/>
      </c>
      <c r="AI63" s="12" t="str">
        <f t="shared" si="10"/>
        <v/>
      </c>
      <c r="AJ63" s="12" t="str">
        <f t="shared" si="10"/>
        <v/>
      </c>
      <c r="AK63" s="12" t="str">
        <f t="shared" si="10"/>
        <v/>
      </c>
      <c r="AL63" s="12" t="str">
        <f t="shared" si="10"/>
        <v/>
      </c>
      <c r="AM63" s="12" t="str">
        <f t="shared" si="10"/>
        <v/>
      </c>
      <c r="AN63" s="12">
        <f t="shared" si="10"/>
        <v>0</v>
      </c>
      <c r="DJ63" s="29"/>
    </row>
    <row r="64" spans="1:114">
      <c r="A64" s="55">
        <v>400080</v>
      </c>
      <c r="B64" s="53" t="s">
        <v>182</v>
      </c>
      <c r="C64" s="53" t="s">
        <v>451</v>
      </c>
      <c r="D64" s="53" t="s">
        <v>194</v>
      </c>
      <c r="E64" s="53" t="s">
        <v>185</v>
      </c>
      <c r="F64" s="54" t="s">
        <v>862</v>
      </c>
      <c r="G64" s="54"/>
      <c r="H64" s="54"/>
      <c r="I64" s="54"/>
      <c r="J64" s="53">
        <v>19</v>
      </c>
      <c r="K64" s="53">
        <v>0</v>
      </c>
      <c r="L64" s="53">
        <v>0</v>
      </c>
      <c r="M64" s="53">
        <v>4</v>
      </c>
      <c r="N64" s="53">
        <v>8</v>
      </c>
      <c r="O64" s="24">
        <f>SUM(テーブル1[[#This Row],[列11]:[列12]])</f>
        <v>12</v>
      </c>
      <c r="P64" s="54"/>
      <c r="Q64" s="54"/>
      <c r="R64" s="24">
        <f t="shared" si="1"/>
        <v>12</v>
      </c>
      <c r="S64" s="25">
        <f t="shared" si="2"/>
        <v>400080</v>
      </c>
      <c r="T64" s="25">
        <f>COUNTIF($V$4:V64,V64)</f>
        <v>10</v>
      </c>
      <c r="U64" s="25" t="str">
        <f>IF(T64=1,COUNTIF($T$4:T64,1),"")</f>
        <v/>
      </c>
      <c r="V64" s="26" t="str">
        <f>'施設状況(要更新)'!$E64&amp;'施設状況(要更新)'!$C64</f>
        <v>白石区04小規模A・B・C</v>
      </c>
      <c r="W64" s="26" t="str">
        <f>'施設状況(要更新)'!$F64</f>
        <v>もりのなかま保育園菊水元町園</v>
      </c>
      <c r="X64" s="27">
        <v>60</v>
      </c>
      <c r="Y64" s="33" t="str">
        <f t="shared" si="10"/>
        <v/>
      </c>
      <c r="Z64" s="34" t="str">
        <f t="shared" si="10"/>
        <v/>
      </c>
      <c r="AA64" s="34" t="str">
        <f t="shared" si="10"/>
        <v/>
      </c>
      <c r="AB64" s="35" t="str">
        <f t="shared" si="10"/>
        <v/>
      </c>
      <c r="AC64" s="35" t="str">
        <f t="shared" si="10"/>
        <v/>
      </c>
      <c r="AD64" s="35" t="str">
        <f t="shared" si="10"/>
        <v/>
      </c>
      <c r="AE64" s="35" t="str">
        <f t="shared" si="10"/>
        <v/>
      </c>
      <c r="AF64" s="35" t="str">
        <f t="shared" si="10"/>
        <v/>
      </c>
      <c r="AG64" s="35" t="str">
        <f t="shared" si="10"/>
        <v/>
      </c>
      <c r="AH64" s="36" t="str">
        <f t="shared" si="10"/>
        <v/>
      </c>
      <c r="AI64" s="36" t="str">
        <f t="shared" si="10"/>
        <v/>
      </c>
      <c r="AJ64" s="36" t="str">
        <f t="shared" si="10"/>
        <v/>
      </c>
      <c r="AK64" s="36" t="str">
        <f t="shared" si="10"/>
        <v/>
      </c>
      <c r="AL64" s="36" t="str">
        <f t="shared" si="10"/>
        <v/>
      </c>
      <c r="AM64" s="36" t="str">
        <f t="shared" si="10"/>
        <v/>
      </c>
      <c r="AN64" s="36">
        <f t="shared" si="10"/>
        <v>0</v>
      </c>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7"/>
    </row>
    <row r="65" spans="1:27">
      <c r="A65" s="55">
        <v>400081</v>
      </c>
      <c r="B65" s="53" t="s">
        <v>182</v>
      </c>
      <c r="C65" s="53" t="s">
        <v>451</v>
      </c>
      <c r="D65" s="53" t="s">
        <v>194</v>
      </c>
      <c r="E65" s="53" t="s">
        <v>185</v>
      </c>
      <c r="F65" s="54" t="s">
        <v>863</v>
      </c>
      <c r="G65" s="54"/>
      <c r="H65" s="54"/>
      <c r="I65" s="54"/>
      <c r="J65" s="53">
        <v>19</v>
      </c>
      <c r="K65" s="53">
        <v>0</v>
      </c>
      <c r="L65" s="53">
        <v>0</v>
      </c>
      <c r="M65" s="966">
        <v>3</v>
      </c>
      <c r="N65" s="966">
        <v>16</v>
      </c>
      <c r="O65" s="24">
        <f>SUM(テーブル1[[#This Row],[列11]:[列12]])</f>
        <v>19</v>
      </c>
      <c r="P65" s="54"/>
      <c r="Q65" s="54"/>
      <c r="R65" s="24">
        <f t="shared" si="1"/>
        <v>19</v>
      </c>
      <c r="S65" s="25">
        <f t="shared" si="2"/>
        <v>400081</v>
      </c>
      <c r="T65" s="25">
        <f>COUNTIF($V$4:V65,V65)</f>
        <v>11</v>
      </c>
      <c r="U65" s="25" t="str">
        <f>IF(T65=1,COUNTIF($T$4:T65,1),"")</f>
        <v/>
      </c>
      <c r="V65" s="26" t="str">
        <f>'施設状況(要更新)'!$E65&amp;'施設状況(要更新)'!$C65</f>
        <v>白石区04小規模A・B・C</v>
      </c>
      <c r="W65" s="26" t="str">
        <f>'施設状況(要更新)'!$F65</f>
        <v>ちゅうわ南郷保育園</v>
      </c>
      <c r="X65" s="27"/>
      <c r="Y65" s="26"/>
      <c r="Z65" s="26"/>
      <c r="AA65" s="26"/>
    </row>
    <row r="66" spans="1:27">
      <c r="A66" s="55">
        <v>400084</v>
      </c>
      <c r="B66" s="53" t="s">
        <v>182</v>
      </c>
      <c r="C66" s="53" t="s">
        <v>451</v>
      </c>
      <c r="D66" s="53" t="s">
        <v>194</v>
      </c>
      <c r="E66" s="53" t="s">
        <v>185</v>
      </c>
      <c r="F66" s="54" t="s">
        <v>864</v>
      </c>
      <c r="G66" s="54"/>
      <c r="H66" s="54"/>
      <c r="I66" s="54"/>
      <c r="J66" s="53">
        <v>19</v>
      </c>
      <c r="K66" s="53">
        <v>0</v>
      </c>
      <c r="L66" s="53">
        <v>0</v>
      </c>
      <c r="M66" s="53">
        <v>3</v>
      </c>
      <c r="N66" s="53">
        <v>16</v>
      </c>
      <c r="O66" s="24">
        <f>SUM(テーブル1[[#This Row],[列11]:[列12]])</f>
        <v>19</v>
      </c>
      <c r="P66" s="54"/>
      <c r="Q66" s="54"/>
      <c r="R66" s="24">
        <f t="shared" si="1"/>
        <v>19</v>
      </c>
      <c r="S66" s="25">
        <f t="shared" si="2"/>
        <v>400084</v>
      </c>
      <c r="T66" s="25">
        <f>COUNTIF($V$4:V66,V66)</f>
        <v>12</v>
      </c>
      <c r="U66" s="25" t="str">
        <f>IF(T66=1,COUNTIF($T$4:T66,1),"")</f>
        <v/>
      </c>
      <c r="V66" s="26" t="str">
        <f>'施設状況(要更新)'!$E66&amp;'施設状況(要更新)'!$C66</f>
        <v>白石区04小規模A・B・C</v>
      </c>
      <c r="W66" s="26" t="str">
        <f>'施設状況(要更新)'!$F66</f>
        <v>木育こどもの家白石園</v>
      </c>
      <c r="X66" s="27"/>
      <c r="Y66" s="26"/>
      <c r="Z66" s="26"/>
      <c r="AA66" s="26"/>
    </row>
    <row r="67" spans="1:27">
      <c r="A67" s="55">
        <v>450051</v>
      </c>
      <c r="B67" s="53" t="s">
        <v>182</v>
      </c>
      <c r="C67" s="53" t="s">
        <v>451</v>
      </c>
      <c r="D67" s="53" t="s">
        <v>194</v>
      </c>
      <c r="E67" s="53" t="s">
        <v>452</v>
      </c>
      <c r="F67" s="54" t="s">
        <v>865</v>
      </c>
      <c r="G67" s="54"/>
      <c r="H67" s="54"/>
      <c r="I67" s="54"/>
      <c r="J67" s="53">
        <v>19</v>
      </c>
      <c r="K67" s="53">
        <v>0</v>
      </c>
      <c r="L67" s="53">
        <v>0</v>
      </c>
      <c r="M67" s="53">
        <v>3</v>
      </c>
      <c r="N67" s="53">
        <v>16</v>
      </c>
      <c r="O67" s="24">
        <f>SUM(テーブル1[[#This Row],[列11]:[列12]])</f>
        <v>19</v>
      </c>
      <c r="P67" s="54"/>
      <c r="Q67" s="54"/>
      <c r="R67" s="24">
        <f t="shared" si="1"/>
        <v>19</v>
      </c>
      <c r="S67" s="25">
        <f t="shared" si="2"/>
        <v>450051</v>
      </c>
      <c r="T67" s="25">
        <f>COUNTIF($V$4:V67,V67)</f>
        <v>1</v>
      </c>
      <c r="U67" s="25">
        <f>IF(T67=1,COUNTIF($T$4:T67,1),"")</f>
        <v>5</v>
      </c>
      <c r="V67" s="26" t="str">
        <f>'施設状況(要更新)'!$E67&amp;'施設状況(要更新)'!$C67</f>
        <v>厚別区04小規模A・B・C</v>
      </c>
      <c r="W67" s="26" t="str">
        <f>'施設状況(要更新)'!$F67</f>
        <v>サクラ保育園厚別西</v>
      </c>
      <c r="X67" s="27"/>
      <c r="Y67" s="26"/>
      <c r="Z67" s="26"/>
      <c r="AA67" s="26"/>
    </row>
    <row r="68" spans="1:27">
      <c r="A68" s="55">
        <v>450053</v>
      </c>
      <c r="B68" s="53" t="s">
        <v>182</v>
      </c>
      <c r="C68" s="53" t="s">
        <v>451</v>
      </c>
      <c r="D68" s="53" t="s">
        <v>194</v>
      </c>
      <c r="E68" s="53" t="s">
        <v>452</v>
      </c>
      <c r="F68" s="54" t="s">
        <v>866</v>
      </c>
      <c r="G68" s="54"/>
      <c r="H68" s="54"/>
      <c r="I68" s="54"/>
      <c r="J68" s="53">
        <v>19</v>
      </c>
      <c r="K68" s="53">
        <v>0</v>
      </c>
      <c r="L68" s="53">
        <v>0</v>
      </c>
      <c r="M68" s="53">
        <v>3</v>
      </c>
      <c r="N68" s="53">
        <v>16</v>
      </c>
      <c r="O68" s="24">
        <f>SUM(テーブル1[[#This Row],[列11]:[列12]])</f>
        <v>19</v>
      </c>
      <c r="P68" s="54"/>
      <c r="Q68" s="54"/>
      <c r="R68" s="24">
        <f t="shared" si="1"/>
        <v>19</v>
      </c>
      <c r="S68" s="25">
        <f t="shared" si="2"/>
        <v>450053</v>
      </c>
      <c r="T68" s="25">
        <f>COUNTIF($V$4:V68,V68)</f>
        <v>2</v>
      </c>
      <c r="U68" s="25" t="str">
        <f>IF(T68=1,COUNTIF($T$4:T68,1),"")</f>
        <v/>
      </c>
      <c r="V68" s="26" t="str">
        <f>'施設状況(要更新)'!$E68&amp;'施設状況(要更新)'!$C68</f>
        <v>厚別区04小規模A・B・C</v>
      </c>
      <c r="W68" s="26" t="str">
        <f>'施設状況(要更新)'!$F68</f>
        <v>はぐくみ園厚別</v>
      </c>
      <c r="X68" s="27"/>
      <c r="Y68" s="26"/>
      <c r="Z68" s="26"/>
      <c r="AA68" s="26"/>
    </row>
    <row r="69" spans="1:27">
      <c r="A69" s="55">
        <v>450054</v>
      </c>
      <c r="B69" s="53" t="s">
        <v>182</v>
      </c>
      <c r="C69" s="53" t="s">
        <v>451</v>
      </c>
      <c r="D69" s="53" t="s">
        <v>194</v>
      </c>
      <c r="E69" s="53" t="s">
        <v>452</v>
      </c>
      <c r="F69" s="54" t="s">
        <v>867</v>
      </c>
      <c r="G69" s="54"/>
      <c r="H69" s="54"/>
      <c r="I69" s="54"/>
      <c r="J69" s="53">
        <v>19</v>
      </c>
      <c r="K69" s="53">
        <v>0</v>
      </c>
      <c r="L69" s="53">
        <v>0</v>
      </c>
      <c r="M69" s="53">
        <v>3</v>
      </c>
      <c r="N69" s="53">
        <v>16</v>
      </c>
      <c r="O69" s="24">
        <f>SUM(テーブル1[[#This Row],[列11]:[列12]])</f>
        <v>19</v>
      </c>
      <c r="P69" s="54"/>
      <c r="Q69" s="54"/>
      <c r="R69" s="24">
        <f t="shared" ref="R69:R132" si="11">SUM(K69,L69,O69,P69)</f>
        <v>19</v>
      </c>
      <c r="S69" s="25">
        <f t="shared" ref="S69:S132" si="12">A69</f>
        <v>450054</v>
      </c>
      <c r="T69" s="25">
        <f>COUNTIF($V$4:V69,V69)</f>
        <v>3</v>
      </c>
      <c r="U69" s="25" t="str">
        <f>IF(T69=1,COUNTIF($T$4:T69,1),"")</f>
        <v/>
      </c>
      <c r="V69" s="26" t="str">
        <f>'施設状況(要更新)'!$E69&amp;'施設状況(要更新)'!$C69</f>
        <v>厚別区04小規模A・B・C</v>
      </c>
      <c r="W69" s="26" t="str">
        <f>'施設状況(要更新)'!$F69</f>
        <v>みんなのナーサリー</v>
      </c>
      <c r="X69" s="27"/>
      <c r="Y69" s="26"/>
      <c r="Z69" s="26"/>
      <c r="AA69" s="26"/>
    </row>
    <row r="70" spans="1:27">
      <c r="A70" s="55">
        <v>450055</v>
      </c>
      <c r="B70" s="53" t="s">
        <v>182</v>
      </c>
      <c r="C70" s="53" t="s">
        <v>451</v>
      </c>
      <c r="D70" s="53" t="s">
        <v>194</v>
      </c>
      <c r="E70" s="53" t="s">
        <v>452</v>
      </c>
      <c r="F70" s="54" t="s">
        <v>868</v>
      </c>
      <c r="G70" s="54"/>
      <c r="H70" s="54"/>
      <c r="I70" s="54"/>
      <c r="J70" s="53">
        <v>19</v>
      </c>
      <c r="K70" s="53">
        <v>0</v>
      </c>
      <c r="L70" s="53">
        <v>0</v>
      </c>
      <c r="M70" s="53">
        <v>3</v>
      </c>
      <c r="N70" s="53">
        <v>16</v>
      </c>
      <c r="O70" s="24">
        <f>SUM(テーブル1[[#This Row],[列11]:[列12]])</f>
        <v>19</v>
      </c>
      <c r="P70" s="54"/>
      <c r="Q70" s="54"/>
      <c r="R70" s="24">
        <f t="shared" si="11"/>
        <v>19</v>
      </c>
      <c r="S70" s="25">
        <f t="shared" si="12"/>
        <v>450055</v>
      </c>
      <c r="T70" s="25">
        <f>COUNTIF($V$4:V70,V70)</f>
        <v>4</v>
      </c>
      <c r="U70" s="25" t="str">
        <f>IF(T70=1,COUNTIF($T$4:T70,1),"")</f>
        <v/>
      </c>
      <c r="V70" s="26" t="str">
        <f>'施設状況(要更新)'!$E70&amp;'施設状況(要更新)'!$C70</f>
        <v>厚別区04小規模A・B・C</v>
      </c>
      <c r="W70" s="26" t="str">
        <f>'施設状況(要更新)'!$F70</f>
        <v>サクラ保育園上野幌</v>
      </c>
      <c r="X70" s="27"/>
      <c r="Y70" s="26"/>
      <c r="Z70" s="26"/>
      <c r="AA70" s="26"/>
    </row>
    <row r="71" spans="1:27">
      <c r="A71" s="55">
        <v>450056</v>
      </c>
      <c r="B71" s="53" t="s">
        <v>182</v>
      </c>
      <c r="C71" s="53" t="s">
        <v>451</v>
      </c>
      <c r="D71" s="53" t="s">
        <v>194</v>
      </c>
      <c r="E71" s="53" t="s">
        <v>452</v>
      </c>
      <c r="F71" s="54" t="s">
        <v>869</v>
      </c>
      <c r="G71" s="54"/>
      <c r="H71" s="54"/>
      <c r="I71" s="54"/>
      <c r="J71" s="53">
        <v>19</v>
      </c>
      <c r="K71" s="53">
        <v>0</v>
      </c>
      <c r="L71" s="53">
        <v>0</v>
      </c>
      <c r="M71" s="53">
        <v>3</v>
      </c>
      <c r="N71" s="53">
        <v>16</v>
      </c>
      <c r="O71" s="24">
        <f>SUM(テーブル1[[#This Row],[列11]:[列12]])</f>
        <v>19</v>
      </c>
      <c r="P71" s="54"/>
      <c r="Q71" s="54"/>
      <c r="R71" s="24">
        <f t="shared" si="11"/>
        <v>19</v>
      </c>
      <c r="S71" s="25">
        <f t="shared" si="12"/>
        <v>450056</v>
      </c>
      <c r="T71" s="25">
        <f>COUNTIF($V$4:V71,V71)</f>
        <v>5</v>
      </c>
      <c r="U71" s="25" t="str">
        <f>IF(T71=1,COUNTIF($T$4:T71,1),"")</f>
        <v/>
      </c>
      <c r="V71" s="26" t="str">
        <f>'施設状況(要更新)'!$E71&amp;'施設状況(要更新)'!$C71</f>
        <v>厚別区04小規模A・B・C</v>
      </c>
      <c r="W71" s="26" t="str">
        <f>'施設状況(要更新)'!$F71</f>
        <v>ひばりが丘あんさんぶる保育園</v>
      </c>
      <c r="X71" s="27"/>
      <c r="Y71" s="26"/>
      <c r="Z71" s="26"/>
      <c r="AA71" s="26"/>
    </row>
    <row r="72" spans="1:27">
      <c r="A72" s="55">
        <v>450057</v>
      </c>
      <c r="B72" s="53" t="s">
        <v>182</v>
      </c>
      <c r="C72" s="53" t="s">
        <v>451</v>
      </c>
      <c r="D72" s="53" t="s">
        <v>194</v>
      </c>
      <c r="E72" s="53" t="s">
        <v>452</v>
      </c>
      <c r="F72" s="54" t="s">
        <v>870</v>
      </c>
      <c r="G72" s="54"/>
      <c r="H72" s="54"/>
      <c r="I72" s="54"/>
      <c r="J72" s="53">
        <v>19</v>
      </c>
      <c r="K72" s="53">
        <v>0</v>
      </c>
      <c r="L72" s="53">
        <v>0</v>
      </c>
      <c r="M72" s="53">
        <v>3</v>
      </c>
      <c r="N72" s="53">
        <v>16</v>
      </c>
      <c r="O72" s="24">
        <f>SUM(テーブル1[[#This Row],[列11]:[列12]])</f>
        <v>19</v>
      </c>
      <c r="P72" s="54"/>
      <c r="Q72" s="54"/>
      <c r="R72" s="24">
        <f t="shared" si="11"/>
        <v>19</v>
      </c>
      <c r="S72" s="25">
        <f t="shared" si="12"/>
        <v>450057</v>
      </c>
      <c r="T72" s="25">
        <f>COUNTIF($V$4:V72,V72)</f>
        <v>6</v>
      </c>
      <c r="U72" s="25" t="str">
        <f>IF(T72=1,COUNTIF($T$4:T72,1),"")</f>
        <v/>
      </c>
      <c r="V72" s="26" t="str">
        <f>'施設状況(要更新)'!$E72&amp;'施設状況(要更新)'!$C72</f>
        <v>厚別区04小規模A・B・C</v>
      </c>
      <c r="W72" s="26" t="str">
        <f>'施設状況(要更新)'!$F72</f>
        <v>厚別西クレヨン保育園</v>
      </c>
      <c r="X72" s="27"/>
      <c r="Y72" s="26"/>
      <c r="Z72" s="26"/>
      <c r="AA72" s="26"/>
    </row>
    <row r="73" spans="1:27">
      <c r="A73" s="55">
        <v>500046</v>
      </c>
      <c r="B73" s="53" t="s">
        <v>182</v>
      </c>
      <c r="C73" s="53" t="s">
        <v>451</v>
      </c>
      <c r="D73" s="53" t="s">
        <v>194</v>
      </c>
      <c r="E73" s="53" t="s">
        <v>186</v>
      </c>
      <c r="F73" s="54" t="s">
        <v>223</v>
      </c>
      <c r="G73" s="54"/>
      <c r="H73" s="54"/>
      <c r="I73" s="54"/>
      <c r="J73" s="53">
        <v>19</v>
      </c>
      <c r="K73" s="53">
        <v>0</v>
      </c>
      <c r="L73" s="53">
        <v>0</v>
      </c>
      <c r="M73" s="53">
        <v>6</v>
      </c>
      <c r="N73" s="53">
        <v>13</v>
      </c>
      <c r="O73" s="24">
        <f>SUM(テーブル1[[#This Row],[列11]:[列12]])</f>
        <v>19</v>
      </c>
      <c r="P73" s="54"/>
      <c r="Q73" s="54"/>
      <c r="R73" s="24">
        <f t="shared" si="11"/>
        <v>19</v>
      </c>
      <c r="S73" s="25">
        <f t="shared" si="12"/>
        <v>500046</v>
      </c>
      <c r="T73" s="25">
        <f>COUNTIF($V$4:V73,V73)</f>
        <v>1</v>
      </c>
      <c r="U73" s="25">
        <f>IF(T73=1,COUNTIF($T$4:T73,1),"")</f>
        <v>6</v>
      </c>
      <c r="V73" s="26" t="str">
        <f>'施設状況(要更新)'!$E73&amp;'施設状況(要更新)'!$C73</f>
        <v>豊平区04小規模A・B・C</v>
      </c>
      <c r="W73" s="26" t="str">
        <f>'施設状況(要更新)'!$F73</f>
        <v>ちびっこ保育るーむ札幌ドーム前園</v>
      </c>
      <c r="X73" s="27"/>
      <c r="Y73" s="26"/>
      <c r="Z73" s="26"/>
      <c r="AA73" s="26"/>
    </row>
    <row r="74" spans="1:27">
      <c r="A74" s="55">
        <v>500091</v>
      </c>
      <c r="B74" s="53" t="s">
        <v>182</v>
      </c>
      <c r="C74" s="53" t="s">
        <v>451</v>
      </c>
      <c r="D74" s="53" t="s">
        <v>194</v>
      </c>
      <c r="E74" s="53" t="s">
        <v>186</v>
      </c>
      <c r="F74" s="54" t="s">
        <v>224</v>
      </c>
      <c r="G74" s="54"/>
      <c r="H74" s="54"/>
      <c r="I74" s="54"/>
      <c r="J74" s="53">
        <v>19</v>
      </c>
      <c r="K74" s="53">
        <v>0</v>
      </c>
      <c r="L74" s="53">
        <v>0</v>
      </c>
      <c r="M74" s="53">
        <v>4</v>
      </c>
      <c r="N74" s="53">
        <v>8</v>
      </c>
      <c r="O74" s="24">
        <f>SUM(テーブル1[[#This Row],[列11]:[列12]])</f>
        <v>12</v>
      </c>
      <c r="P74" s="54"/>
      <c r="Q74" s="54"/>
      <c r="R74" s="24">
        <f t="shared" si="11"/>
        <v>12</v>
      </c>
      <c r="S74" s="25">
        <f t="shared" si="12"/>
        <v>500091</v>
      </c>
      <c r="T74" s="25">
        <f>COUNTIF($V$4:V74,V74)</f>
        <v>2</v>
      </c>
      <c r="U74" s="25" t="str">
        <f>IF(T74=1,COUNTIF($T$4:T74,1),"")</f>
        <v/>
      </c>
      <c r="V74" s="26" t="str">
        <f>'施設状況(要更新)'!$E74&amp;'施設状況(要更新)'!$C74</f>
        <v>豊平区04小規模A・B・C</v>
      </c>
      <c r="W74" s="26" t="str">
        <f>'施設状況(要更新)'!$F74</f>
        <v>ちびっこ保育ルーム平岸ひまわり園</v>
      </c>
      <c r="X74" s="27"/>
      <c r="Y74" s="26"/>
      <c r="Z74" s="26"/>
      <c r="AA74" s="26"/>
    </row>
    <row r="75" spans="1:27">
      <c r="A75" s="55">
        <v>500048</v>
      </c>
      <c r="B75" s="53" t="s">
        <v>182</v>
      </c>
      <c r="C75" s="53" t="s">
        <v>451</v>
      </c>
      <c r="D75" s="53" t="s">
        <v>194</v>
      </c>
      <c r="E75" s="53" t="s">
        <v>186</v>
      </c>
      <c r="F75" s="54" t="s">
        <v>225</v>
      </c>
      <c r="G75" s="54"/>
      <c r="H75" s="54"/>
      <c r="I75" s="54"/>
      <c r="J75" s="53">
        <v>19</v>
      </c>
      <c r="K75" s="53">
        <v>0</v>
      </c>
      <c r="L75" s="53">
        <v>0</v>
      </c>
      <c r="M75" s="53">
        <v>6</v>
      </c>
      <c r="N75" s="53">
        <v>13</v>
      </c>
      <c r="O75" s="24">
        <f>SUM(テーブル1[[#This Row],[列11]:[列12]])</f>
        <v>19</v>
      </c>
      <c r="P75" s="54"/>
      <c r="Q75" s="54"/>
      <c r="R75" s="24">
        <f t="shared" si="11"/>
        <v>19</v>
      </c>
      <c r="S75" s="25">
        <f t="shared" si="12"/>
        <v>500048</v>
      </c>
      <c r="T75" s="25">
        <f>COUNTIF($V$4:V75,V75)</f>
        <v>3</v>
      </c>
      <c r="U75" s="25" t="str">
        <f>IF(T75=1,COUNTIF($T$4:T75,1),"")</f>
        <v/>
      </c>
      <c r="V75" s="26" t="str">
        <f>'施設状況(要更新)'!$E75&amp;'施設状況(要更新)'!$C75</f>
        <v>豊平区04小規模A・B・C</v>
      </c>
      <c r="W75" s="26" t="str">
        <f>'施設状況(要更新)'!$F75</f>
        <v>太陽こころナーサリー平岸</v>
      </c>
      <c r="X75" s="27"/>
      <c r="Y75" s="26"/>
      <c r="Z75" s="26"/>
      <c r="AA75" s="26"/>
    </row>
    <row r="76" spans="1:27">
      <c r="A76" s="55">
        <v>500050</v>
      </c>
      <c r="B76" s="53" t="s">
        <v>182</v>
      </c>
      <c r="C76" s="53" t="s">
        <v>451</v>
      </c>
      <c r="D76" s="53" t="s">
        <v>194</v>
      </c>
      <c r="E76" s="53" t="s">
        <v>186</v>
      </c>
      <c r="F76" s="54" t="s">
        <v>226</v>
      </c>
      <c r="G76" s="54"/>
      <c r="H76" s="54"/>
      <c r="I76" s="54"/>
      <c r="J76" s="53">
        <v>19</v>
      </c>
      <c r="K76" s="53">
        <v>0</v>
      </c>
      <c r="L76" s="53">
        <v>0</v>
      </c>
      <c r="M76" s="53">
        <v>6</v>
      </c>
      <c r="N76" s="53">
        <v>13</v>
      </c>
      <c r="O76" s="24">
        <f>SUM(テーブル1[[#This Row],[列11]:[列12]])</f>
        <v>19</v>
      </c>
      <c r="P76" s="54"/>
      <c r="Q76" s="54"/>
      <c r="R76" s="24">
        <f t="shared" si="11"/>
        <v>19</v>
      </c>
      <c r="S76" s="25">
        <f t="shared" si="12"/>
        <v>500050</v>
      </c>
      <c r="T76" s="25">
        <f>COUNTIF($V$4:V76,V76)</f>
        <v>4</v>
      </c>
      <c r="U76" s="25" t="str">
        <f>IF(T76=1,COUNTIF($T$4:T76,1),"")</f>
        <v/>
      </c>
      <c r="V76" s="26" t="str">
        <f>'施設状況(要更新)'!$E76&amp;'施設状況(要更新)'!$C76</f>
        <v>豊平区04小規模A・B・C</v>
      </c>
      <c r="W76" s="26" t="str">
        <f>'施設状況(要更新)'!$F76</f>
        <v>あんあん保育園平岸ルーム</v>
      </c>
      <c r="X76" s="27"/>
      <c r="Y76" s="26"/>
      <c r="Z76" s="26"/>
      <c r="AA76" s="26"/>
    </row>
    <row r="77" spans="1:27">
      <c r="A77" s="55">
        <v>500057</v>
      </c>
      <c r="B77" s="53" t="s">
        <v>182</v>
      </c>
      <c r="C77" s="53" t="s">
        <v>451</v>
      </c>
      <c r="D77" s="53" t="s">
        <v>194</v>
      </c>
      <c r="E77" s="53" t="s">
        <v>186</v>
      </c>
      <c r="F77" s="54" t="s">
        <v>228</v>
      </c>
      <c r="G77" s="54"/>
      <c r="H77" s="54"/>
      <c r="I77" s="54"/>
      <c r="J77" s="53">
        <v>19</v>
      </c>
      <c r="K77" s="53">
        <v>0</v>
      </c>
      <c r="L77" s="53">
        <v>0</v>
      </c>
      <c r="M77" s="53">
        <v>3</v>
      </c>
      <c r="N77" s="53">
        <v>16</v>
      </c>
      <c r="O77" s="24">
        <f>SUM(テーブル1[[#This Row],[列11]:[列12]])</f>
        <v>19</v>
      </c>
      <c r="P77" s="54"/>
      <c r="Q77" s="54"/>
      <c r="R77" s="24">
        <f t="shared" si="11"/>
        <v>19</v>
      </c>
      <c r="S77" s="25">
        <f t="shared" si="12"/>
        <v>500057</v>
      </c>
      <c r="T77" s="25">
        <f>COUNTIF($V$4:V77,V77)</f>
        <v>5</v>
      </c>
      <c r="U77" s="25" t="str">
        <f>IF(T77=1,COUNTIF($T$4:T77,1),"")</f>
        <v/>
      </c>
      <c r="V77" s="26" t="str">
        <f>'施設状況(要更新)'!$E77&amp;'施設状況(要更新)'!$C77</f>
        <v>豊平区04小規模A・B・C</v>
      </c>
      <c r="W77" s="26" t="str">
        <f>'施設状況(要更新)'!$F77</f>
        <v>美晴の家保育園</v>
      </c>
      <c r="X77" s="27"/>
      <c r="Y77" s="26"/>
      <c r="Z77" s="26"/>
      <c r="AA77" s="26"/>
    </row>
    <row r="78" spans="1:27">
      <c r="A78" s="55">
        <v>500056</v>
      </c>
      <c r="B78" s="53" t="s">
        <v>182</v>
      </c>
      <c r="C78" s="53" t="s">
        <v>451</v>
      </c>
      <c r="D78" s="53" t="s">
        <v>194</v>
      </c>
      <c r="E78" s="53" t="s">
        <v>186</v>
      </c>
      <c r="F78" s="54" t="s">
        <v>227</v>
      </c>
      <c r="G78" s="54"/>
      <c r="H78" s="54"/>
      <c r="I78" s="54"/>
      <c r="J78" s="53">
        <v>19</v>
      </c>
      <c r="K78" s="53">
        <v>0</v>
      </c>
      <c r="L78" s="53">
        <v>0</v>
      </c>
      <c r="M78" s="53">
        <v>5</v>
      </c>
      <c r="N78" s="53">
        <v>14</v>
      </c>
      <c r="O78" s="24">
        <f>SUM(テーブル1[[#This Row],[列11]:[列12]])</f>
        <v>19</v>
      </c>
      <c r="P78" s="54"/>
      <c r="Q78" s="54"/>
      <c r="R78" s="24">
        <f t="shared" si="11"/>
        <v>19</v>
      </c>
      <c r="S78" s="25">
        <f t="shared" si="12"/>
        <v>500056</v>
      </c>
      <c r="T78" s="25">
        <f>COUNTIF($V$4:V78,V78)</f>
        <v>6</v>
      </c>
      <c r="U78" s="25" t="str">
        <f>IF(T78=1,COUNTIF($T$4:T78,1),"")</f>
        <v/>
      </c>
      <c r="V78" s="26" t="str">
        <f>'施設状況(要更新)'!$E78&amp;'施設状況(要更新)'!$C78</f>
        <v>豊平区04小規模A・B・C</v>
      </c>
      <c r="W78" s="26" t="str">
        <f>'施設状況(要更新)'!$F78</f>
        <v>ナーサリーゆめの木</v>
      </c>
      <c r="X78" s="27"/>
      <c r="Y78" s="26"/>
      <c r="Z78" s="26"/>
      <c r="AA78" s="26"/>
    </row>
    <row r="79" spans="1:27">
      <c r="A79" s="55">
        <v>500061</v>
      </c>
      <c r="B79" s="53" t="s">
        <v>182</v>
      </c>
      <c r="C79" s="53" t="s">
        <v>451</v>
      </c>
      <c r="D79" s="53" t="s">
        <v>194</v>
      </c>
      <c r="E79" s="53" t="s">
        <v>186</v>
      </c>
      <c r="F79" s="54" t="s">
        <v>229</v>
      </c>
      <c r="G79" s="54"/>
      <c r="H79" s="54"/>
      <c r="I79" s="54"/>
      <c r="J79" s="53">
        <v>19</v>
      </c>
      <c r="K79" s="53">
        <v>0</v>
      </c>
      <c r="L79" s="53">
        <v>0</v>
      </c>
      <c r="M79" s="53">
        <v>3</v>
      </c>
      <c r="N79" s="53">
        <v>16</v>
      </c>
      <c r="O79" s="24">
        <f>SUM(テーブル1[[#This Row],[列11]:[列12]])</f>
        <v>19</v>
      </c>
      <c r="P79" s="54"/>
      <c r="Q79" s="54"/>
      <c r="R79" s="24">
        <f t="shared" si="11"/>
        <v>19</v>
      </c>
      <c r="S79" s="25">
        <f t="shared" si="12"/>
        <v>500061</v>
      </c>
      <c r="T79" s="25">
        <f>COUNTIF($V$4:V79,V79)</f>
        <v>7</v>
      </c>
      <c r="U79" s="25" t="str">
        <f>IF(T79=1,COUNTIF($T$4:T79,1),"")</f>
        <v/>
      </c>
      <c r="V79" s="26" t="str">
        <f>'施設状況(要更新)'!$E79&amp;'施設状況(要更新)'!$C79</f>
        <v>豊平区04小規模A・B・C</v>
      </c>
      <c r="W79" s="26" t="str">
        <f>'施設状況(要更新)'!$F79</f>
        <v>ペガサス</v>
      </c>
      <c r="X79" s="27"/>
      <c r="Y79" s="26"/>
      <c r="Z79" s="26"/>
      <c r="AA79" s="26"/>
    </row>
    <row r="80" spans="1:27">
      <c r="A80" s="55">
        <v>500060</v>
      </c>
      <c r="B80" s="53" t="s">
        <v>182</v>
      </c>
      <c r="C80" s="53" t="s">
        <v>451</v>
      </c>
      <c r="D80" s="53" t="s">
        <v>194</v>
      </c>
      <c r="E80" s="53" t="s">
        <v>186</v>
      </c>
      <c r="F80" s="54" t="s">
        <v>871</v>
      </c>
      <c r="G80" s="54"/>
      <c r="H80" s="54"/>
      <c r="I80" s="54"/>
      <c r="J80" s="53">
        <v>19</v>
      </c>
      <c r="K80" s="53">
        <v>0</v>
      </c>
      <c r="L80" s="53">
        <v>0</v>
      </c>
      <c r="M80" s="53">
        <v>0</v>
      </c>
      <c r="N80" s="53">
        <v>19</v>
      </c>
      <c r="O80" s="24">
        <f>SUM(テーブル1[[#This Row],[列11]:[列12]])</f>
        <v>19</v>
      </c>
      <c r="P80" s="54"/>
      <c r="Q80" s="54"/>
      <c r="R80" s="24">
        <f t="shared" si="11"/>
        <v>19</v>
      </c>
      <c r="S80" s="25">
        <f t="shared" si="12"/>
        <v>500060</v>
      </c>
      <c r="T80" s="25">
        <f>COUNTIF($V$4:V80,V80)</f>
        <v>8</v>
      </c>
      <c r="U80" s="25" t="str">
        <f>IF(T80=1,COUNTIF($T$4:T80,1),"")</f>
        <v/>
      </c>
      <c r="V80" s="26" t="str">
        <f>'施設状況(要更新)'!$E80&amp;'施設状況(要更新)'!$C80</f>
        <v>豊平区04小規模A・B・C</v>
      </c>
      <c r="W80" s="26" t="str">
        <f>'施設状況(要更新)'!$F80</f>
        <v>札幌じけい保育園</v>
      </c>
      <c r="X80" s="27"/>
      <c r="Y80" s="26"/>
      <c r="Z80" s="26"/>
      <c r="AA80" s="26"/>
    </row>
    <row r="81" spans="1:33">
      <c r="A81" s="55">
        <v>500067</v>
      </c>
      <c r="B81" s="53" t="s">
        <v>182</v>
      </c>
      <c r="C81" s="53" t="s">
        <v>451</v>
      </c>
      <c r="D81" s="53" t="s">
        <v>194</v>
      </c>
      <c r="E81" s="53" t="s">
        <v>186</v>
      </c>
      <c r="F81" s="54" t="s">
        <v>1036</v>
      </c>
      <c r="G81" s="54"/>
      <c r="H81" s="54"/>
      <c r="I81" s="54"/>
      <c r="J81" s="53">
        <v>19</v>
      </c>
      <c r="K81" s="53">
        <v>0</v>
      </c>
      <c r="L81" s="53">
        <v>0</v>
      </c>
      <c r="M81" s="53">
        <v>3</v>
      </c>
      <c r="N81" s="53">
        <v>16</v>
      </c>
      <c r="O81" s="24">
        <f>SUM(テーブル1[[#This Row],[列11]:[列12]])</f>
        <v>19</v>
      </c>
      <c r="P81" s="54"/>
      <c r="Q81" s="54"/>
      <c r="R81" s="24">
        <f t="shared" si="11"/>
        <v>19</v>
      </c>
      <c r="S81" s="25">
        <f t="shared" si="12"/>
        <v>500067</v>
      </c>
      <c r="T81" s="25">
        <f>COUNTIF($V$4:V81,V81)</f>
        <v>9</v>
      </c>
      <c r="U81" s="25" t="str">
        <f>IF(T81=1,COUNTIF($T$4:T81,1),"")</f>
        <v/>
      </c>
      <c r="V81" s="26" t="str">
        <f>'施設状況(要更新)'!$E81&amp;'施設状況(要更新)'!$C81</f>
        <v>豊平区04小規模A・B・C</v>
      </c>
      <c r="W81" s="26" t="str">
        <f>'施設状況(要更新)'!$F81</f>
        <v>美園よつば保育園</v>
      </c>
      <c r="X81" s="27"/>
      <c r="Y81" s="26"/>
      <c r="Z81" s="26"/>
      <c r="AA81" s="26"/>
    </row>
    <row r="82" spans="1:33">
      <c r="A82" s="55">
        <v>500066</v>
      </c>
      <c r="B82" s="53" t="s">
        <v>182</v>
      </c>
      <c r="C82" s="53" t="s">
        <v>451</v>
      </c>
      <c r="D82" s="53" t="s">
        <v>194</v>
      </c>
      <c r="E82" s="53" t="s">
        <v>186</v>
      </c>
      <c r="F82" s="54" t="s">
        <v>1037</v>
      </c>
      <c r="G82" s="54"/>
      <c r="H82" s="54"/>
      <c r="I82" s="54"/>
      <c r="J82" s="53">
        <v>19</v>
      </c>
      <c r="K82" s="53">
        <v>0</v>
      </c>
      <c r="L82" s="53">
        <v>0</v>
      </c>
      <c r="M82" s="53">
        <v>3</v>
      </c>
      <c r="N82" s="53">
        <v>16</v>
      </c>
      <c r="O82" s="24">
        <f>SUM(テーブル1[[#This Row],[列11]:[列12]])</f>
        <v>19</v>
      </c>
      <c r="P82" s="54"/>
      <c r="Q82" s="54"/>
      <c r="R82" s="24">
        <f t="shared" si="11"/>
        <v>19</v>
      </c>
      <c r="S82" s="25">
        <f t="shared" si="12"/>
        <v>500066</v>
      </c>
      <c r="T82" s="25">
        <f>COUNTIF($V$4:V82,V82)</f>
        <v>10</v>
      </c>
      <c r="U82" s="25" t="str">
        <f>IF(T82=1,COUNTIF($T$4:T82,1),"")</f>
        <v/>
      </c>
      <c r="V82" s="26" t="str">
        <f>'施設状況(要更新)'!$E82&amp;'施設状況(要更新)'!$C82</f>
        <v>豊平区04小規模A・B・C</v>
      </c>
      <c r="W82" s="26" t="str">
        <f>'施設状況(要更新)'!$F82</f>
        <v>平岸オレンジ保育園</v>
      </c>
      <c r="X82" s="27"/>
      <c r="Y82" s="26"/>
      <c r="Z82" s="26"/>
      <c r="AA82" s="26"/>
      <c r="AB82" s="26"/>
      <c r="AC82" s="26"/>
      <c r="AD82" s="26"/>
      <c r="AE82" s="26"/>
      <c r="AF82" s="26"/>
      <c r="AG82" s="26"/>
    </row>
    <row r="83" spans="1:33">
      <c r="A83" s="55">
        <v>500069</v>
      </c>
      <c r="B83" s="53" t="s">
        <v>182</v>
      </c>
      <c r="C83" s="53" t="s">
        <v>451</v>
      </c>
      <c r="D83" s="53" t="s">
        <v>194</v>
      </c>
      <c r="E83" s="53" t="s">
        <v>186</v>
      </c>
      <c r="F83" s="54" t="s">
        <v>872</v>
      </c>
      <c r="G83" s="54"/>
      <c r="H83" s="54"/>
      <c r="I83" s="54"/>
      <c r="J83" s="53">
        <v>19</v>
      </c>
      <c r="K83" s="53">
        <v>0</v>
      </c>
      <c r="L83" s="53">
        <v>0</v>
      </c>
      <c r="M83" s="53">
        <v>3</v>
      </c>
      <c r="N83" s="53">
        <v>16</v>
      </c>
      <c r="O83" s="24">
        <f>SUM(テーブル1[[#This Row],[列11]:[列12]])</f>
        <v>19</v>
      </c>
      <c r="P83" s="54"/>
      <c r="Q83" s="54"/>
      <c r="R83" s="24">
        <f t="shared" si="11"/>
        <v>19</v>
      </c>
      <c r="S83" s="25">
        <f t="shared" si="12"/>
        <v>500069</v>
      </c>
      <c r="T83" s="25">
        <f>COUNTIF($V$4:V83,V83)</f>
        <v>11</v>
      </c>
      <c r="U83" s="25" t="str">
        <f>IF(T83=1,COUNTIF($T$4:T83,1),"")</f>
        <v/>
      </c>
      <c r="V83" s="26" t="str">
        <f>'施設状況(要更新)'!$E83&amp;'施設状況(要更新)'!$C83</f>
        <v>豊平区04小規模A・B・C</v>
      </c>
      <c r="W83" s="26" t="str">
        <f>'施設状況(要更新)'!$F83</f>
        <v>えとわーる保育園</v>
      </c>
      <c r="X83" s="27"/>
      <c r="Y83" s="26"/>
      <c r="Z83" s="26"/>
      <c r="AA83" s="26"/>
    </row>
    <row r="84" spans="1:33">
      <c r="A84" s="55">
        <v>500071</v>
      </c>
      <c r="B84" s="53" t="s">
        <v>182</v>
      </c>
      <c r="C84" s="53" t="s">
        <v>451</v>
      </c>
      <c r="D84" s="53" t="s">
        <v>194</v>
      </c>
      <c r="E84" s="53" t="s">
        <v>186</v>
      </c>
      <c r="F84" s="54" t="s">
        <v>873</v>
      </c>
      <c r="G84" s="54"/>
      <c r="H84" s="54"/>
      <c r="I84" s="54"/>
      <c r="J84" s="53">
        <v>19</v>
      </c>
      <c r="K84" s="53">
        <v>0</v>
      </c>
      <c r="L84" s="53">
        <v>0</v>
      </c>
      <c r="M84" s="53">
        <v>3</v>
      </c>
      <c r="N84" s="53">
        <v>16</v>
      </c>
      <c r="O84" s="24">
        <f>SUM(テーブル1[[#This Row],[列11]:[列12]])</f>
        <v>19</v>
      </c>
      <c r="P84" s="54"/>
      <c r="Q84" s="54"/>
      <c r="R84" s="24">
        <f t="shared" si="11"/>
        <v>19</v>
      </c>
      <c r="S84" s="25">
        <f t="shared" si="12"/>
        <v>500071</v>
      </c>
      <c r="T84" s="25">
        <f>COUNTIF($V$4:V84,V84)</f>
        <v>12</v>
      </c>
      <c r="U84" s="25" t="str">
        <f>IF(T84=1,COUNTIF($T$4:T84,1),"")</f>
        <v/>
      </c>
      <c r="V84" s="26" t="str">
        <f>'施設状況(要更新)'!$E84&amp;'施設状況(要更新)'!$C84</f>
        <v>豊平区04小規模A・B・C</v>
      </c>
      <c r="W84" s="26" t="str">
        <f>'施設状況(要更新)'!$F84</f>
        <v>レーベン美園保育園</v>
      </c>
      <c r="X84" s="27"/>
      <c r="Y84" s="26"/>
      <c r="Z84" s="26"/>
      <c r="AA84" s="26"/>
    </row>
    <row r="85" spans="1:33">
      <c r="A85" s="55">
        <v>500072</v>
      </c>
      <c r="B85" s="53" t="s">
        <v>182</v>
      </c>
      <c r="C85" s="53" t="s">
        <v>451</v>
      </c>
      <c r="D85" s="53" t="s">
        <v>194</v>
      </c>
      <c r="E85" s="53" t="s">
        <v>186</v>
      </c>
      <c r="F85" s="54" t="s">
        <v>874</v>
      </c>
      <c r="G85" s="54"/>
      <c r="H85" s="54"/>
      <c r="I85" s="54"/>
      <c r="J85" s="53">
        <v>19</v>
      </c>
      <c r="K85" s="53">
        <v>0</v>
      </c>
      <c r="L85" s="53">
        <v>0</v>
      </c>
      <c r="M85" s="53">
        <v>3</v>
      </c>
      <c r="N85" s="53">
        <v>16</v>
      </c>
      <c r="O85" s="24">
        <f>SUM(テーブル1[[#This Row],[列11]:[列12]])</f>
        <v>19</v>
      </c>
      <c r="P85" s="54"/>
      <c r="Q85" s="54"/>
      <c r="R85" s="24">
        <f t="shared" si="11"/>
        <v>19</v>
      </c>
      <c r="S85" s="25">
        <f t="shared" si="12"/>
        <v>500072</v>
      </c>
      <c r="T85" s="25">
        <f>COUNTIF($V$4:V85,V85)</f>
        <v>13</v>
      </c>
      <c r="U85" s="25" t="str">
        <f>IF(T85=1,COUNTIF($T$4:T85,1),"")</f>
        <v/>
      </c>
      <c r="V85" s="26" t="str">
        <f>'施設状況(要更新)'!$E85&amp;'施設状況(要更新)'!$C85</f>
        <v>豊平区04小規模A・B・C</v>
      </c>
      <c r="W85" s="26" t="str">
        <f>'施設状況(要更新)'!$F85</f>
        <v>あんあん保育園福住ルーム</v>
      </c>
      <c r="X85" s="27"/>
      <c r="Y85" s="26"/>
      <c r="Z85" s="26"/>
      <c r="AA85" s="26"/>
    </row>
    <row r="86" spans="1:33">
      <c r="A86" s="55">
        <v>500073</v>
      </c>
      <c r="B86" s="53" t="s">
        <v>182</v>
      </c>
      <c r="C86" s="53" t="s">
        <v>451</v>
      </c>
      <c r="D86" s="53" t="s">
        <v>194</v>
      </c>
      <c r="E86" s="53" t="s">
        <v>186</v>
      </c>
      <c r="F86" s="54" t="s">
        <v>875</v>
      </c>
      <c r="G86" s="54"/>
      <c r="H86" s="54"/>
      <c r="I86" s="54"/>
      <c r="J86" s="53">
        <v>19</v>
      </c>
      <c r="K86" s="53">
        <v>0</v>
      </c>
      <c r="L86" s="53">
        <v>0</v>
      </c>
      <c r="M86" s="53">
        <v>3</v>
      </c>
      <c r="N86" s="53">
        <v>16</v>
      </c>
      <c r="O86" s="24">
        <f>SUM(テーブル1[[#This Row],[列11]:[列12]])</f>
        <v>19</v>
      </c>
      <c r="P86" s="54"/>
      <c r="Q86" s="54"/>
      <c r="R86" s="24">
        <f t="shared" si="11"/>
        <v>19</v>
      </c>
      <c r="S86" s="25">
        <f t="shared" si="12"/>
        <v>500073</v>
      </c>
      <c r="T86" s="25">
        <f>COUNTIF($V$4:V86,V86)</f>
        <v>14</v>
      </c>
      <c r="U86" s="25" t="str">
        <f>IF(T86=1,COUNTIF($T$4:T86,1),"")</f>
        <v/>
      </c>
      <c r="V86" s="26" t="str">
        <f>'施設状況(要更新)'!$E86&amp;'施設状況(要更新)'!$C86</f>
        <v>豊平区04小規模A・B・C</v>
      </c>
      <c r="W86" s="26" t="str">
        <f>'施設状況(要更新)'!$F86</f>
        <v>はるにれ保育園</v>
      </c>
      <c r="X86" s="27"/>
      <c r="Y86" s="26"/>
      <c r="Z86" s="26"/>
      <c r="AA86" s="26"/>
    </row>
    <row r="87" spans="1:33">
      <c r="A87" s="55">
        <v>500074</v>
      </c>
      <c r="B87" s="53" t="s">
        <v>182</v>
      </c>
      <c r="C87" s="53" t="s">
        <v>451</v>
      </c>
      <c r="D87" s="53" t="s">
        <v>194</v>
      </c>
      <c r="E87" s="53" t="s">
        <v>186</v>
      </c>
      <c r="F87" s="54" t="s">
        <v>230</v>
      </c>
      <c r="G87" s="54"/>
      <c r="H87" s="54"/>
      <c r="I87" s="54"/>
      <c r="J87" s="53">
        <v>19</v>
      </c>
      <c r="K87" s="53">
        <v>0</v>
      </c>
      <c r="L87" s="53">
        <v>0</v>
      </c>
      <c r="M87" s="53">
        <v>3</v>
      </c>
      <c r="N87" s="53">
        <v>16</v>
      </c>
      <c r="O87" s="24">
        <f>SUM(テーブル1[[#This Row],[列11]:[列12]])</f>
        <v>19</v>
      </c>
      <c r="P87" s="54"/>
      <c r="Q87" s="54"/>
      <c r="R87" s="24">
        <f t="shared" si="11"/>
        <v>19</v>
      </c>
      <c r="S87" s="25">
        <f t="shared" si="12"/>
        <v>500074</v>
      </c>
      <c r="T87" s="25">
        <f>COUNTIF($V$4:V87,V87)</f>
        <v>15</v>
      </c>
      <c r="U87" s="25" t="str">
        <f>IF(T87=1,COUNTIF($T$4:T87,1),"")</f>
        <v/>
      </c>
      <c r="V87" s="26" t="str">
        <f>'施設状況(要更新)'!$E87&amp;'施設状況(要更新)'!$C87</f>
        <v>豊平区04小規模A・B・C</v>
      </c>
      <c r="W87" s="26" t="str">
        <f>'施設状況(要更新)'!$F87</f>
        <v>とよひらる～む</v>
      </c>
      <c r="X87" s="27"/>
      <c r="Y87" s="26"/>
      <c r="Z87" s="26"/>
      <c r="AA87" s="26"/>
    </row>
    <row r="88" spans="1:33">
      <c r="A88" s="55">
        <v>500086</v>
      </c>
      <c r="B88" s="53" t="s">
        <v>182</v>
      </c>
      <c r="C88" s="53" t="s">
        <v>451</v>
      </c>
      <c r="D88" s="53" t="s">
        <v>194</v>
      </c>
      <c r="E88" s="53" t="s">
        <v>186</v>
      </c>
      <c r="F88" s="54" t="s">
        <v>876</v>
      </c>
      <c r="G88" s="54"/>
      <c r="H88" s="54"/>
      <c r="I88" s="54"/>
      <c r="J88" s="53">
        <v>19</v>
      </c>
      <c r="K88" s="53">
        <v>0</v>
      </c>
      <c r="L88" s="53">
        <v>0</v>
      </c>
      <c r="M88" s="53">
        <v>3</v>
      </c>
      <c r="N88" s="53">
        <v>16</v>
      </c>
      <c r="O88" s="24">
        <f>SUM(テーブル1[[#This Row],[列11]:[列12]])</f>
        <v>19</v>
      </c>
      <c r="P88" s="54"/>
      <c r="Q88" s="54"/>
      <c r="R88" s="24">
        <f t="shared" si="11"/>
        <v>19</v>
      </c>
      <c r="S88" s="25">
        <f t="shared" si="12"/>
        <v>500086</v>
      </c>
      <c r="T88" s="25">
        <f>COUNTIF($V$4:V88,V88)</f>
        <v>16</v>
      </c>
      <c r="U88" s="25" t="str">
        <f>IF(T88=1,COUNTIF($T$4:T88,1),"")</f>
        <v/>
      </c>
      <c r="V88" s="26" t="str">
        <f>'施設状況(要更新)'!$E88&amp;'施設状況(要更新)'!$C88</f>
        <v>豊平区04小規模A・B・C</v>
      </c>
      <c r="W88" s="26" t="str">
        <f>'施設状況(要更新)'!$F88</f>
        <v>さくらいろ保育園</v>
      </c>
      <c r="X88" s="27"/>
      <c r="Y88" s="26"/>
      <c r="Z88" s="26"/>
      <c r="AA88" s="26"/>
    </row>
    <row r="89" spans="1:33">
      <c r="A89" s="55">
        <v>500087</v>
      </c>
      <c r="B89" s="53" t="s">
        <v>182</v>
      </c>
      <c r="C89" s="53" t="s">
        <v>451</v>
      </c>
      <c r="D89" s="53" t="s">
        <v>194</v>
      </c>
      <c r="E89" s="53" t="s">
        <v>186</v>
      </c>
      <c r="F89" s="54" t="s">
        <v>877</v>
      </c>
      <c r="G89" s="54"/>
      <c r="H89" s="54"/>
      <c r="I89" s="54"/>
      <c r="J89" s="53">
        <v>19</v>
      </c>
      <c r="K89" s="53">
        <v>0</v>
      </c>
      <c r="L89" s="53">
        <v>0</v>
      </c>
      <c r="M89" s="53">
        <v>3</v>
      </c>
      <c r="N89" s="53">
        <v>16</v>
      </c>
      <c r="O89" s="24">
        <f>SUM(テーブル1[[#This Row],[列11]:[列12]])</f>
        <v>19</v>
      </c>
      <c r="P89" s="54"/>
      <c r="Q89" s="54"/>
      <c r="R89" s="24">
        <f t="shared" si="11"/>
        <v>19</v>
      </c>
      <c r="S89" s="25">
        <f t="shared" si="12"/>
        <v>500087</v>
      </c>
      <c r="T89" s="25">
        <f>COUNTIF($V$4:V89,V89)</f>
        <v>17</v>
      </c>
      <c r="U89" s="25" t="str">
        <f>IF(T89=1,COUNTIF($T$4:T89,1),"")</f>
        <v/>
      </c>
      <c r="V89" s="26" t="str">
        <f>'施設状況(要更新)'!$E89&amp;'施設状況(要更新)'!$C89</f>
        <v>豊平区04小規模A・B・C</v>
      </c>
      <c r="W89" s="26" t="str">
        <f>'施設状況(要更新)'!$F89</f>
        <v>豊園よつば保育園</v>
      </c>
      <c r="X89" s="27"/>
      <c r="Y89" s="26"/>
      <c r="Z89" s="26"/>
      <c r="AA89" s="26"/>
    </row>
    <row r="90" spans="1:33">
      <c r="A90" s="55">
        <v>500088</v>
      </c>
      <c r="B90" s="53" t="s">
        <v>182</v>
      </c>
      <c r="C90" s="53" t="s">
        <v>451</v>
      </c>
      <c r="D90" s="53" t="s">
        <v>194</v>
      </c>
      <c r="E90" s="53" t="s">
        <v>186</v>
      </c>
      <c r="F90" s="54" t="s">
        <v>878</v>
      </c>
      <c r="G90" s="54"/>
      <c r="H90" s="54"/>
      <c r="I90" s="54"/>
      <c r="J90" s="53">
        <v>19</v>
      </c>
      <c r="K90" s="53">
        <v>0</v>
      </c>
      <c r="L90" s="53">
        <v>0</v>
      </c>
      <c r="M90" s="53">
        <v>1</v>
      </c>
      <c r="N90" s="53">
        <v>18</v>
      </c>
      <c r="O90" s="24">
        <f>SUM(テーブル1[[#This Row],[列11]:[列12]])</f>
        <v>19</v>
      </c>
      <c r="P90" s="54"/>
      <c r="Q90" s="54"/>
      <c r="R90" s="24">
        <f t="shared" si="11"/>
        <v>19</v>
      </c>
      <c r="S90" s="25">
        <f t="shared" si="12"/>
        <v>500088</v>
      </c>
      <c r="T90" s="25">
        <f>COUNTIF($V$4:V90,V90)</f>
        <v>18</v>
      </c>
      <c r="U90" s="25" t="str">
        <f>IF(T90=1,COUNTIF($T$4:T90,1),"")</f>
        <v/>
      </c>
      <c r="V90" s="26" t="str">
        <f>'施設状況(要更新)'!$E90&amp;'施設状況(要更新)'!$C90</f>
        <v>豊平区04小規模A・B・C</v>
      </c>
      <c r="W90" s="26" t="str">
        <f>'施設状況(要更新)'!$F90</f>
        <v>西岡くりの木保育園</v>
      </c>
      <c r="X90" s="27"/>
      <c r="Y90" s="26"/>
      <c r="Z90" s="26"/>
      <c r="AA90" s="26"/>
    </row>
    <row r="91" spans="1:33">
      <c r="A91" s="55">
        <v>500092</v>
      </c>
      <c r="B91" s="53" t="s">
        <v>182</v>
      </c>
      <c r="C91" s="53" t="s">
        <v>451</v>
      </c>
      <c r="D91" s="53" t="s">
        <v>194</v>
      </c>
      <c r="E91" s="53" t="s">
        <v>186</v>
      </c>
      <c r="F91" s="54" t="s">
        <v>946</v>
      </c>
      <c r="G91" s="54"/>
      <c r="H91" s="54"/>
      <c r="I91" s="54"/>
      <c r="J91" s="53">
        <v>7</v>
      </c>
      <c r="K91" s="53">
        <v>0</v>
      </c>
      <c r="L91" s="53">
        <v>0</v>
      </c>
      <c r="M91" s="53">
        <v>1</v>
      </c>
      <c r="N91" s="53">
        <v>6</v>
      </c>
      <c r="O91" s="24">
        <f>SUM(テーブル1[[#This Row],[列11]:[列12]])</f>
        <v>7</v>
      </c>
      <c r="P91" s="54"/>
      <c r="Q91" s="54"/>
      <c r="R91" s="24">
        <f t="shared" si="11"/>
        <v>7</v>
      </c>
      <c r="S91" s="25">
        <f t="shared" si="12"/>
        <v>500092</v>
      </c>
      <c r="T91" s="25">
        <f>COUNTIF($V$4:V91,V91)</f>
        <v>19</v>
      </c>
      <c r="U91" s="25" t="str">
        <f>IF(T91=1,COUNTIF($T$4:T91,1),"")</f>
        <v/>
      </c>
      <c r="V91" s="26" t="str">
        <f>'施設状況(要更新)'!$E91&amp;'施設状況(要更新)'!$C91</f>
        <v>豊平区04小規模A・B・C</v>
      </c>
      <c r="W91" s="26" t="str">
        <f>'施設状況(要更新)'!$F91</f>
        <v>ひまわりｓｕｎ保育園</v>
      </c>
      <c r="X91" s="27"/>
      <c r="Y91" s="26"/>
      <c r="Z91" s="26"/>
      <c r="AA91" s="26"/>
    </row>
    <row r="92" spans="1:33">
      <c r="A92" s="55">
        <v>550017</v>
      </c>
      <c r="B92" s="53" t="s">
        <v>182</v>
      </c>
      <c r="C92" s="53" t="s">
        <v>451</v>
      </c>
      <c r="D92" s="53" t="s">
        <v>194</v>
      </c>
      <c r="E92" s="53" t="s">
        <v>187</v>
      </c>
      <c r="F92" s="54" t="s">
        <v>231</v>
      </c>
      <c r="G92" s="54"/>
      <c r="H92" s="54"/>
      <c r="I92" s="54"/>
      <c r="J92" s="53">
        <v>19</v>
      </c>
      <c r="K92" s="53">
        <v>0</v>
      </c>
      <c r="L92" s="53">
        <v>0</v>
      </c>
      <c r="M92" s="53">
        <v>6</v>
      </c>
      <c r="N92" s="53">
        <v>13</v>
      </c>
      <c r="O92" s="24">
        <f>SUM(テーブル1[[#This Row],[列11]:[列12]])</f>
        <v>19</v>
      </c>
      <c r="P92" s="54"/>
      <c r="Q92" s="54"/>
      <c r="R92" s="24">
        <f t="shared" si="11"/>
        <v>19</v>
      </c>
      <c r="S92" s="25">
        <f t="shared" si="12"/>
        <v>550017</v>
      </c>
      <c r="T92" s="25">
        <f>COUNTIF($V$4:V92,V92)</f>
        <v>1</v>
      </c>
      <c r="U92" s="25">
        <f>IF(T92=1,COUNTIF($T$4:T92,1),"")</f>
        <v>7</v>
      </c>
      <c r="V92" s="26" t="str">
        <f>'施設状況(要更新)'!$E92&amp;'施設状況(要更新)'!$C92</f>
        <v>清田区04小規模A・B・C</v>
      </c>
      <c r="W92" s="26" t="str">
        <f>'施設状況(要更新)'!$F92</f>
        <v>さくら乳児保育園</v>
      </c>
      <c r="X92" s="27"/>
      <c r="Y92" s="26"/>
      <c r="Z92" s="26"/>
      <c r="AA92" s="26"/>
    </row>
    <row r="93" spans="1:33">
      <c r="A93" s="55">
        <v>550027</v>
      </c>
      <c r="B93" s="53" t="s">
        <v>182</v>
      </c>
      <c r="C93" s="53" t="s">
        <v>451</v>
      </c>
      <c r="D93" s="53" t="s">
        <v>194</v>
      </c>
      <c r="E93" s="53" t="s">
        <v>187</v>
      </c>
      <c r="F93" s="54" t="s">
        <v>879</v>
      </c>
      <c r="G93" s="54"/>
      <c r="H93" s="54"/>
      <c r="I93" s="54"/>
      <c r="J93" s="53">
        <v>19</v>
      </c>
      <c r="K93" s="53">
        <v>0</v>
      </c>
      <c r="L93" s="53">
        <v>0</v>
      </c>
      <c r="M93" s="53">
        <v>6</v>
      </c>
      <c r="N93" s="53">
        <v>13</v>
      </c>
      <c r="O93" s="24">
        <f>SUM(テーブル1[[#This Row],[列11]:[列12]])</f>
        <v>19</v>
      </c>
      <c r="P93" s="54"/>
      <c r="Q93" s="54"/>
      <c r="R93" s="24">
        <f t="shared" si="11"/>
        <v>19</v>
      </c>
      <c r="S93" s="25">
        <f t="shared" si="12"/>
        <v>550027</v>
      </c>
      <c r="T93" s="25">
        <f>COUNTIF($V$4:V93,V93)</f>
        <v>2</v>
      </c>
      <c r="U93" s="25" t="str">
        <f>IF(T93=1,COUNTIF($T$4:T93,1),"")</f>
        <v/>
      </c>
      <c r="V93" s="26" t="str">
        <f>'施設状況(要更新)'!$E93&amp;'施設状況(要更新)'!$C93</f>
        <v>清田区04小規模A・B・C</v>
      </c>
      <c r="W93" s="26" t="str">
        <f>'施設状況(要更新)'!$F93</f>
        <v>よつば保育園</v>
      </c>
      <c r="X93" s="27"/>
      <c r="Y93" s="26"/>
      <c r="Z93" s="26"/>
      <c r="AA93" s="26"/>
    </row>
    <row r="94" spans="1:33">
      <c r="A94" s="55">
        <v>550026</v>
      </c>
      <c r="B94" s="53" t="s">
        <v>182</v>
      </c>
      <c r="C94" s="53" t="s">
        <v>451</v>
      </c>
      <c r="D94" s="53" t="s">
        <v>194</v>
      </c>
      <c r="E94" s="53" t="s">
        <v>187</v>
      </c>
      <c r="F94" s="54" t="s">
        <v>232</v>
      </c>
      <c r="G94" s="54"/>
      <c r="H94" s="54"/>
      <c r="I94" s="54"/>
      <c r="J94" s="53">
        <v>19</v>
      </c>
      <c r="K94" s="53">
        <v>0</v>
      </c>
      <c r="L94" s="53">
        <v>0</v>
      </c>
      <c r="M94" s="53">
        <v>6</v>
      </c>
      <c r="N94" s="53">
        <v>13</v>
      </c>
      <c r="O94" s="24">
        <f>SUM(テーブル1[[#This Row],[列11]:[列12]])</f>
        <v>19</v>
      </c>
      <c r="P94" s="54"/>
      <c r="Q94" s="54"/>
      <c r="R94" s="24">
        <f t="shared" si="11"/>
        <v>19</v>
      </c>
      <c r="S94" s="25">
        <f t="shared" si="12"/>
        <v>550026</v>
      </c>
      <c r="T94" s="25">
        <f>COUNTIF($V$4:V94,V94)</f>
        <v>3</v>
      </c>
      <c r="U94" s="25" t="str">
        <f>IF(T94=1,COUNTIF($T$4:T94,1),"")</f>
        <v/>
      </c>
      <c r="V94" s="26" t="str">
        <f>'施設状況(要更新)'!$E94&amp;'施設状況(要更新)'!$C94</f>
        <v>清田区04小規模A・B・C</v>
      </c>
      <c r="W94" s="26" t="str">
        <f>'施設状況(要更新)'!$F94</f>
        <v>いちご乳児保育園</v>
      </c>
      <c r="X94" s="27"/>
      <c r="Y94" s="26"/>
      <c r="Z94" s="26"/>
      <c r="AA94" s="26"/>
    </row>
    <row r="95" spans="1:33">
      <c r="A95" s="55">
        <v>550028</v>
      </c>
      <c r="B95" s="53" t="s">
        <v>182</v>
      </c>
      <c r="C95" s="53" t="s">
        <v>451</v>
      </c>
      <c r="D95" s="53" t="s">
        <v>194</v>
      </c>
      <c r="E95" s="53" t="s">
        <v>187</v>
      </c>
      <c r="F95" s="54" t="s">
        <v>880</v>
      </c>
      <c r="G95" s="54"/>
      <c r="H95" s="54"/>
      <c r="I95" s="54"/>
      <c r="J95" s="53">
        <v>19</v>
      </c>
      <c r="K95" s="53">
        <v>0</v>
      </c>
      <c r="L95" s="53">
        <v>0</v>
      </c>
      <c r="M95" s="53">
        <v>3</v>
      </c>
      <c r="N95" s="53">
        <v>16</v>
      </c>
      <c r="O95" s="24">
        <f>SUM(テーブル1[[#This Row],[列11]:[列12]])</f>
        <v>19</v>
      </c>
      <c r="P95" s="54"/>
      <c r="Q95" s="54"/>
      <c r="R95" s="24">
        <f t="shared" si="11"/>
        <v>19</v>
      </c>
      <c r="S95" s="25">
        <f t="shared" si="12"/>
        <v>550028</v>
      </c>
      <c r="T95" s="25">
        <f>COUNTIF($V$4:V95,V95)</f>
        <v>4</v>
      </c>
      <c r="U95" s="25" t="str">
        <f>IF(T95=1,COUNTIF($T$4:T95,1),"")</f>
        <v/>
      </c>
      <c r="V95" s="26" t="str">
        <f>'施設状況(要更新)'!$E95&amp;'施設状況(要更新)'!$C95</f>
        <v>清田区04小規模A・B・C</v>
      </c>
      <c r="W95" s="26" t="str">
        <f>'施設状況(要更新)'!$F95</f>
        <v>くるみ乳児保育園</v>
      </c>
      <c r="X95" s="27"/>
      <c r="Y95" s="26"/>
      <c r="Z95" s="26"/>
      <c r="AA95" s="26"/>
    </row>
    <row r="96" spans="1:33">
      <c r="A96" s="55">
        <v>550036</v>
      </c>
      <c r="B96" s="53" t="s">
        <v>182</v>
      </c>
      <c r="C96" s="53" t="s">
        <v>451</v>
      </c>
      <c r="D96" s="53" t="s">
        <v>194</v>
      </c>
      <c r="E96" s="53" t="s">
        <v>187</v>
      </c>
      <c r="F96" s="54" t="s">
        <v>881</v>
      </c>
      <c r="G96" s="54"/>
      <c r="H96" s="54"/>
      <c r="I96" s="54"/>
      <c r="J96" s="53">
        <v>19</v>
      </c>
      <c r="K96" s="53">
        <v>0</v>
      </c>
      <c r="L96" s="53">
        <v>0</v>
      </c>
      <c r="M96" s="966">
        <v>3</v>
      </c>
      <c r="N96" s="966">
        <v>16</v>
      </c>
      <c r="O96" s="24">
        <f>SUM(テーブル1[[#This Row],[列11]:[列12]])</f>
        <v>19</v>
      </c>
      <c r="P96" s="54"/>
      <c r="Q96" s="54"/>
      <c r="R96" s="24">
        <f t="shared" si="11"/>
        <v>19</v>
      </c>
      <c r="S96" s="25">
        <f t="shared" si="12"/>
        <v>550036</v>
      </c>
      <c r="T96" s="25">
        <f>COUNTIF($V$4:V96,V96)</f>
        <v>5</v>
      </c>
      <c r="U96" s="25" t="str">
        <f>IF(T96=1,COUNTIF($T$4:T96,1),"")</f>
        <v/>
      </c>
      <c r="V96" s="26" t="str">
        <f>'施設状況(要更新)'!$E96&amp;'施設状況(要更新)'!$C96</f>
        <v>清田区04小規模A・B・C</v>
      </c>
      <c r="W96" s="26" t="str">
        <f>'施設状況(要更新)'!$F96</f>
        <v>まんまる保育園</v>
      </c>
      <c r="X96" s="27"/>
      <c r="Y96" s="26"/>
      <c r="Z96" s="26"/>
      <c r="AA96" s="26"/>
    </row>
    <row r="97" spans="1:27">
      <c r="A97" s="55">
        <v>550037</v>
      </c>
      <c r="B97" s="53" t="s">
        <v>182</v>
      </c>
      <c r="C97" s="53" t="s">
        <v>451</v>
      </c>
      <c r="D97" s="53" t="s">
        <v>194</v>
      </c>
      <c r="E97" s="53" t="s">
        <v>187</v>
      </c>
      <c r="F97" s="54" t="s">
        <v>882</v>
      </c>
      <c r="G97" s="54"/>
      <c r="H97" s="54"/>
      <c r="I97" s="54"/>
      <c r="J97" s="53">
        <v>19</v>
      </c>
      <c r="K97" s="53">
        <v>0</v>
      </c>
      <c r="L97" s="53">
        <v>0</v>
      </c>
      <c r="M97" s="53">
        <v>3</v>
      </c>
      <c r="N97" s="53">
        <v>16</v>
      </c>
      <c r="O97" s="24">
        <f>SUM(テーブル1[[#This Row],[列11]:[列12]])</f>
        <v>19</v>
      </c>
      <c r="P97" s="54"/>
      <c r="Q97" s="54"/>
      <c r="R97" s="24">
        <f t="shared" si="11"/>
        <v>19</v>
      </c>
      <c r="S97" s="25">
        <f t="shared" si="12"/>
        <v>550037</v>
      </c>
      <c r="T97" s="25">
        <f>COUNTIF($V$4:V97,V97)</f>
        <v>6</v>
      </c>
      <c r="U97" s="25" t="str">
        <f>IF(T97=1,COUNTIF($T$4:T97,1),"")</f>
        <v/>
      </c>
      <c r="V97" s="26" t="str">
        <f>'施設状況(要更新)'!$E97&amp;'施設状況(要更新)'!$C97</f>
        <v>清田区04小規模A・B・C</v>
      </c>
      <c r="W97" s="26" t="str">
        <f>'施設状況(要更新)'!$F97</f>
        <v>小規模保育園mirea</v>
      </c>
      <c r="X97" s="27"/>
      <c r="Y97" s="26"/>
      <c r="Z97" s="26"/>
      <c r="AA97" s="26"/>
    </row>
    <row r="98" spans="1:27">
      <c r="A98" s="55">
        <v>600029</v>
      </c>
      <c r="B98" s="53" t="s">
        <v>182</v>
      </c>
      <c r="C98" s="53" t="s">
        <v>451</v>
      </c>
      <c r="D98" s="53" t="s">
        <v>194</v>
      </c>
      <c r="E98" s="53" t="s">
        <v>188</v>
      </c>
      <c r="F98" s="54" t="s">
        <v>1038</v>
      </c>
      <c r="G98" s="54"/>
      <c r="H98" s="54"/>
      <c r="I98" s="54"/>
      <c r="J98" s="53">
        <v>19</v>
      </c>
      <c r="K98" s="53">
        <v>0</v>
      </c>
      <c r="L98" s="53">
        <v>0</v>
      </c>
      <c r="M98" s="53">
        <v>6</v>
      </c>
      <c r="N98" s="53">
        <v>13</v>
      </c>
      <c r="O98" s="24">
        <f>SUM(テーブル1[[#This Row],[列11]:[列12]])</f>
        <v>19</v>
      </c>
      <c r="P98" s="54"/>
      <c r="Q98" s="54"/>
      <c r="R98" s="24">
        <f t="shared" si="11"/>
        <v>19</v>
      </c>
      <c r="S98" s="25">
        <f t="shared" si="12"/>
        <v>600029</v>
      </c>
      <c r="T98" s="25">
        <f>COUNTIF($V$4:V98,V98)</f>
        <v>1</v>
      </c>
      <c r="U98" s="25">
        <f>IF(T98=1,COUNTIF($T$4:T98,1),"")</f>
        <v>8</v>
      </c>
      <c r="V98" s="26" t="str">
        <f>'施設状況(要更新)'!$E98&amp;'施設状況(要更新)'!$C98</f>
        <v>南区04小規模A・B・C</v>
      </c>
      <c r="W98" s="26" t="str">
        <f>'施設状況(要更新)'!$F98</f>
        <v>札幌市南区保育・子育て支援センター</v>
      </c>
      <c r="X98" s="27"/>
      <c r="Y98" s="26"/>
      <c r="Z98" s="26"/>
      <c r="AA98" s="26"/>
    </row>
    <row r="99" spans="1:27">
      <c r="A99" s="55">
        <v>600035</v>
      </c>
      <c r="B99" s="53" t="s">
        <v>182</v>
      </c>
      <c r="C99" s="53" t="s">
        <v>451</v>
      </c>
      <c r="D99" s="53" t="s">
        <v>194</v>
      </c>
      <c r="E99" s="53" t="s">
        <v>188</v>
      </c>
      <c r="F99" s="54" t="s">
        <v>883</v>
      </c>
      <c r="G99" s="54"/>
      <c r="H99" s="54"/>
      <c r="I99" s="54"/>
      <c r="J99" s="53">
        <v>19</v>
      </c>
      <c r="K99" s="53">
        <v>0</v>
      </c>
      <c r="L99" s="53">
        <v>0</v>
      </c>
      <c r="M99" s="53">
        <v>3</v>
      </c>
      <c r="N99" s="53">
        <v>16</v>
      </c>
      <c r="O99" s="24">
        <f>SUM(テーブル1[[#This Row],[列11]:[列12]])</f>
        <v>19</v>
      </c>
      <c r="P99" s="54"/>
      <c r="Q99" s="54"/>
      <c r="R99" s="24">
        <f t="shared" si="11"/>
        <v>19</v>
      </c>
      <c r="S99" s="25">
        <f t="shared" si="12"/>
        <v>600035</v>
      </c>
      <c r="T99" s="25">
        <f>COUNTIF($V$4:V99,V99)</f>
        <v>2</v>
      </c>
      <c r="U99" s="25" t="str">
        <f>IF(T99=1,COUNTIF($T$4:T99,1),"")</f>
        <v/>
      </c>
      <c r="V99" s="26" t="str">
        <f>'施設状況(要更新)'!$E99&amp;'施設状況(要更新)'!$C99</f>
        <v>南区04小規模A・B・C</v>
      </c>
      <c r="W99" s="26" t="str">
        <f>'施設状況(要更新)'!$F99</f>
        <v>ひろのぶ乳児保育園</v>
      </c>
      <c r="X99" s="27"/>
      <c r="Y99" s="26"/>
      <c r="Z99" s="26"/>
      <c r="AA99" s="26"/>
    </row>
    <row r="100" spans="1:27">
      <c r="A100" s="55">
        <v>600070</v>
      </c>
      <c r="B100" s="53" t="s">
        <v>182</v>
      </c>
      <c r="C100" s="53" t="s">
        <v>451</v>
      </c>
      <c r="D100" s="53" t="s">
        <v>194</v>
      </c>
      <c r="E100" s="53" t="s">
        <v>188</v>
      </c>
      <c r="F100" s="54" t="s">
        <v>884</v>
      </c>
      <c r="G100" s="54"/>
      <c r="H100" s="54"/>
      <c r="I100" s="54"/>
      <c r="J100" s="53">
        <v>19</v>
      </c>
      <c r="K100" s="53">
        <v>0</v>
      </c>
      <c r="L100" s="53">
        <v>0</v>
      </c>
      <c r="M100" s="53">
        <v>1</v>
      </c>
      <c r="N100" s="53">
        <v>18</v>
      </c>
      <c r="O100" s="24">
        <f>SUM(テーブル1[[#This Row],[列11]:[列12]])</f>
        <v>19</v>
      </c>
      <c r="P100" s="54"/>
      <c r="Q100" s="54"/>
      <c r="R100" s="24">
        <f t="shared" si="11"/>
        <v>19</v>
      </c>
      <c r="S100" s="25">
        <f t="shared" si="12"/>
        <v>600070</v>
      </c>
      <c r="T100" s="25">
        <f>COUNTIF($V$4:V100,V100)</f>
        <v>3</v>
      </c>
      <c r="U100" s="25" t="str">
        <f>IF(T100=1,COUNTIF($T$4:T100,1),"")</f>
        <v/>
      </c>
      <c r="V100" s="26" t="str">
        <f>'施設状況(要更新)'!$E100&amp;'施設状況(要更新)'!$C100</f>
        <v>南区04小規模A・B・C</v>
      </c>
      <c r="W100" s="26" t="str">
        <f>'施設状況(要更新)'!$F100</f>
        <v>ふじのバンビーニ保育園</v>
      </c>
      <c r="X100" s="27"/>
      <c r="Y100" s="26"/>
      <c r="Z100" s="26"/>
      <c r="AA100" s="26"/>
    </row>
    <row r="101" spans="1:27">
      <c r="A101" s="55">
        <v>600071</v>
      </c>
      <c r="B101" s="53" t="s">
        <v>182</v>
      </c>
      <c r="C101" s="53" t="s">
        <v>451</v>
      </c>
      <c r="D101" s="53" t="s">
        <v>194</v>
      </c>
      <c r="E101" s="53" t="s">
        <v>188</v>
      </c>
      <c r="F101" s="54" t="s">
        <v>885</v>
      </c>
      <c r="G101" s="54"/>
      <c r="H101" s="54"/>
      <c r="I101" s="54"/>
      <c r="J101" s="53">
        <v>19</v>
      </c>
      <c r="K101" s="53">
        <v>0</v>
      </c>
      <c r="L101" s="53">
        <v>0</v>
      </c>
      <c r="M101" s="53">
        <v>3</v>
      </c>
      <c r="N101" s="53">
        <v>16</v>
      </c>
      <c r="O101" s="24">
        <f>SUM(テーブル1[[#This Row],[列11]:[列12]])</f>
        <v>19</v>
      </c>
      <c r="P101" s="54"/>
      <c r="Q101" s="54"/>
      <c r="R101" s="24">
        <f t="shared" si="11"/>
        <v>19</v>
      </c>
      <c r="S101" s="25">
        <f t="shared" si="12"/>
        <v>600071</v>
      </c>
      <c r="T101" s="25">
        <f>COUNTIF($V$4:V101,V101)</f>
        <v>4</v>
      </c>
      <c r="U101" s="25" t="str">
        <f>IF(T101=1,COUNTIF($T$4:T101,1),"")</f>
        <v/>
      </c>
      <c r="V101" s="26" t="str">
        <f>'施設状況(要更新)'!$E101&amp;'施設状況(要更新)'!$C101</f>
        <v>南区04小規模A・B・C</v>
      </c>
      <c r="W101" s="26" t="str">
        <f>'施設状況(要更新)'!$F101</f>
        <v>りとるkid'sクラブ自衛隊前ルーム</v>
      </c>
      <c r="X101" s="27"/>
      <c r="Y101" s="26"/>
      <c r="Z101" s="26"/>
      <c r="AA101" s="26"/>
    </row>
    <row r="102" spans="1:27">
      <c r="A102" s="55">
        <v>600072</v>
      </c>
      <c r="B102" s="53" t="s">
        <v>182</v>
      </c>
      <c r="C102" s="53" t="s">
        <v>451</v>
      </c>
      <c r="D102" s="53" t="s">
        <v>194</v>
      </c>
      <c r="E102" s="53" t="s">
        <v>188</v>
      </c>
      <c r="F102" s="54" t="s">
        <v>886</v>
      </c>
      <c r="G102" s="54"/>
      <c r="H102" s="54"/>
      <c r="I102" s="54"/>
      <c r="J102" s="53">
        <v>19</v>
      </c>
      <c r="K102" s="53">
        <v>0</v>
      </c>
      <c r="L102" s="53">
        <v>0</v>
      </c>
      <c r="M102" s="53">
        <v>3</v>
      </c>
      <c r="N102" s="53">
        <v>16</v>
      </c>
      <c r="O102" s="24">
        <f>SUM(テーブル1[[#This Row],[列11]:[列12]])</f>
        <v>19</v>
      </c>
      <c r="P102" s="54"/>
      <c r="Q102" s="54"/>
      <c r="R102" s="24">
        <f t="shared" si="11"/>
        <v>19</v>
      </c>
      <c r="S102" s="25">
        <f t="shared" si="12"/>
        <v>600072</v>
      </c>
      <c r="T102" s="25">
        <f>COUNTIF($V$4:V102,V102)</f>
        <v>5</v>
      </c>
      <c r="U102" s="25" t="str">
        <f>IF(T102=1,COUNTIF($T$4:T102,1),"")</f>
        <v/>
      </c>
      <c r="V102" s="26" t="str">
        <f>'施設状況(要更新)'!$E102&amp;'施設状況(要更新)'!$C102</f>
        <v>南区04小規模A・B・C</v>
      </c>
      <c r="W102" s="26" t="str">
        <f>'施設状況(要更新)'!$F102</f>
        <v>ふれ愛澄川南保育園</v>
      </c>
      <c r="X102" s="27"/>
      <c r="Y102" s="26"/>
      <c r="Z102" s="26"/>
      <c r="AA102" s="26"/>
    </row>
    <row r="103" spans="1:27">
      <c r="A103" s="55">
        <v>600073</v>
      </c>
      <c r="B103" s="53" t="s">
        <v>182</v>
      </c>
      <c r="C103" s="53" t="s">
        <v>451</v>
      </c>
      <c r="D103" s="53" t="s">
        <v>194</v>
      </c>
      <c r="E103" s="53" t="s">
        <v>188</v>
      </c>
      <c r="F103" s="54" t="s">
        <v>887</v>
      </c>
      <c r="G103" s="54"/>
      <c r="H103" s="54"/>
      <c r="I103" s="54"/>
      <c r="J103" s="53">
        <v>19</v>
      </c>
      <c r="K103" s="53">
        <v>0</v>
      </c>
      <c r="L103" s="53">
        <v>0</v>
      </c>
      <c r="M103" s="53">
        <v>3</v>
      </c>
      <c r="N103" s="53">
        <v>16</v>
      </c>
      <c r="O103" s="24">
        <f>SUM(テーブル1[[#This Row],[列11]:[列12]])</f>
        <v>19</v>
      </c>
      <c r="P103" s="54"/>
      <c r="Q103" s="54"/>
      <c r="R103" s="24">
        <f t="shared" si="11"/>
        <v>19</v>
      </c>
      <c r="S103" s="25">
        <f t="shared" si="12"/>
        <v>600073</v>
      </c>
      <c r="T103" s="25">
        <f>COUNTIF($V$4:V103,V103)</f>
        <v>6</v>
      </c>
      <c r="U103" s="25" t="str">
        <f>IF(T103=1,COUNTIF($T$4:T103,1),"")</f>
        <v/>
      </c>
      <c r="V103" s="26" t="str">
        <f>'施設状況(要更新)'!$E103&amp;'施設状況(要更新)'!$C103</f>
        <v>南区04小規模A・B・C</v>
      </c>
      <c r="W103" s="26" t="str">
        <f>'施設状況(要更新)'!$F103</f>
        <v>木育こどもの家藤野園</v>
      </c>
      <c r="X103" s="27"/>
      <c r="Y103" s="26"/>
      <c r="Z103" s="26"/>
    </row>
    <row r="104" spans="1:27">
      <c r="A104" s="55">
        <v>600075</v>
      </c>
      <c r="B104" s="53" t="s">
        <v>182</v>
      </c>
      <c r="C104" s="53" t="s">
        <v>451</v>
      </c>
      <c r="D104" s="53" t="s">
        <v>194</v>
      </c>
      <c r="E104" s="53" t="s">
        <v>188</v>
      </c>
      <c r="F104" s="54" t="s">
        <v>888</v>
      </c>
      <c r="G104" s="54"/>
      <c r="H104" s="54"/>
      <c r="I104" s="54"/>
      <c r="J104" s="53">
        <v>19</v>
      </c>
      <c r="K104" s="53">
        <v>0</v>
      </c>
      <c r="L104" s="53">
        <v>0</v>
      </c>
      <c r="M104" s="53">
        <v>3</v>
      </c>
      <c r="N104" s="53">
        <v>16</v>
      </c>
      <c r="O104" s="24">
        <f>SUM(テーブル1[[#This Row],[列11]:[列12]])</f>
        <v>19</v>
      </c>
      <c r="P104" s="54"/>
      <c r="Q104" s="54"/>
      <c r="R104" s="24">
        <f t="shared" si="11"/>
        <v>19</v>
      </c>
      <c r="S104" s="25">
        <f t="shared" si="12"/>
        <v>600075</v>
      </c>
      <c r="T104" s="25">
        <f>COUNTIF($V$4:V104,V104)</f>
        <v>7</v>
      </c>
      <c r="U104" s="25" t="str">
        <f>IF(T104=1,COUNTIF($T$4:T104,1),"")</f>
        <v/>
      </c>
      <c r="V104" s="26" t="str">
        <f>'施設状況(要更新)'!$E104&amp;'施設状況(要更新)'!$C104</f>
        <v>南区04小規模A・B・C</v>
      </c>
      <c r="W104" s="26" t="str">
        <f>'施設状況(要更新)'!$F104</f>
        <v>澄川いちご保育園</v>
      </c>
      <c r="X104" s="27"/>
      <c r="Y104" s="26"/>
      <c r="Z104" s="26"/>
    </row>
    <row r="105" spans="1:27">
      <c r="A105" s="55">
        <v>600076</v>
      </c>
      <c r="B105" s="53" t="s">
        <v>182</v>
      </c>
      <c r="C105" s="53" t="s">
        <v>451</v>
      </c>
      <c r="D105" s="53" t="s">
        <v>194</v>
      </c>
      <c r="E105" s="53" t="s">
        <v>188</v>
      </c>
      <c r="F105" s="54" t="s">
        <v>1039</v>
      </c>
      <c r="G105" s="54"/>
      <c r="H105" s="54"/>
      <c r="I105" s="54"/>
      <c r="J105" s="53">
        <v>19</v>
      </c>
      <c r="K105" s="53">
        <v>0</v>
      </c>
      <c r="L105" s="53">
        <v>0</v>
      </c>
      <c r="M105" s="53">
        <v>3</v>
      </c>
      <c r="N105" s="53">
        <v>16</v>
      </c>
      <c r="O105" s="24">
        <f>SUM(テーブル1[[#This Row],[列11]:[列12]])</f>
        <v>19</v>
      </c>
      <c r="P105" s="54"/>
      <c r="Q105" s="54"/>
      <c r="R105" s="24">
        <f t="shared" si="11"/>
        <v>19</v>
      </c>
      <c r="S105" s="25">
        <f t="shared" si="12"/>
        <v>600076</v>
      </c>
      <c r="T105" s="25">
        <f>COUNTIF($V$4:V105,V105)</f>
        <v>8</v>
      </c>
      <c r="U105" s="25" t="str">
        <f>IF(T105=1,COUNTIF($T$4:T105,1),"")</f>
        <v/>
      </c>
      <c r="V105" s="26" t="str">
        <f>'施設状況(要更新)'!$E105&amp;'施設状況(要更新)'!$C105</f>
        <v>南区04小規模A・B・C</v>
      </c>
      <c r="W105" s="26" t="str">
        <f>'施設状況(要更新)'!$F105</f>
        <v>澄川まんまる保育園</v>
      </c>
      <c r="X105" s="27"/>
      <c r="Y105" s="26"/>
      <c r="Z105" s="26"/>
    </row>
    <row r="106" spans="1:27">
      <c r="A106" s="55">
        <v>600077</v>
      </c>
      <c r="B106" s="53" t="s">
        <v>182</v>
      </c>
      <c r="C106" s="53" t="s">
        <v>451</v>
      </c>
      <c r="D106" s="53" t="s">
        <v>194</v>
      </c>
      <c r="E106" s="53" t="s">
        <v>188</v>
      </c>
      <c r="F106" s="54" t="s">
        <v>1040</v>
      </c>
      <c r="G106" s="54"/>
      <c r="H106" s="54"/>
      <c r="I106" s="54"/>
      <c r="J106" s="53">
        <v>19</v>
      </c>
      <c r="K106" s="53">
        <v>0</v>
      </c>
      <c r="L106" s="53">
        <v>0</v>
      </c>
      <c r="M106" s="53">
        <v>3</v>
      </c>
      <c r="N106" s="53">
        <v>16</v>
      </c>
      <c r="O106" s="24">
        <f>SUM(テーブル1[[#This Row],[列11]:[列12]])</f>
        <v>19</v>
      </c>
      <c r="P106" s="54"/>
      <c r="Q106" s="54"/>
      <c r="R106" s="24">
        <f t="shared" si="11"/>
        <v>19</v>
      </c>
      <c r="S106" s="25">
        <f t="shared" si="12"/>
        <v>600077</v>
      </c>
      <c r="T106" s="25">
        <f>COUNTIF($V$4:V106,V106)</f>
        <v>9</v>
      </c>
      <c r="U106" s="25" t="str">
        <f>IF(T106=1,COUNTIF($T$4:T106,1),"")</f>
        <v/>
      </c>
      <c r="V106" s="26" t="str">
        <f>'施設状況(要更新)'!$E106&amp;'施設状況(要更新)'!$C106</f>
        <v>南区04小規模A・B・C</v>
      </c>
      <c r="W106" s="26" t="str">
        <f>'施設状況(要更新)'!$F106</f>
        <v>ちゅうわ南保育園</v>
      </c>
      <c r="X106" s="27"/>
      <c r="Y106" s="26"/>
      <c r="Z106" s="26"/>
    </row>
    <row r="107" spans="1:27">
      <c r="A107" s="55">
        <v>600078</v>
      </c>
      <c r="B107" s="53" t="s">
        <v>182</v>
      </c>
      <c r="C107" s="53" t="s">
        <v>451</v>
      </c>
      <c r="D107" s="53" t="s">
        <v>194</v>
      </c>
      <c r="E107" s="53" t="s">
        <v>188</v>
      </c>
      <c r="F107" s="54" t="s">
        <v>889</v>
      </c>
      <c r="G107" s="54"/>
      <c r="H107" s="54"/>
      <c r="I107" s="54"/>
      <c r="J107" s="53">
        <v>19</v>
      </c>
      <c r="K107" s="53">
        <v>0</v>
      </c>
      <c r="L107" s="53">
        <v>0</v>
      </c>
      <c r="M107" s="53">
        <v>3</v>
      </c>
      <c r="N107" s="53">
        <v>16</v>
      </c>
      <c r="O107" s="24">
        <f>SUM(テーブル1[[#This Row],[列11]:[列12]])</f>
        <v>19</v>
      </c>
      <c r="P107" s="54"/>
      <c r="Q107" s="54"/>
      <c r="R107" s="24">
        <f t="shared" si="11"/>
        <v>19</v>
      </c>
      <c r="S107" s="25">
        <f t="shared" si="12"/>
        <v>600078</v>
      </c>
      <c r="T107" s="25">
        <f>COUNTIF($V$4:V107,V107)</f>
        <v>10</v>
      </c>
      <c r="U107" s="25" t="str">
        <f>IF(T107=1,COUNTIF($T$4:T107,1),"")</f>
        <v/>
      </c>
      <c r="V107" s="26" t="str">
        <f>'施設状況(要更新)'!$E107&amp;'施設状況(要更新)'!$C107</f>
        <v>南区04小規模A・B・C</v>
      </c>
      <c r="W107" s="26" t="str">
        <f>'施設状況(要更新)'!$F107</f>
        <v>Ｓ．Ｔ．ナーサリーＳＣＨＯＯＬ藤野</v>
      </c>
      <c r="X107" s="27"/>
      <c r="Y107" s="26"/>
      <c r="Z107" s="26"/>
    </row>
    <row r="108" spans="1:27">
      <c r="A108" s="55">
        <v>700040</v>
      </c>
      <c r="B108" s="53" t="s">
        <v>182</v>
      </c>
      <c r="C108" s="53" t="s">
        <v>451</v>
      </c>
      <c r="D108" s="53" t="s">
        <v>194</v>
      </c>
      <c r="E108" s="53" t="s">
        <v>189</v>
      </c>
      <c r="F108" s="54" t="s">
        <v>233</v>
      </c>
      <c r="G108" s="54"/>
      <c r="H108" s="54"/>
      <c r="I108" s="54"/>
      <c r="J108" s="53">
        <v>19</v>
      </c>
      <c r="K108" s="53">
        <v>0</v>
      </c>
      <c r="L108" s="53">
        <v>0</v>
      </c>
      <c r="M108" s="53">
        <v>3</v>
      </c>
      <c r="N108" s="53">
        <v>16</v>
      </c>
      <c r="O108" s="24">
        <f>SUM(テーブル1[[#This Row],[列11]:[列12]])</f>
        <v>19</v>
      </c>
      <c r="P108" s="54"/>
      <c r="Q108" s="54"/>
      <c r="R108" s="24">
        <f t="shared" si="11"/>
        <v>19</v>
      </c>
      <c r="S108" s="25">
        <f t="shared" si="12"/>
        <v>700040</v>
      </c>
      <c r="T108" s="25">
        <f>COUNTIF($V$4:V108,V108)</f>
        <v>1</v>
      </c>
      <c r="U108" s="25">
        <f>IF(T108=1,COUNTIF($T$4:T108,1),"")</f>
        <v>9</v>
      </c>
      <c r="V108" s="26" t="str">
        <f>'施設状況(要更新)'!$E108&amp;'施設状況(要更新)'!$C108</f>
        <v>西区04小規模A・B・C</v>
      </c>
      <c r="W108" s="26" t="str">
        <f>'施設状況(要更新)'!$F108</f>
        <v>ころころ保育園</v>
      </c>
      <c r="X108" s="27"/>
      <c r="Y108" s="26"/>
      <c r="Z108" s="26"/>
    </row>
    <row r="109" spans="1:27">
      <c r="A109" s="55">
        <v>700049</v>
      </c>
      <c r="B109" s="53" t="s">
        <v>182</v>
      </c>
      <c r="C109" s="53" t="s">
        <v>451</v>
      </c>
      <c r="D109" s="53" t="s">
        <v>194</v>
      </c>
      <c r="E109" s="53" t="s">
        <v>189</v>
      </c>
      <c r="F109" s="54" t="s">
        <v>234</v>
      </c>
      <c r="G109" s="54"/>
      <c r="H109" s="54"/>
      <c r="I109" s="54"/>
      <c r="J109" s="53">
        <v>19</v>
      </c>
      <c r="K109" s="53">
        <v>0</v>
      </c>
      <c r="L109" s="53">
        <v>0</v>
      </c>
      <c r="M109" s="53">
        <v>6</v>
      </c>
      <c r="N109" s="53">
        <v>13</v>
      </c>
      <c r="O109" s="24">
        <f>SUM(テーブル1[[#This Row],[列11]:[列12]])</f>
        <v>19</v>
      </c>
      <c r="P109" s="54"/>
      <c r="Q109" s="54"/>
      <c r="R109" s="24">
        <f t="shared" si="11"/>
        <v>19</v>
      </c>
      <c r="S109" s="25">
        <f t="shared" si="12"/>
        <v>700049</v>
      </c>
      <c r="T109" s="25">
        <f>COUNTIF($V$4:V109,V109)</f>
        <v>2</v>
      </c>
      <c r="U109" s="25" t="str">
        <f>IF(T109=1,COUNTIF($T$4:T109,1),"")</f>
        <v/>
      </c>
      <c r="V109" s="26" t="str">
        <f>'施設状況(要更新)'!$E109&amp;'施設状況(要更新)'!$C109</f>
        <v>西区04小規模A・B・C</v>
      </c>
      <c r="W109" s="26" t="str">
        <f>'施設状況(要更新)'!$F109</f>
        <v>森のタータン保育園コピス</v>
      </c>
      <c r="X109" s="27"/>
      <c r="Y109" s="26"/>
      <c r="Z109" s="26"/>
    </row>
    <row r="110" spans="1:27">
      <c r="A110" s="55">
        <v>700067</v>
      </c>
      <c r="B110" s="53" t="s">
        <v>182</v>
      </c>
      <c r="C110" s="53" t="s">
        <v>451</v>
      </c>
      <c r="D110" s="53" t="s">
        <v>194</v>
      </c>
      <c r="E110" s="53" t="s">
        <v>189</v>
      </c>
      <c r="F110" s="54" t="s">
        <v>242</v>
      </c>
      <c r="G110" s="54"/>
      <c r="H110" s="54"/>
      <c r="I110" s="54"/>
      <c r="J110" s="53">
        <v>19</v>
      </c>
      <c r="K110" s="53">
        <v>0</v>
      </c>
      <c r="L110" s="53">
        <v>0</v>
      </c>
      <c r="M110" s="53">
        <v>2</v>
      </c>
      <c r="N110" s="53">
        <v>10</v>
      </c>
      <c r="O110" s="24">
        <f>SUM(テーブル1[[#This Row],[列11]:[列12]])</f>
        <v>12</v>
      </c>
      <c r="P110" s="54"/>
      <c r="Q110" s="54"/>
      <c r="R110" s="24">
        <f t="shared" si="11"/>
        <v>12</v>
      </c>
      <c r="S110" s="25">
        <f t="shared" si="12"/>
        <v>700067</v>
      </c>
      <c r="T110" s="25">
        <f>COUNTIF($V$4:V110,V110)</f>
        <v>3</v>
      </c>
      <c r="U110" s="25" t="str">
        <f>IF(T110=1,COUNTIF($T$4:T110,1),"")</f>
        <v/>
      </c>
      <c r="V110" s="26" t="str">
        <f>'施設状況(要更新)'!$E110&amp;'施設状況(要更新)'!$C110</f>
        <v>西区04小規模A・B・C</v>
      </c>
      <c r="W110" s="26" t="str">
        <f>'施設状況(要更新)'!$F110</f>
        <v>山の手ちびっこ保育園</v>
      </c>
      <c r="X110" s="27"/>
      <c r="Y110" s="26"/>
      <c r="Z110" s="26"/>
    </row>
    <row r="111" spans="1:27">
      <c r="A111" s="30">
        <v>700053</v>
      </c>
      <c r="B111" s="24" t="s">
        <v>182</v>
      </c>
      <c r="C111" s="24" t="s">
        <v>451</v>
      </c>
      <c r="D111" s="24" t="s">
        <v>194</v>
      </c>
      <c r="E111" s="24" t="s">
        <v>189</v>
      </c>
      <c r="F111" s="24" t="s">
        <v>236</v>
      </c>
      <c r="G111" s="24"/>
      <c r="H111" s="24"/>
      <c r="I111" s="24"/>
      <c r="J111" s="24">
        <v>19</v>
      </c>
      <c r="K111" s="24">
        <v>0</v>
      </c>
      <c r="L111" s="24">
        <v>0</v>
      </c>
      <c r="M111" s="24">
        <v>6</v>
      </c>
      <c r="N111" s="24">
        <v>13</v>
      </c>
      <c r="O111" s="24">
        <f>SUM(テーブル1[[#This Row],[列11]:[列12]])</f>
        <v>19</v>
      </c>
      <c r="P111" s="56"/>
      <c r="Q111" s="56"/>
      <c r="R111" s="24">
        <f t="shared" si="11"/>
        <v>19</v>
      </c>
      <c r="S111" s="25">
        <f t="shared" si="12"/>
        <v>700053</v>
      </c>
      <c r="T111" s="25">
        <f>COUNTIF($V$4:V111,V111)</f>
        <v>4</v>
      </c>
      <c r="U111" s="25" t="str">
        <f>IF(T111=1,COUNTIF($T$4:T111,1),"")</f>
        <v/>
      </c>
      <c r="V111" s="26" t="str">
        <f>'施設状況(要更新)'!$E111&amp;'施設状況(要更新)'!$C111</f>
        <v>西区04小規模A・B・C</v>
      </c>
      <c r="W111" s="26" t="str">
        <f>'施設状況(要更新)'!$F111</f>
        <v>こどもプラザ青い鳥宮の沢園</v>
      </c>
      <c r="X111" s="27"/>
      <c r="Y111" s="26"/>
      <c r="Z111" s="26"/>
    </row>
    <row r="112" spans="1:27">
      <c r="A112" s="30">
        <v>700038</v>
      </c>
      <c r="B112" s="24" t="s">
        <v>182</v>
      </c>
      <c r="C112" s="24" t="s">
        <v>451</v>
      </c>
      <c r="D112" s="24" t="s">
        <v>194</v>
      </c>
      <c r="E112" s="24" t="s">
        <v>189</v>
      </c>
      <c r="F112" s="24" t="s">
        <v>890</v>
      </c>
      <c r="G112" s="24"/>
      <c r="H112" s="24"/>
      <c r="I112" s="24"/>
      <c r="J112" s="24">
        <v>19</v>
      </c>
      <c r="K112" s="24">
        <v>0</v>
      </c>
      <c r="L112" s="24">
        <v>0</v>
      </c>
      <c r="M112" s="967">
        <v>6</v>
      </c>
      <c r="N112" s="967">
        <v>13</v>
      </c>
      <c r="O112" s="24">
        <f>SUM(テーブル1[[#This Row],[列11]:[列12]])</f>
        <v>19</v>
      </c>
      <c r="P112" s="56"/>
      <c r="Q112" s="56"/>
      <c r="R112" s="24">
        <f t="shared" si="11"/>
        <v>19</v>
      </c>
      <c r="S112" s="25">
        <f t="shared" si="12"/>
        <v>700038</v>
      </c>
      <c r="T112" s="25">
        <f>COUNTIF($V$4:V112,V112)</f>
        <v>5</v>
      </c>
      <c r="U112" s="25" t="str">
        <f>IF(T112=1,COUNTIF($T$4:T112,1),"")</f>
        <v/>
      </c>
      <c r="V112" s="26" t="str">
        <f>'施設状況(要更新)'!$E112&amp;'施設状況(要更新)'!$C112</f>
        <v>西区04小規模A・B・C</v>
      </c>
      <c r="W112" s="26" t="str">
        <f>'施設状況(要更新)'!$F112</f>
        <v>西町にじのいろ保育園</v>
      </c>
      <c r="X112" s="27"/>
      <c r="Y112" s="26"/>
      <c r="Z112" s="26"/>
    </row>
    <row r="113" spans="1:26">
      <c r="A113" s="55">
        <v>700050</v>
      </c>
      <c r="B113" s="53" t="s">
        <v>182</v>
      </c>
      <c r="C113" s="53" t="s">
        <v>451</v>
      </c>
      <c r="D113" s="53" t="s">
        <v>194</v>
      </c>
      <c r="E113" s="53" t="s">
        <v>189</v>
      </c>
      <c r="F113" s="54" t="s">
        <v>235</v>
      </c>
      <c r="G113" s="54"/>
      <c r="H113" s="54"/>
      <c r="I113" s="54"/>
      <c r="J113" s="53">
        <v>19</v>
      </c>
      <c r="K113" s="53">
        <v>0</v>
      </c>
      <c r="L113" s="53">
        <v>0</v>
      </c>
      <c r="M113" s="53">
        <v>3</v>
      </c>
      <c r="N113" s="53">
        <v>16</v>
      </c>
      <c r="O113" s="24">
        <f>SUM(テーブル1[[#This Row],[列11]:[列12]])</f>
        <v>19</v>
      </c>
      <c r="P113" s="54"/>
      <c r="Q113" s="54"/>
      <c r="R113" s="24">
        <f t="shared" si="11"/>
        <v>19</v>
      </c>
      <c r="S113" s="25">
        <f t="shared" si="12"/>
        <v>700050</v>
      </c>
      <c r="T113" s="25">
        <f>COUNTIF($V$4:V113,V113)</f>
        <v>6</v>
      </c>
      <c r="U113" s="25" t="str">
        <f>IF(T113=1,COUNTIF($T$4:T113,1),"")</f>
        <v/>
      </c>
      <c r="V113" s="26" t="str">
        <f>'施設状況(要更新)'!$E113&amp;'施設状況(要更新)'!$C113</f>
        <v>西区04小規模A・B・C</v>
      </c>
      <c r="W113" s="26" t="str">
        <f>'施設状況(要更新)'!$F113</f>
        <v>はぐはぐ乳児保育園</v>
      </c>
      <c r="X113" s="27"/>
      <c r="Y113" s="26"/>
      <c r="Z113" s="26"/>
    </row>
    <row r="114" spans="1:26">
      <c r="A114" s="30">
        <v>700061</v>
      </c>
      <c r="B114" s="24" t="s">
        <v>182</v>
      </c>
      <c r="C114" s="24" t="s">
        <v>451</v>
      </c>
      <c r="D114" s="24" t="s">
        <v>194</v>
      </c>
      <c r="E114" s="24" t="s">
        <v>189</v>
      </c>
      <c r="F114" s="24" t="s">
        <v>238</v>
      </c>
      <c r="G114" s="24"/>
      <c r="H114" s="24"/>
      <c r="I114" s="24"/>
      <c r="J114" s="24">
        <v>19</v>
      </c>
      <c r="K114" s="24">
        <v>0</v>
      </c>
      <c r="L114" s="24">
        <v>0</v>
      </c>
      <c r="M114" s="24">
        <v>3</v>
      </c>
      <c r="N114" s="24">
        <v>16</v>
      </c>
      <c r="O114" s="24">
        <f>SUM(テーブル1[[#This Row],[列11]:[列12]])</f>
        <v>19</v>
      </c>
      <c r="P114" s="56"/>
      <c r="Q114" s="56"/>
      <c r="R114" s="24">
        <f t="shared" si="11"/>
        <v>19</v>
      </c>
      <c r="S114" s="25">
        <f t="shared" si="12"/>
        <v>700061</v>
      </c>
      <c r="T114" s="25">
        <f>COUNTIF($V$4:V114,V114)</f>
        <v>7</v>
      </c>
      <c r="U114" s="25" t="str">
        <f>IF(T114=1,COUNTIF($T$4:T114,1),"")</f>
        <v/>
      </c>
      <c r="V114" s="26" t="str">
        <f>'施設状況(要更新)'!$E114&amp;'施設状況(要更新)'!$C114</f>
        <v>西区04小規模A・B・C</v>
      </c>
      <c r="W114" s="26" t="str">
        <f>'施設状況(要更新)'!$F114</f>
        <v>八軒あじさい保育園</v>
      </c>
      <c r="X114" s="27"/>
      <c r="Y114" s="26"/>
      <c r="Z114" s="26"/>
    </row>
    <row r="115" spans="1:26">
      <c r="A115" s="30">
        <v>700060</v>
      </c>
      <c r="B115" s="24" t="s">
        <v>182</v>
      </c>
      <c r="C115" s="24" t="s">
        <v>451</v>
      </c>
      <c r="D115" s="24" t="s">
        <v>194</v>
      </c>
      <c r="E115" s="24" t="s">
        <v>189</v>
      </c>
      <c r="F115" s="24" t="s">
        <v>237</v>
      </c>
      <c r="G115" s="24"/>
      <c r="H115" s="24"/>
      <c r="I115" s="24"/>
      <c r="J115" s="24">
        <v>19</v>
      </c>
      <c r="K115" s="24">
        <v>0</v>
      </c>
      <c r="L115" s="24">
        <v>0</v>
      </c>
      <c r="M115" s="24">
        <v>3</v>
      </c>
      <c r="N115" s="24">
        <v>16</v>
      </c>
      <c r="O115" s="24">
        <f>SUM(テーブル1[[#This Row],[列11]:[列12]])</f>
        <v>19</v>
      </c>
      <c r="P115" s="56"/>
      <c r="Q115" s="56"/>
      <c r="R115" s="24">
        <f t="shared" si="11"/>
        <v>19</v>
      </c>
      <c r="S115" s="25">
        <f t="shared" si="12"/>
        <v>700060</v>
      </c>
      <c r="T115" s="25">
        <f>COUNTIF($V$4:V115,V115)</f>
        <v>8</v>
      </c>
      <c r="U115" s="25" t="str">
        <f>IF(T115=1,COUNTIF($T$4:T115,1),"")</f>
        <v/>
      </c>
      <c r="V115" s="26" t="str">
        <f>'施設状況(要更新)'!$E115&amp;'施設状況(要更新)'!$C115</f>
        <v>西区04小規模A・B・C</v>
      </c>
      <c r="W115" s="26" t="str">
        <f>'施設状況(要更新)'!$F115</f>
        <v>西野にじのいろ保育園</v>
      </c>
      <c r="X115" s="27"/>
      <c r="Y115" s="26"/>
      <c r="Z115" s="26"/>
    </row>
    <row r="116" spans="1:26">
      <c r="A116" s="30">
        <v>700062</v>
      </c>
      <c r="B116" s="24" t="s">
        <v>182</v>
      </c>
      <c r="C116" s="24" t="s">
        <v>451</v>
      </c>
      <c r="D116" s="24" t="s">
        <v>194</v>
      </c>
      <c r="E116" s="24" t="s">
        <v>189</v>
      </c>
      <c r="F116" s="24" t="s">
        <v>239</v>
      </c>
      <c r="G116" s="24"/>
      <c r="H116" s="24"/>
      <c r="I116" s="24"/>
      <c r="J116" s="24">
        <v>19</v>
      </c>
      <c r="K116" s="24">
        <v>0</v>
      </c>
      <c r="L116" s="24">
        <v>0</v>
      </c>
      <c r="M116" s="24">
        <v>5</v>
      </c>
      <c r="N116" s="24">
        <v>14</v>
      </c>
      <c r="O116" s="24">
        <f>SUM(テーブル1[[#This Row],[列11]:[列12]])</f>
        <v>19</v>
      </c>
      <c r="P116" s="56"/>
      <c r="Q116" s="56"/>
      <c r="R116" s="24">
        <f t="shared" si="11"/>
        <v>19</v>
      </c>
      <c r="S116" s="25">
        <f t="shared" si="12"/>
        <v>700062</v>
      </c>
      <c r="T116" s="25">
        <f>COUNTIF($V$4:V116,V116)</f>
        <v>9</v>
      </c>
      <c r="U116" s="25" t="str">
        <f>IF(T116=1,COUNTIF($T$4:T116,1),"")</f>
        <v/>
      </c>
      <c r="V116" s="26" t="str">
        <f>'施設状況(要更新)'!$E116&amp;'施設状況(要更新)'!$C116</f>
        <v>西区04小規模A・B・C</v>
      </c>
      <c r="W116" s="26" t="str">
        <f>'施設状況(要更新)'!$F116</f>
        <v>発寒みらいのたね</v>
      </c>
      <c r="X116" s="27"/>
      <c r="Y116" s="26"/>
      <c r="Z116" s="26"/>
    </row>
    <row r="117" spans="1:26">
      <c r="A117" s="30">
        <v>700064</v>
      </c>
      <c r="B117" s="24" t="s">
        <v>182</v>
      </c>
      <c r="C117" s="24" t="s">
        <v>451</v>
      </c>
      <c r="D117" s="24" t="s">
        <v>194</v>
      </c>
      <c r="E117" s="24" t="s">
        <v>189</v>
      </c>
      <c r="F117" s="24" t="s">
        <v>241</v>
      </c>
      <c r="G117" s="24"/>
      <c r="H117" s="24"/>
      <c r="I117" s="24"/>
      <c r="J117" s="24">
        <v>19</v>
      </c>
      <c r="K117" s="24">
        <v>0</v>
      </c>
      <c r="L117" s="24">
        <v>0</v>
      </c>
      <c r="M117" s="24">
        <v>5</v>
      </c>
      <c r="N117" s="24">
        <v>14</v>
      </c>
      <c r="O117" s="24">
        <f>SUM(テーブル1[[#This Row],[列11]:[列12]])</f>
        <v>19</v>
      </c>
      <c r="P117" s="56"/>
      <c r="Q117" s="56"/>
      <c r="R117" s="24">
        <f t="shared" si="11"/>
        <v>19</v>
      </c>
      <c r="S117" s="25">
        <f t="shared" si="12"/>
        <v>700064</v>
      </c>
      <c r="T117" s="25">
        <f>COUNTIF($V$4:V117,V117)</f>
        <v>10</v>
      </c>
      <c r="U117" s="25" t="str">
        <f>IF(T117=1,COUNTIF($T$4:T117,1),"")</f>
        <v/>
      </c>
      <c r="V117" s="26" t="str">
        <f>'施設状況(要更新)'!$E117&amp;'施設状況(要更新)'!$C117</f>
        <v>西区04小規模A・B・C</v>
      </c>
      <c r="W117" s="26" t="str">
        <f>'施設状況(要更新)'!$F117</f>
        <v>こぐまハウス</v>
      </c>
      <c r="X117" s="27"/>
      <c r="Y117" s="26"/>
      <c r="Z117" s="26"/>
    </row>
    <row r="118" spans="1:26">
      <c r="A118" s="30">
        <v>700063</v>
      </c>
      <c r="B118" s="24" t="s">
        <v>182</v>
      </c>
      <c r="C118" s="24" t="s">
        <v>451</v>
      </c>
      <c r="D118" s="24" t="s">
        <v>194</v>
      </c>
      <c r="E118" s="24" t="s">
        <v>189</v>
      </c>
      <c r="F118" s="24" t="s">
        <v>240</v>
      </c>
      <c r="G118" s="24"/>
      <c r="H118" s="24"/>
      <c r="I118" s="24"/>
      <c r="J118" s="24">
        <v>12</v>
      </c>
      <c r="K118" s="24">
        <v>0</v>
      </c>
      <c r="L118" s="24">
        <v>0</v>
      </c>
      <c r="M118" s="24">
        <v>3</v>
      </c>
      <c r="N118" s="24">
        <v>9</v>
      </c>
      <c r="O118" s="24">
        <f>SUM(テーブル1[[#This Row],[列11]:[列12]])</f>
        <v>12</v>
      </c>
      <c r="P118" s="56"/>
      <c r="Q118" s="56"/>
      <c r="R118" s="24">
        <f t="shared" si="11"/>
        <v>12</v>
      </c>
      <c r="S118" s="25">
        <f t="shared" si="12"/>
        <v>700063</v>
      </c>
      <c r="T118" s="25">
        <f>COUNTIF($V$4:V118,V118)</f>
        <v>11</v>
      </c>
      <c r="U118" s="25" t="str">
        <f>IF(T118=1,COUNTIF($T$4:T118,1),"")</f>
        <v/>
      </c>
      <c r="V118" s="26" t="str">
        <f>'施設状況(要更新)'!$E118&amp;'施設状況(要更新)'!$C118</f>
        <v>西区04小規模A・B・C</v>
      </c>
      <c r="W118" s="26" t="str">
        <f>'施設状況(要更新)'!$F118</f>
        <v>森のタータン保育園マール</v>
      </c>
      <c r="X118" s="27"/>
      <c r="Y118" s="26"/>
      <c r="Z118" s="26"/>
    </row>
    <row r="119" spans="1:26" ht="15" customHeight="1">
      <c r="A119" s="30">
        <v>700073</v>
      </c>
      <c r="B119" s="24" t="s">
        <v>182</v>
      </c>
      <c r="C119" s="24" t="s">
        <v>451</v>
      </c>
      <c r="D119" s="24" t="s">
        <v>194</v>
      </c>
      <c r="E119" s="24" t="s">
        <v>189</v>
      </c>
      <c r="F119" s="24" t="s">
        <v>891</v>
      </c>
      <c r="G119" s="24"/>
      <c r="H119" s="24"/>
      <c r="I119" s="24"/>
      <c r="J119" s="24">
        <v>19</v>
      </c>
      <c r="K119" s="24">
        <v>0</v>
      </c>
      <c r="L119" s="24">
        <v>0</v>
      </c>
      <c r="M119" s="24">
        <v>3</v>
      </c>
      <c r="N119" s="24">
        <v>16</v>
      </c>
      <c r="O119" s="24">
        <f>SUM(テーブル1[[#This Row],[列11]:[列12]])</f>
        <v>19</v>
      </c>
      <c r="P119" s="56"/>
      <c r="Q119" s="56"/>
      <c r="R119" s="24">
        <f t="shared" si="11"/>
        <v>19</v>
      </c>
      <c r="S119" s="25">
        <f t="shared" si="12"/>
        <v>700073</v>
      </c>
      <c r="T119" s="25">
        <f>COUNTIF($V$4:V119,V119)</f>
        <v>12</v>
      </c>
      <c r="U119" s="25" t="str">
        <f>IF(T119=1,COUNTIF($T$4:T119,1),"")</f>
        <v/>
      </c>
      <c r="V119" s="26" t="str">
        <f>'施設状況(要更新)'!$E119&amp;'施設状況(要更新)'!$C119</f>
        <v>西区04小規模A・B・C</v>
      </c>
      <c r="W119" s="26" t="str">
        <f>'施設状況(要更新)'!$F119</f>
        <v>宮の沢みらいのたね</v>
      </c>
      <c r="X119" s="27"/>
      <c r="Y119" s="26"/>
      <c r="Z119" s="26"/>
    </row>
    <row r="120" spans="1:26">
      <c r="A120" s="30">
        <v>700074</v>
      </c>
      <c r="B120" s="24" t="s">
        <v>182</v>
      </c>
      <c r="C120" s="24" t="s">
        <v>451</v>
      </c>
      <c r="D120" s="24" t="s">
        <v>194</v>
      </c>
      <c r="E120" s="24" t="s">
        <v>189</v>
      </c>
      <c r="F120" s="24" t="s">
        <v>892</v>
      </c>
      <c r="G120" s="24"/>
      <c r="H120" s="24"/>
      <c r="I120" s="24"/>
      <c r="J120" s="24">
        <v>19</v>
      </c>
      <c r="K120" s="24">
        <v>0</v>
      </c>
      <c r="L120" s="24">
        <v>0</v>
      </c>
      <c r="M120" s="24">
        <v>3</v>
      </c>
      <c r="N120" s="24">
        <v>16</v>
      </c>
      <c r="O120" s="24">
        <f>SUM(テーブル1[[#This Row],[列11]:[列12]])</f>
        <v>19</v>
      </c>
      <c r="P120" s="56"/>
      <c r="Q120" s="56"/>
      <c r="R120" s="24">
        <f t="shared" si="11"/>
        <v>19</v>
      </c>
      <c r="S120" s="25">
        <f t="shared" si="12"/>
        <v>700074</v>
      </c>
      <c r="T120" s="25">
        <f>COUNTIF($V$4:V120,V120)</f>
        <v>13</v>
      </c>
      <c r="U120" s="25" t="str">
        <f>IF(T120=1,COUNTIF($T$4:T120,1),"")</f>
        <v/>
      </c>
      <c r="V120" s="26" t="str">
        <f>'施設状況(要更新)'!$E120&amp;'施設状況(要更新)'!$C120</f>
        <v>西区04小規模A・B・C</v>
      </c>
      <c r="W120" s="26" t="str">
        <f>'施設状況(要更新)'!$F120</f>
        <v>発寒にじのいろ保育園</v>
      </c>
      <c r="X120" s="27"/>
      <c r="Y120" s="26"/>
      <c r="Z120" s="26"/>
    </row>
    <row r="121" spans="1:26">
      <c r="A121" s="30">
        <v>700078</v>
      </c>
      <c r="B121" s="24" t="s">
        <v>182</v>
      </c>
      <c r="C121" s="24" t="s">
        <v>451</v>
      </c>
      <c r="D121" s="24" t="s">
        <v>194</v>
      </c>
      <c r="E121" s="24" t="s">
        <v>189</v>
      </c>
      <c r="F121" s="24" t="s">
        <v>893</v>
      </c>
      <c r="G121" s="24"/>
      <c r="H121" s="24"/>
      <c r="I121" s="24"/>
      <c r="J121" s="24">
        <v>19</v>
      </c>
      <c r="K121" s="24">
        <v>0</v>
      </c>
      <c r="L121" s="24">
        <v>0</v>
      </c>
      <c r="M121" s="24">
        <v>3</v>
      </c>
      <c r="N121" s="24">
        <v>16</v>
      </c>
      <c r="O121" s="24">
        <f>SUM(テーブル1[[#This Row],[列11]:[列12]])</f>
        <v>19</v>
      </c>
      <c r="P121" s="24"/>
      <c r="Q121" s="24"/>
      <c r="R121" s="24">
        <f t="shared" si="11"/>
        <v>19</v>
      </c>
      <c r="S121" s="25">
        <f t="shared" si="12"/>
        <v>700078</v>
      </c>
      <c r="T121" s="25">
        <f>COUNTIF($V$4:V121,V121)</f>
        <v>14</v>
      </c>
      <c r="U121" s="25" t="str">
        <f>IF(T121=1,COUNTIF($T$4:T121,1),"")</f>
        <v/>
      </c>
      <c r="V121" s="26" t="str">
        <f>'施設状況(要更新)'!$E121&amp;'施設状況(要更新)'!$C121</f>
        <v>西区04小規模A・B・C</v>
      </c>
      <c r="W121" s="26" t="str">
        <f>'施設状況(要更新)'!$F121</f>
        <v>Ｓ．Ｔ．ナーサリーＳＣＨＯＯＬ八軒</v>
      </c>
      <c r="X121" s="27"/>
      <c r="Y121" s="26"/>
      <c r="Z121" s="26"/>
    </row>
    <row r="122" spans="1:26">
      <c r="A122" s="30">
        <v>700095</v>
      </c>
      <c r="B122" s="24" t="s">
        <v>182</v>
      </c>
      <c r="C122" s="24" t="s">
        <v>451</v>
      </c>
      <c r="D122" s="24" t="s">
        <v>194</v>
      </c>
      <c r="E122" s="24" t="s">
        <v>189</v>
      </c>
      <c r="F122" s="24" t="s">
        <v>947</v>
      </c>
      <c r="G122" s="24"/>
      <c r="H122" s="24"/>
      <c r="I122" s="24"/>
      <c r="J122" s="24">
        <v>19</v>
      </c>
      <c r="K122" s="24">
        <v>0</v>
      </c>
      <c r="L122" s="24">
        <v>0</v>
      </c>
      <c r="M122" s="24">
        <v>3</v>
      </c>
      <c r="N122" s="24">
        <v>16</v>
      </c>
      <c r="O122" s="24">
        <f>SUM(テーブル1[[#This Row],[列11]:[列12]])</f>
        <v>19</v>
      </c>
      <c r="P122" s="24"/>
      <c r="Q122" s="24"/>
      <c r="R122" s="24">
        <f t="shared" si="11"/>
        <v>19</v>
      </c>
      <c r="S122" s="25">
        <f t="shared" si="12"/>
        <v>700095</v>
      </c>
      <c r="T122" s="25">
        <f>COUNTIF($V$4:V122,V122)</f>
        <v>15</v>
      </c>
      <c r="U122" s="25" t="str">
        <f>IF(T122=1,COUNTIF($T$4:T122,1),"")</f>
        <v/>
      </c>
      <c r="V122" s="26" t="str">
        <f>'施設状況(要更新)'!$E122&amp;'施設状況(要更新)'!$C122</f>
        <v>西区04小規模A・B・C</v>
      </c>
      <c r="W122" s="26" t="str">
        <f>'施設状況(要更新)'!$F122</f>
        <v>すまいる保育園</v>
      </c>
      <c r="X122" s="27"/>
      <c r="Y122" s="26"/>
      <c r="Z122" s="26"/>
    </row>
    <row r="123" spans="1:26">
      <c r="A123" s="30">
        <v>750025</v>
      </c>
      <c r="B123" s="24" t="s">
        <v>182</v>
      </c>
      <c r="C123" s="24" t="s">
        <v>451</v>
      </c>
      <c r="D123" s="24" t="s">
        <v>194</v>
      </c>
      <c r="E123" s="24" t="s">
        <v>190</v>
      </c>
      <c r="F123" s="24" t="s">
        <v>243</v>
      </c>
      <c r="G123" s="24"/>
      <c r="H123" s="24"/>
      <c r="I123" s="24"/>
      <c r="J123" s="24">
        <v>19</v>
      </c>
      <c r="K123" s="24">
        <v>0</v>
      </c>
      <c r="L123" s="24">
        <v>0</v>
      </c>
      <c r="M123" s="24">
        <v>6</v>
      </c>
      <c r="N123" s="24">
        <v>13</v>
      </c>
      <c r="O123" s="24">
        <f>SUM(テーブル1[[#This Row],[列11]:[列12]])</f>
        <v>19</v>
      </c>
      <c r="P123" s="24"/>
      <c r="Q123" s="24"/>
      <c r="R123" s="24">
        <f t="shared" si="11"/>
        <v>19</v>
      </c>
      <c r="S123" s="25">
        <f t="shared" si="12"/>
        <v>750025</v>
      </c>
      <c r="T123" s="25">
        <f>COUNTIF($V$4:V123,V123)</f>
        <v>1</v>
      </c>
      <c r="U123" s="25">
        <f>IF(T123=1,COUNTIF($T$4:T123,1),"")</f>
        <v>10</v>
      </c>
      <c r="V123" s="26" t="str">
        <f>'施設状況(要更新)'!$E123&amp;'施設状況(要更新)'!$C123</f>
        <v>手稲区04小規模A・B・C</v>
      </c>
      <c r="W123" s="26" t="str">
        <f>'施設状況(要更新)'!$F123</f>
        <v>ぴっころきっず手稲駅前</v>
      </c>
      <c r="X123" s="27"/>
      <c r="Y123" s="26"/>
      <c r="Z123" s="26"/>
    </row>
    <row r="124" spans="1:26">
      <c r="A124" s="30">
        <v>750027</v>
      </c>
      <c r="B124" s="24" t="s">
        <v>182</v>
      </c>
      <c r="C124" s="24" t="s">
        <v>451</v>
      </c>
      <c r="D124" s="24" t="s">
        <v>194</v>
      </c>
      <c r="E124" s="24" t="s">
        <v>190</v>
      </c>
      <c r="F124" s="24" t="s">
        <v>245</v>
      </c>
      <c r="G124" s="24"/>
      <c r="H124" s="24"/>
      <c r="I124" s="24"/>
      <c r="J124" s="24">
        <v>19</v>
      </c>
      <c r="K124" s="24">
        <v>0</v>
      </c>
      <c r="L124" s="24">
        <v>0</v>
      </c>
      <c r="M124" s="24">
        <v>6</v>
      </c>
      <c r="N124" s="24">
        <v>13</v>
      </c>
      <c r="O124" s="24">
        <f>SUM(テーブル1[[#This Row],[列11]:[列12]])</f>
        <v>19</v>
      </c>
      <c r="P124" s="24"/>
      <c r="Q124" s="24"/>
      <c r="R124" s="24">
        <f t="shared" si="11"/>
        <v>19</v>
      </c>
      <c r="S124" s="25">
        <f t="shared" si="12"/>
        <v>750027</v>
      </c>
      <c r="T124" s="25">
        <f>COUNTIF($V$4:V124,V124)</f>
        <v>2</v>
      </c>
      <c r="U124" s="25" t="str">
        <f>IF(T124=1,COUNTIF($T$4:T124,1),"")</f>
        <v/>
      </c>
      <c r="V124" s="26" t="str">
        <f>'施設状況(要更新)'!$E124&amp;'施設状況(要更新)'!$C124</f>
        <v>手稲区04小規模A・B・C</v>
      </c>
      <c r="W124" s="26" t="str">
        <f>'施設状況(要更新)'!$F124</f>
        <v>手稲あじさい保育園</v>
      </c>
      <c r="X124" s="27"/>
      <c r="Y124" s="26"/>
      <c r="Z124" s="26"/>
    </row>
    <row r="125" spans="1:26">
      <c r="A125" s="30">
        <v>750026</v>
      </c>
      <c r="B125" s="24" t="s">
        <v>182</v>
      </c>
      <c r="C125" s="24" t="s">
        <v>451</v>
      </c>
      <c r="D125" s="24" t="s">
        <v>194</v>
      </c>
      <c r="E125" s="24" t="s">
        <v>190</v>
      </c>
      <c r="F125" s="24" t="s">
        <v>244</v>
      </c>
      <c r="G125" s="24"/>
      <c r="H125" s="24"/>
      <c r="I125" s="24"/>
      <c r="J125" s="24">
        <v>12</v>
      </c>
      <c r="K125" s="24">
        <v>0</v>
      </c>
      <c r="L125" s="24">
        <v>0</v>
      </c>
      <c r="M125" s="24">
        <v>3</v>
      </c>
      <c r="N125" s="24">
        <v>9</v>
      </c>
      <c r="O125" s="24">
        <f>SUM(テーブル1[[#This Row],[列11]:[列12]])</f>
        <v>12</v>
      </c>
      <c r="P125" s="24"/>
      <c r="Q125" s="24"/>
      <c r="R125" s="24">
        <f t="shared" si="11"/>
        <v>12</v>
      </c>
      <c r="S125" s="25">
        <f t="shared" si="12"/>
        <v>750026</v>
      </c>
      <c r="T125" s="25">
        <f>COUNTIF($V$4:V125,V125)</f>
        <v>3</v>
      </c>
      <c r="U125" s="25" t="str">
        <f>IF(T125=1,COUNTIF($T$4:T125,1),"")</f>
        <v/>
      </c>
      <c r="V125" s="26" t="str">
        <f>'施設状況(要更新)'!$E125&amp;'施設状況(要更新)'!$C125</f>
        <v>手稲区04小規模A・B・C</v>
      </c>
      <c r="W125" s="26" t="str">
        <f>'施設状況(要更新)'!$F125</f>
        <v>第２手稲あじさい保育園</v>
      </c>
      <c r="X125" s="27"/>
      <c r="Y125" s="26"/>
      <c r="Z125" s="26"/>
    </row>
    <row r="126" spans="1:26">
      <c r="A126" s="30">
        <v>750030</v>
      </c>
      <c r="B126" s="24" t="s">
        <v>182</v>
      </c>
      <c r="C126" s="24" t="s">
        <v>451</v>
      </c>
      <c r="D126" s="24" t="s">
        <v>194</v>
      </c>
      <c r="E126" s="24" t="s">
        <v>190</v>
      </c>
      <c r="F126" s="24" t="s">
        <v>246</v>
      </c>
      <c r="G126" s="24"/>
      <c r="H126" s="24"/>
      <c r="I126" s="24"/>
      <c r="J126" s="24">
        <v>19</v>
      </c>
      <c r="K126" s="24">
        <v>0</v>
      </c>
      <c r="L126" s="24">
        <v>0</v>
      </c>
      <c r="M126" s="24">
        <v>3</v>
      </c>
      <c r="N126" s="24">
        <v>16</v>
      </c>
      <c r="O126" s="24">
        <f>SUM(テーブル1[[#This Row],[列11]:[列12]])</f>
        <v>19</v>
      </c>
      <c r="P126" s="24"/>
      <c r="Q126" s="24"/>
      <c r="R126" s="24">
        <f t="shared" si="11"/>
        <v>19</v>
      </c>
      <c r="S126" s="25">
        <f t="shared" si="12"/>
        <v>750030</v>
      </c>
      <c r="T126" s="25">
        <f>COUNTIF($V$4:V126,V126)</f>
        <v>4</v>
      </c>
      <c r="U126" s="25" t="str">
        <f>IF(T126=1,COUNTIF($T$4:T126,1),"")</f>
        <v/>
      </c>
      <c r="V126" s="26" t="str">
        <f>'施設状況(要更新)'!$E126&amp;'施設状況(要更新)'!$C126</f>
        <v>手稲区04小規模A・B・C</v>
      </c>
      <c r="W126" s="26" t="str">
        <f>'施設状況(要更新)'!$F126</f>
        <v>たからの杜星置保育園</v>
      </c>
      <c r="X126" s="27"/>
      <c r="Y126" s="26"/>
      <c r="Z126" s="26"/>
    </row>
    <row r="127" spans="1:26">
      <c r="A127" s="30">
        <v>750032</v>
      </c>
      <c r="B127" s="24" t="s">
        <v>182</v>
      </c>
      <c r="C127" s="24" t="s">
        <v>451</v>
      </c>
      <c r="D127" s="24" t="s">
        <v>194</v>
      </c>
      <c r="E127" s="24" t="s">
        <v>190</v>
      </c>
      <c r="F127" s="24" t="s">
        <v>248</v>
      </c>
      <c r="G127" s="24"/>
      <c r="H127" s="24"/>
      <c r="I127" s="24"/>
      <c r="J127" s="24">
        <v>19</v>
      </c>
      <c r="K127" s="24">
        <v>0</v>
      </c>
      <c r="L127" s="24">
        <v>0</v>
      </c>
      <c r="M127" s="24">
        <v>3</v>
      </c>
      <c r="N127" s="24">
        <v>16</v>
      </c>
      <c r="O127" s="24">
        <f>SUM(テーブル1[[#This Row],[列11]:[列12]])</f>
        <v>19</v>
      </c>
      <c r="P127" s="24"/>
      <c r="Q127" s="24"/>
      <c r="R127" s="24">
        <f t="shared" si="11"/>
        <v>19</v>
      </c>
      <c r="S127" s="25">
        <f t="shared" si="12"/>
        <v>750032</v>
      </c>
      <c r="T127" s="25">
        <f>COUNTIF($V$4:V127,V127)</f>
        <v>5</v>
      </c>
      <c r="U127" s="25" t="str">
        <f>IF(T127=1,COUNTIF($T$4:T127,1),"")</f>
        <v/>
      </c>
      <c r="V127" s="26" t="str">
        <f>'施設状況(要更新)'!$E127&amp;'施設状況(要更新)'!$C127</f>
        <v>手稲区04小規模A・B・C</v>
      </c>
      <c r="W127" s="26" t="str">
        <f>'施設状況(要更新)'!$F127</f>
        <v>富丘ニンニン保育園</v>
      </c>
      <c r="X127" s="27"/>
      <c r="Y127" s="26"/>
      <c r="Z127" s="26"/>
    </row>
    <row r="128" spans="1:26">
      <c r="A128" s="30">
        <v>750031</v>
      </c>
      <c r="B128" s="24" t="s">
        <v>182</v>
      </c>
      <c r="C128" s="24" t="s">
        <v>451</v>
      </c>
      <c r="D128" s="24" t="s">
        <v>194</v>
      </c>
      <c r="E128" s="24" t="s">
        <v>190</v>
      </c>
      <c r="F128" s="24" t="s">
        <v>247</v>
      </c>
      <c r="G128" s="24"/>
      <c r="H128" s="24"/>
      <c r="I128" s="24"/>
      <c r="J128" s="24">
        <v>19</v>
      </c>
      <c r="K128" s="24">
        <v>0</v>
      </c>
      <c r="L128" s="24">
        <v>0</v>
      </c>
      <c r="M128" s="24">
        <v>3</v>
      </c>
      <c r="N128" s="24">
        <v>16</v>
      </c>
      <c r="O128" s="24">
        <f>SUM(テーブル1[[#This Row],[列11]:[列12]])</f>
        <v>19</v>
      </c>
      <c r="P128" s="24"/>
      <c r="Q128" s="24"/>
      <c r="R128" s="24">
        <f t="shared" si="11"/>
        <v>19</v>
      </c>
      <c r="S128" s="25">
        <f t="shared" si="12"/>
        <v>750031</v>
      </c>
      <c r="T128" s="25">
        <f>COUNTIF($V$4:V128,V128)</f>
        <v>6</v>
      </c>
      <c r="U128" s="25" t="str">
        <f>IF(T128=1,COUNTIF($T$4:T128,1),"")</f>
        <v/>
      </c>
      <c r="V128" s="26" t="str">
        <f>'施設状況(要更新)'!$E128&amp;'施設状況(要更新)'!$C128</f>
        <v>手稲区04小規模A・B・C</v>
      </c>
      <c r="W128" s="26" t="str">
        <f>'施設状況(要更新)'!$F128</f>
        <v>さら～れ保育園富丘園</v>
      </c>
      <c r="X128" s="27"/>
      <c r="Y128" s="26"/>
    </row>
    <row r="129" spans="1:33">
      <c r="A129" s="30">
        <v>750039</v>
      </c>
      <c r="B129" s="24" t="s">
        <v>182</v>
      </c>
      <c r="C129" s="24" t="s">
        <v>451</v>
      </c>
      <c r="D129" s="24" t="s">
        <v>194</v>
      </c>
      <c r="E129" s="24" t="s">
        <v>190</v>
      </c>
      <c r="F129" s="24" t="s">
        <v>895</v>
      </c>
      <c r="G129" s="24"/>
      <c r="H129" s="24"/>
      <c r="I129" s="24"/>
      <c r="J129" s="24">
        <v>12</v>
      </c>
      <c r="K129" s="24">
        <v>0</v>
      </c>
      <c r="L129" s="24">
        <v>0</v>
      </c>
      <c r="M129" s="24">
        <v>2</v>
      </c>
      <c r="N129" s="24">
        <v>10</v>
      </c>
      <c r="O129" s="24">
        <f>SUM(テーブル1[[#This Row],[列11]:[列12]])</f>
        <v>12</v>
      </c>
      <c r="P129" s="24"/>
      <c r="Q129" s="24"/>
      <c r="R129" s="24">
        <f t="shared" si="11"/>
        <v>12</v>
      </c>
      <c r="S129" s="25">
        <f t="shared" si="12"/>
        <v>750039</v>
      </c>
      <c r="T129" s="25">
        <f>COUNTIF($V$4:V129,V129)</f>
        <v>7</v>
      </c>
      <c r="U129" s="25" t="str">
        <f>IF(T129=1,COUNTIF($T$4:T129,1),"")</f>
        <v/>
      </c>
      <c r="V129" s="26" t="str">
        <f>'施設状況(要更新)'!$E129&amp;'施設状況(要更新)'!$C129</f>
        <v>手稲区04小規模A・B・C</v>
      </c>
      <c r="W129" s="26" t="str">
        <f>'施設状況(要更新)'!$F129</f>
        <v>キラキラ乳児保育園</v>
      </c>
      <c r="X129" s="27"/>
      <c r="Y129" s="26"/>
    </row>
    <row r="130" spans="1:33">
      <c r="A130" s="30">
        <v>750035</v>
      </c>
      <c r="B130" s="24" t="s">
        <v>182</v>
      </c>
      <c r="C130" s="24" t="s">
        <v>451</v>
      </c>
      <c r="D130" s="24" t="s">
        <v>194</v>
      </c>
      <c r="E130" s="24" t="s">
        <v>190</v>
      </c>
      <c r="F130" s="24" t="s">
        <v>894</v>
      </c>
      <c r="G130" s="24"/>
      <c r="H130" s="24"/>
      <c r="I130" s="24"/>
      <c r="J130" s="24">
        <v>19</v>
      </c>
      <c r="K130" s="24">
        <v>0</v>
      </c>
      <c r="L130" s="24">
        <v>0</v>
      </c>
      <c r="M130" s="24">
        <v>3</v>
      </c>
      <c r="N130" s="24">
        <v>16</v>
      </c>
      <c r="O130" s="24">
        <f>SUM(テーブル1[[#This Row],[列11]:[列12]])</f>
        <v>19</v>
      </c>
      <c r="P130" s="24"/>
      <c r="Q130" s="24"/>
      <c r="R130" s="24">
        <f t="shared" si="11"/>
        <v>19</v>
      </c>
      <c r="S130" s="25">
        <f t="shared" si="12"/>
        <v>750035</v>
      </c>
      <c r="T130" s="25">
        <f>COUNTIF($V$4:V130,V130)</f>
        <v>8</v>
      </c>
      <c r="U130" s="25" t="str">
        <f>IF(T130=1,COUNTIF($T$4:T130,1),"")</f>
        <v/>
      </c>
      <c r="V130" s="26" t="str">
        <f>'施設状況(要更新)'!$E130&amp;'施設状況(要更新)'!$C130</f>
        <v>手稲区04小規模A・B・C</v>
      </c>
      <c r="W130" s="26" t="str">
        <f>'施設状況(要更新)'!$F130</f>
        <v>さら～れ保育園前田園</v>
      </c>
      <c r="X130" s="27"/>
      <c r="Y130" s="26"/>
    </row>
    <row r="131" spans="1:33">
      <c r="A131" s="30">
        <v>750044</v>
      </c>
      <c r="B131" s="24" t="s">
        <v>182</v>
      </c>
      <c r="C131" s="24" t="s">
        <v>451</v>
      </c>
      <c r="D131" s="24" t="s">
        <v>194</v>
      </c>
      <c r="E131" s="24" t="s">
        <v>190</v>
      </c>
      <c r="F131" s="24" t="s">
        <v>896</v>
      </c>
      <c r="G131" s="24"/>
      <c r="H131" s="24"/>
      <c r="I131" s="24"/>
      <c r="J131" s="24">
        <v>19</v>
      </c>
      <c r="K131" s="24">
        <v>0</v>
      </c>
      <c r="L131" s="24">
        <v>0</v>
      </c>
      <c r="M131" s="24">
        <v>3</v>
      </c>
      <c r="N131" s="24">
        <v>16</v>
      </c>
      <c r="O131" s="24">
        <f>SUM(テーブル1[[#This Row],[列11]:[列12]])</f>
        <v>19</v>
      </c>
      <c r="P131" s="24"/>
      <c r="Q131" s="24"/>
      <c r="R131" s="24">
        <f t="shared" si="11"/>
        <v>19</v>
      </c>
      <c r="S131" s="25">
        <f t="shared" si="12"/>
        <v>750044</v>
      </c>
      <c r="T131" s="25">
        <f>COUNTIF($V$4:V131,V131)</f>
        <v>9</v>
      </c>
      <c r="U131" s="25" t="str">
        <f>IF(T131=1,COUNTIF($T$4:T131,1),"")</f>
        <v/>
      </c>
      <c r="V131" s="26" t="str">
        <f>'施設状況(要更新)'!$E131&amp;'施設状況(要更新)'!$C131</f>
        <v>手稲区04小規模A・B・C</v>
      </c>
      <c r="W131" s="26" t="str">
        <f>'施設状況(要更新)'!$F131</f>
        <v>Ｓ．Ｔ．ナーサリーＳＣＨＯＯＬ手稲前田</v>
      </c>
      <c r="X131" s="27"/>
      <c r="Y131" s="26"/>
      <c r="Z131" s="38"/>
      <c r="AA131" s="38"/>
      <c r="AB131" s="38"/>
      <c r="AC131" s="38"/>
      <c r="AD131" s="38"/>
      <c r="AE131" s="38"/>
      <c r="AF131" s="38"/>
      <c r="AG131" s="38"/>
    </row>
    <row r="132" spans="1:33">
      <c r="A132" s="30">
        <v>300070</v>
      </c>
      <c r="B132" s="24" t="s">
        <v>182</v>
      </c>
      <c r="C132" s="24" t="s">
        <v>453</v>
      </c>
      <c r="D132" s="24" t="s">
        <v>454</v>
      </c>
      <c r="E132" s="977" t="s">
        <v>184</v>
      </c>
      <c r="F132" s="976" t="s">
        <v>250</v>
      </c>
      <c r="G132" s="24"/>
      <c r="H132" s="24"/>
      <c r="I132" s="24"/>
      <c r="J132" s="24">
        <v>19</v>
      </c>
      <c r="K132" s="24">
        <v>0</v>
      </c>
      <c r="L132" s="24">
        <v>0</v>
      </c>
      <c r="M132" s="24">
        <v>3</v>
      </c>
      <c r="N132" s="24">
        <v>10</v>
      </c>
      <c r="O132" s="24">
        <f>SUM(テーブル1[[#This Row],[列11]:[列12]])</f>
        <v>13</v>
      </c>
      <c r="P132" s="24">
        <v>6</v>
      </c>
      <c r="Q132" s="24"/>
      <c r="R132" s="24">
        <f t="shared" si="11"/>
        <v>19</v>
      </c>
      <c r="S132" s="25">
        <f t="shared" si="12"/>
        <v>300070</v>
      </c>
      <c r="T132" s="25">
        <f>COUNTIF($V$4:V132,V132)</f>
        <v>1</v>
      </c>
      <c r="U132" s="25">
        <f>IF(T132=1,COUNTIF($T$4:T132,1),"")</f>
        <v>11</v>
      </c>
      <c r="V132" s="26" t="str">
        <f>'施設状況(要更新)'!$E132&amp;'施設状況(要更新)'!$C132</f>
        <v>東区06事業所内</v>
      </c>
      <c r="W132" s="26" t="str">
        <f>'施設状況(要更新)'!$F132</f>
        <v>コープさっぽろ保育園ａｕｒｉｎｋｏ</v>
      </c>
      <c r="X132" s="27"/>
      <c r="Y132" s="26"/>
    </row>
    <row r="133" spans="1:33">
      <c r="A133" s="30">
        <v>300102</v>
      </c>
      <c r="B133" s="24" t="s">
        <v>182</v>
      </c>
      <c r="C133" s="24" t="s">
        <v>453</v>
      </c>
      <c r="D133" s="24" t="s">
        <v>454</v>
      </c>
      <c r="E133" s="977" t="s">
        <v>1041</v>
      </c>
      <c r="F133" s="976" t="s">
        <v>897</v>
      </c>
      <c r="G133" s="24"/>
      <c r="H133" s="24"/>
      <c r="I133" s="24"/>
      <c r="J133" s="24">
        <v>5</v>
      </c>
      <c r="K133" s="24">
        <v>0</v>
      </c>
      <c r="L133" s="24">
        <v>0</v>
      </c>
      <c r="M133" s="24">
        <v>1</v>
      </c>
      <c r="N133" s="24">
        <v>4</v>
      </c>
      <c r="O133" s="24">
        <f>SUM(テーブル1[[#This Row],[列11]:[列12]])</f>
        <v>5</v>
      </c>
      <c r="P133" s="24">
        <v>12</v>
      </c>
      <c r="Q133" s="24"/>
      <c r="R133" s="24">
        <f t="shared" ref="R133:R143" si="13">SUM(K133,L133,O133,P133)</f>
        <v>17</v>
      </c>
      <c r="S133" s="25">
        <f t="shared" ref="S133:S196" si="14">A133</f>
        <v>300102</v>
      </c>
      <c r="T133" s="25">
        <f>COUNTIF($V$4:V133,V133)</f>
        <v>2</v>
      </c>
      <c r="U133" s="25" t="str">
        <f>IF(T133=1,COUNTIF($T$4:T133,1),"")</f>
        <v/>
      </c>
      <c r="V133" s="26" t="str">
        <f>'施設状況(要更新)'!$E133&amp;'施設状況(要更新)'!$C133</f>
        <v>東区06事業所内</v>
      </c>
      <c r="W133" s="26" t="str">
        <f>'施設状況(要更新)'!$F133</f>
        <v>ＨｅａｒｔＫｉｄｓ保育園ハートセンター</v>
      </c>
      <c r="X133" s="27"/>
      <c r="Y133" s="26"/>
    </row>
    <row r="134" spans="1:33">
      <c r="A134" s="30">
        <v>400057</v>
      </c>
      <c r="B134" s="24" t="s">
        <v>182</v>
      </c>
      <c r="C134" s="24" t="s">
        <v>453</v>
      </c>
      <c r="D134" s="24" t="s">
        <v>454</v>
      </c>
      <c r="E134" s="977" t="s">
        <v>185</v>
      </c>
      <c r="F134" s="976" t="s">
        <v>251</v>
      </c>
      <c r="G134" s="24"/>
      <c r="H134" s="24"/>
      <c r="I134" s="24"/>
      <c r="J134" s="24">
        <v>14</v>
      </c>
      <c r="K134" s="24">
        <v>0</v>
      </c>
      <c r="L134" s="24">
        <v>0</v>
      </c>
      <c r="M134" s="24">
        <v>2</v>
      </c>
      <c r="N134" s="24">
        <v>12</v>
      </c>
      <c r="O134" s="24">
        <f>SUM(テーブル1[[#This Row],[列11]:[列12]])</f>
        <v>14</v>
      </c>
      <c r="P134" s="24">
        <v>5</v>
      </c>
      <c r="Q134" s="24"/>
      <c r="R134" s="24">
        <f t="shared" si="13"/>
        <v>19</v>
      </c>
      <c r="S134" s="25">
        <f t="shared" si="14"/>
        <v>400057</v>
      </c>
      <c r="T134" s="25">
        <f>COUNTIF($V$4:V134,V134)</f>
        <v>1</v>
      </c>
      <c r="U134" s="25">
        <f>IF(T134=1,COUNTIF($T$4:T134,1),"")</f>
        <v>12</v>
      </c>
      <c r="V134" s="26" t="str">
        <f>'施設状況(要更新)'!$E134&amp;'施設状況(要更新)'!$C134</f>
        <v>白石区06事業所内</v>
      </c>
      <c r="W134" s="26" t="str">
        <f>'施設状況(要更新)'!$F134</f>
        <v>じゅんのめ保育園</v>
      </c>
      <c r="X134" s="27"/>
      <c r="Y134" s="26"/>
    </row>
    <row r="135" spans="1:33">
      <c r="A135" s="30">
        <v>500049</v>
      </c>
      <c r="B135" s="24" t="s">
        <v>182</v>
      </c>
      <c r="C135" s="24" t="s">
        <v>453</v>
      </c>
      <c r="D135" s="24" t="s">
        <v>455</v>
      </c>
      <c r="E135" s="977" t="s">
        <v>186</v>
      </c>
      <c r="F135" s="976" t="s">
        <v>252</v>
      </c>
      <c r="G135" s="24"/>
      <c r="H135" s="24"/>
      <c r="I135" s="24"/>
      <c r="J135" s="24">
        <v>12</v>
      </c>
      <c r="K135" s="24">
        <v>0</v>
      </c>
      <c r="L135" s="24">
        <v>0</v>
      </c>
      <c r="M135" s="24">
        <v>4</v>
      </c>
      <c r="N135" s="24">
        <v>8</v>
      </c>
      <c r="O135" s="24">
        <f>SUM(テーブル1[[#This Row],[列11]:[列12]])</f>
        <v>12</v>
      </c>
      <c r="P135" s="24">
        <v>28</v>
      </c>
      <c r="Q135" s="24"/>
      <c r="R135" s="24">
        <f t="shared" si="13"/>
        <v>40</v>
      </c>
      <c r="S135" s="25">
        <f t="shared" si="14"/>
        <v>500049</v>
      </c>
      <c r="T135" s="25">
        <f>COUNTIF($V$4:V135,V135)</f>
        <v>1</v>
      </c>
      <c r="U135" s="25">
        <f>IF(T135=1,COUNTIF($T$4:T135,1),"")</f>
        <v>13</v>
      </c>
      <c r="V135" s="26" t="str">
        <f>'施設状況(要更新)'!$E135&amp;'施設状況(要更新)'!$C135</f>
        <v>豊平区06事業所内</v>
      </c>
      <c r="W135" s="26" t="str">
        <f>'施設状況(要更新)'!$F135</f>
        <v>こどもクラブしらかば</v>
      </c>
      <c r="X135" s="27"/>
      <c r="Y135" s="26"/>
    </row>
    <row r="136" spans="1:33">
      <c r="A136" s="30">
        <v>500062</v>
      </c>
      <c r="B136" s="24" t="s">
        <v>182</v>
      </c>
      <c r="C136" s="24" t="s">
        <v>453</v>
      </c>
      <c r="D136" s="24" t="s">
        <v>454</v>
      </c>
      <c r="E136" s="977" t="s">
        <v>186</v>
      </c>
      <c r="F136" s="976" t="s">
        <v>898</v>
      </c>
      <c r="G136" s="24"/>
      <c r="H136" s="24"/>
      <c r="I136" s="24"/>
      <c r="J136" s="24">
        <v>5</v>
      </c>
      <c r="K136" s="24">
        <v>0</v>
      </c>
      <c r="L136" s="24">
        <v>0</v>
      </c>
      <c r="M136" s="24">
        <v>2</v>
      </c>
      <c r="N136" s="24">
        <v>4</v>
      </c>
      <c r="O136" s="24">
        <f>SUM(テーブル1[[#This Row],[列11]:[列12]])</f>
        <v>6</v>
      </c>
      <c r="P136" s="24">
        <v>6</v>
      </c>
      <c r="Q136" s="24"/>
      <c r="R136" s="24">
        <f t="shared" si="13"/>
        <v>12</v>
      </c>
      <c r="S136" s="25">
        <f t="shared" si="14"/>
        <v>500062</v>
      </c>
      <c r="T136" s="25">
        <f>COUNTIF($V$4:V136,V136)</f>
        <v>2</v>
      </c>
      <c r="U136" s="25" t="str">
        <f>IF(T136=1,COUNTIF($T$4:T136,1),"")</f>
        <v/>
      </c>
      <c r="V136" s="26" t="str">
        <f>'施設状況(要更新)'!$E136&amp;'施設状況(要更新)'!$C136</f>
        <v>豊平区06事業所内</v>
      </c>
      <c r="W136" s="26" t="str">
        <f>'施設状況(要更新)'!$F136</f>
        <v>札幌ドリーム保育園</v>
      </c>
      <c r="X136" s="27"/>
      <c r="Y136" s="26"/>
    </row>
    <row r="137" spans="1:33">
      <c r="A137" s="30">
        <v>500095</v>
      </c>
      <c r="B137" s="24" t="s">
        <v>182</v>
      </c>
      <c r="C137" s="24" t="s">
        <v>453</v>
      </c>
      <c r="D137" s="24" t="s">
        <v>454</v>
      </c>
      <c r="E137" s="977" t="s">
        <v>269</v>
      </c>
      <c r="F137" s="976" t="s">
        <v>1029</v>
      </c>
      <c r="G137" s="24"/>
      <c r="H137" s="24"/>
      <c r="I137" s="24"/>
      <c r="J137" s="24">
        <v>6</v>
      </c>
      <c r="K137" s="24">
        <v>0</v>
      </c>
      <c r="L137" s="24">
        <v>0</v>
      </c>
      <c r="M137" s="24">
        <v>1</v>
      </c>
      <c r="N137" s="24">
        <v>4</v>
      </c>
      <c r="O137" s="24">
        <f>SUM(テーブル1[[#This Row],[列11]:[列12]])</f>
        <v>5</v>
      </c>
      <c r="P137" s="24">
        <v>7</v>
      </c>
      <c r="Q137" s="24"/>
      <c r="R137" s="24">
        <f t="shared" si="13"/>
        <v>12</v>
      </c>
      <c r="S137" s="25">
        <f t="shared" si="14"/>
        <v>500095</v>
      </c>
      <c r="T137" s="25">
        <f>COUNTIF($V$4:V137,V137)</f>
        <v>3</v>
      </c>
      <c r="U137" s="25" t="str">
        <f>IF(T137=1,COUNTIF($T$4:T137,1),"")</f>
        <v/>
      </c>
      <c r="V137" s="26" t="str">
        <f>'施設状況(要更新)'!$E137&amp;'施設状況(要更新)'!$C137</f>
        <v>豊平区06事業所内</v>
      </c>
      <c r="W137" s="26" t="str">
        <f>'施設状況(要更新)'!$F137</f>
        <v>こころキッズワタキュー中の島ルーム</v>
      </c>
      <c r="X137" s="27"/>
      <c r="Y137" s="26"/>
    </row>
    <row r="138" spans="1:33">
      <c r="A138" s="30">
        <v>600030</v>
      </c>
      <c r="B138" s="24" t="s">
        <v>182</v>
      </c>
      <c r="C138" s="24" t="s">
        <v>453</v>
      </c>
      <c r="D138" s="24" t="s">
        <v>454</v>
      </c>
      <c r="E138" s="977" t="s">
        <v>188</v>
      </c>
      <c r="F138" s="976" t="s">
        <v>1030</v>
      </c>
      <c r="G138" s="24"/>
      <c r="H138" s="24"/>
      <c r="I138" s="24"/>
      <c r="J138" s="24">
        <v>4</v>
      </c>
      <c r="K138" s="24">
        <v>0</v>
      </c>
      <c r="L138" s="24">
        <v>0</v>
      </c>
      <c r="M138" s="24">
        <v>1</v>
      </c>
      <c r="N138" s="24">
        <v>3</v>
      </c>
      <c r="O138" s="24">
        <f>SUM(テーブル1[[#This Row],[列11]:[列12]])</f>
        <v>4</v>
      </c>
      <c r="P138" s="24">
        <v>5</v>
      </c>
      <c r="Q138" s="24"/>
      <c r="R138" s="24">
        <f t="shared" si="13"/>
        <v>9</v>
      </c>
      <c r="S138" s="25">
        <f t="shared" si="14"/>
        <v>600030</v>
      </c>
      <c r="T138" s="25">
        <f>COUNTIF($V$4:V138,V138)</f>
        <v>1</v>
      </c>
      <c r="U138" s="25">
        <f>IF(T138=1,COUNTIF($T$4:T138,1),"")</f>
        <v>14</v>
      </c>
      <c r="V138" s="26" t="str">
        <f>'施設状況(要更新)'!$E138&amp;'施設状況(要更新)'!$C138</f>
        <v>南区06事業所内</v>
      </c>
      <c r="W138" s="26" t="str">
        <f>'施設状況(要更新)'!$F138</f>
        <v>もなみの里保育園</v>
      </c>
      <c r="X138" s="27"/>
      <c r="Y138" s="26"/>
    </row>
    <row r="139" spans="1:33">
      <c r="A139" s="30">
        <v>600036</v>
      </c>
      <c r="B139" s="24" t="s">
        <v>182</v>
      </c>
      <c r="C139" s="24" t="s">
        <v>453</v>
      </c>
      <c r="D139" s="24" t="s">
        <v>455</v>
      </c>
      <c r="E139" s="977" t="s">
        <v>188</v>
      </c>
      <c r="F139" s="976" t="s">
        <v>899</v>
      </c>
      <c r="G139" s="24"/>
      <c r="H139" s="24"/>
      <c r="I139" s="24"/>
      <c r="J139" s="24">
        <v>7</v>
      </c>
      <c r="K139" s="24">
        <v>0</v>
      </c>
      <c r="L139" s="24">
        <v>0</v>
      </c>
      <c r="M139" s="24">
        <v>2</v>
      </c>
      <c r="N139" s="24">
        <v>5</v>
      </c>
      <c r="O139" s="24">
        <f>SUM(テーブル1[[#This Row],[列11]:[列12]])</f>
        <v>7</v>
      </c>
      <c r="P139" s="24">
        <v>19</v>
      </c>
      <c r="Q139" s="24"/>
      <c r="R139" s="24">
        <f t="shared" si="13"/>
        <v>26</v>
      </c>
      <c r="S139" s="25">
        <f t="shared" si="14"/>
        <v>600036</v>
      </c>
      <c r="T139" s="25">
        <f>COUNTIF($V$4:V139,V139)</f>
        <v>2</v>
      </c>
      <c r="U139" s="25" t="str">
        <f>IF(T139=1,COUNTIF($T$4:T139,1),"")</f>
        <v/>
      </c>
      <c r="V139" s="26" t="str">
        <f>'施設状況(要更新)'!$E139&amp;'施設状況(要更新)'!$C139</f>
        <v>南区06事業所内</v>
      </c>
      <c r="W139" s="26" t="str">
        <f>'施設状況(要更新)'!$F139</f>
        <v>真駒内駐屯地庁内託児所</v>
      </c>
      <c r="X139" s="27"/>
      <c r="Y139" s="26"/>
    </row>
    <row r="140" spans="1:33">
      <c r="A140" s="30">
        <v>700054</v>
      </c>
      <c r="B140" s="24" t="s">
        <v>182</v>
      </c>
      <c r="C140" s="24" t="s">
        <v>453</v>
      </c>
      <c r="D140" s="24" t="s">
        <v>454</v>
      </c>
      <c r="E140" s="977" t="s">
        <v>189</v>
      </c>
      <c r="F140" s="976" t="s">
        <v>253</v>
      </c>
      <c r="G140" s="24"/>
      <c r="H140" s="24"/>
      <c r="I140" s="24"/>
      <c r="J140" s="24">
        <v>7</v>
      </c>
      <c r="K140" s="24">
        <v>0</v>
      </c>
      <c r="L140" s="24">
        <v>0</v>
      </c>
      <c r="M140" s="24">
        <v>1</v>
      </c>
      <c r="N140" s="24">
        <v>6</v>
      </c>
      <c r="O140" s="24">
        <f>SUM(テーブル1[[#This Row],[列11]:[列12]])</f>
        <v>7</v>
      </c>
      <c r="P140" s="24">
        <v>5</v>
      </c>
      <c r="Q140" s="24"/>
      <c r="R140" s="24">
        <f t="shared" si="13"/>
        <v>12</v>
      </c>
      <c r="S140" s="25">
        <f t="shared" si="14"/>
        <v>700054</v>
      </c>
      <c r="T140" s="25">
        <f>COUNTIF($V$4:V140,V140)</f>
        <v>1</v>
      </c>
      <c r="U140" s="25">
        <f>IF(T140=1,COUNTIF($T$4:T140,1),"")</f>
        <v>15</v>
      </c>
      <c r="V140" s="26" t="str">
        <f>'施設状況(要更新)'!$E140&amp;'施設状況(要更新)'!$C140</f>
        <v>西区06事業所内</v>
      </c>
      <c r="W140" s="26" t="str">
        <f>'施設状況(要更新)'!$F140</f>
        <v>さくらんぼ保育園</v>
      </c>
      <c r="X140" s="27"/>
      <c r="Y140" s="26"/>
    </row>
    <row r="141" spans="1:33">
      <c r="A141" s="30">
        <v>700065</v>
      </c>
      <c r="B141" s="24" t="s">
        <v>182</v>
      </c>
      <c r="C141" s="24" t="s">
        <v>453</v>
      </c>
      <c r="D141" s="24" t="s">
        <v>454</v>
      </c>
      <c r="E141" s="977" t="s">
        <v>189</v>
      </c>
      <c r="F141" s="976" t="s">
        <v>1031</v>
      </c>
      <c r="G141" s="24"/>
      <c r="H141" s="24"/>
      <c r="I141" s="24"/>
      <c r="J141" s="24">
        <v>6</v>
      </c>
      <c r="K141" s="24">
        <v>0</v>
      </c>
      <c r="L141" s="24">
        <v>0</v>
      </c>
      <c r="M141" s="24">
        <v>1</v>
      </c>
      <c r="N141" s="24">
        <v>5</v>
      </c>
      <c r="O141" s="24">
        <f>SUM(テーブル1[[#This Row],[列11]:[列12]])</f>
        <v>6</v>
      </c>
      <c r="P141" s="24">
        <v>13</v>
      </c>
      <c r="Q141" s="24"/>
      <c r="R141" s="24">
        <f t="shared" si="13"/>
        <v>19</v>
      </c>
      <c r="S141" s="25">
        <f t="shared" si="14"/>
        <v>700065</v>
      </c>
      <c r="T141" s="25">
        <f>COUNTIF($V$4:V141,V141)</f>
        <v>2</v>
      </c>
      <c r="U141" s="25" t="str">
        <f>IF(T141=1,COUNTIF($T$4:T141,1),"")</f>
        <v/>
      </c>
      <c r="V141" s="26" t="str">
        <f>'施設状況(要更新)'!$E141&amp;'施設状況(要更新)'!$C141</f>
        <v>西区06事業所内</v>
      </c>
      <c r="W141" s="26" t="str">
        <f>'施設状況(要更新)'!$F141</f>
        <v>八軒西もみじ保育園</v>
      </c>
      <c r="X141" s="27"/>
      <c r="Y141" s="26"/>
    </row>
    <row r="142" spans="1:33">
      <c r="A142" s="30">
        <v>700071</v>
      </c>
      <c r="B142" s="24" t="s">
        <v>182</v>
      </c>
      <c r="C142" s="24" t="s">
        <v>453</v>
      </c>
      <c r="D142" s="24" t="s">
        <v>454</v>
      </c>
      <c r="E142" s="977" t="s">
        <v>189</v>
      </c>
      <c r="F142" s="976" t="s">
        <v>900</v>
      </c>
      <c r="G142" s="24"/>
      <c r="H142" s="24"/>
      <c r="I142" s="24"/>
      <c r="J142" s="24">
        <v>4</v>
      </c>
      <c r="K142" s="24">
        <v>0</v>
      </c>
      <c r="L142" s="24">
        <v>0</v>
      </c>
      <c r="M142" s="24">
        <v>1</v>
      </c>
      <c r="N142" s="24">
        <v>3</v>
      </c>
      <c r="O142" s="24">
        <f>SUM(テーブル1[[#This Row],[列11]:[列12]])</f>
        <v>4</v>
      </c>
      <c r="P142" s="24">
        <v>7</v>
      </c>
      <c r="Q142" s="24"/>
      <c r="R142" s="24">
        <f t="shared" si="13"/>
        <v>11</v>
      </c>
      <c r="S142" s="25">
        <f t="shared" si="14"/>
        <v>700071</v>
      </c>
      <c r="T142" s="25">
        <f>COUNTIF($V$4:V142,V142)</f>
        <v>3</v>
      </c>
      <c r="U142" s="25" t="str">
        <f>IF(T142=1,COUNTIF($T$4:T142,1),"")</f>
        <v/>
      </c>
      <c r="V142" s="26" t="str">
        <f>'施設状況(要更新)'!$E142&amp;'施設状況(要更新)'!$C142</f>
        <v>西区06事業所内</v>
      </c>
      <c r="W142" s="26" t="str">
        <f>'施設状況(要更新)'!$F142</f>
        <v>発寒コグマ保育園</v>
      </c>
      <c r="X142" s="27"/>
      <c r="Y142" s="26"/>
    </row>
    <row r="143" spans="1:33">
      <c r="A143" s="30">
        <v>700092</v>
      </c>
      <c r="B143" s="24" t="s">
        <v>182</v>
      </c>
      <c r="C143" s="24" t="s">
        <v>453</v>
      </c>
      <c r="D143" s="24" t="s">
        <v>454</v>
      </c>
      <c r="E143" s="977" t="s">
        <v>189</v>
      </c>
      <c r="F143" s="976" t="s">
        <v>901</v>
      </c>
      <c r="G143" s="24"/>
      <c r="H143" s="24"/>
      <c r="I143" s="24"/>
      <c r="J143" s="24">
        <v>9</v>
      </c>
      <c r="K143" s="24">
        <v>0</v>
      </c>
      <c r="L143" s="24">
        <v>0</v>
      </c>
      <c r="M143" s="24">
        <v>2</v>
      </c>
      <c r="N143" s="24">
        <v>7</v>
      </c>
      <c r="O143" s="24">
        <f>SUM(テーブル1[[#This Row],[列11]:[列12]])</f>
        <v>9</v>
      </c>
      <c r="P143" s="24">
        <v>10</v>
      </c>
      <c r="Q143" s="24"/>
      <c r="R143" s="24">
        <f t="shared" si="13"/>
        <v>19</v>
      </c>
      <c r="S143" s="25">
        <f t="shared" si="14"/>
        <v>700092</v>
      </c>
      <c r="T143" s="25">
        <f>COUNTIF($V$4:V143,V143)</f>
        <v>4</v>
      </c>
      <c r="U143" s="25" t="str">
        <f>IF(T143=1,COUNTIF($T$4:T143,1),"")</f>
        <v/>
      </c>
      <c r="V143" s="26" t="str">
        <f>'施設状況(要更新)'!$E143&amp;'施設状況(要更新)'!$C143</f>
        <v>西区06事業所内</v>
      </c>
      <c r="W143" s="26" t="str">
        <f>'施設状況(要更新)'!$F143</f>
        <v>レーベンそらまめ琴似保育園</v>
      </c>
      <c r="X143" s="27"/>
      <c r="Y143" s="26"/>
    </row>
    <row r="144" spans="1:33">
      <c r="A144" s="30"/>
      <c r="B144" s="24"/>
      <c r="C144" s="24"/>
      <c r="D144" s="24"/>
      <c r="E144" s="977"/>
      <c r="F144" s="976"/>
      <c r="G144" s="24"/>
      <c r="H144" s="24"/>
      <c r="I144" s="24"/>
      <c r="J144" s="24"/>
      <c r="K144" s="24"/>
      <c r="L144" s="24"/>
      <c r="M144" s="24"/>
      <c r="N144" s="24"/>
      <c r="O144" s="24"/>
      <c r="P144" s="24"/>
      <c r="Q144" s="24"/>
      <c r="R144" s="24"/>
      <c r="S144" s="25">
        <f t="shared" si="14"/>
        <v>0</v>
      </c>
      <c r="T144" s="25">
        <f>COUNTIF($V$4:V144,V144)</f>
        <v>1</v>
      </c>
      <c r="U144" s="25">
        <f>IF(T144=1,COUNTIF($T$4:T144,1),"")</f>
        <v>16</v>
      </c>
      <c r="V144" s="26" t="str">
        <f>'施設状況(要更新)'!$E144&amp;'施設状況(要更新)'!$C144</f>
        <v/>
      </c>
      <c r="W144" s="26">
        <f>'施設状況(要更新)'!$F144</f>
        <v>0</v>
      </c>
      <c r="X144" s="27"/>
      <c r="Y144" s="26"/>
    </row>
    <row r="145" spans="1:33">
      <c r="A145" s="30"/>
      <c r="B145" s="24"/>
      <c r="C145" s="24"/>
      <c r="D145" s="24"/>
      <c r="E145" s="24"/>
      <c r="F145" s="24"/>
      <c r="G145" s="24"/>
      <c r="H145" s="24"/>
      <c r="I145" s="24"/>
      <c r="J145" s="24"/>
      <c r="K145" s="24"/>
      <c r="L145" s="24"/>
      <c r="M145" s="24"/>
      <c r="N145" s="24"/>
      <c r="O145" s="24"/>
      <c r="P145" s="24"/>
      <c r="Q145" s="24"/>
      <c r="R145" s="24"/>
      <c r="S145" s="25">
        <f t="shared" si="14"/>
        <v>0</v>
      </c>
      <c r="T145" s="25">
        <f>COUNTIF($V$4:V145,V145)</f>
        <v>2</v>
      </c>
      <c r="U145" s="25" t="str">
        <f>IF(T145=1,COUNTIF($T$4:T145,1),"")</f>
        <v/>
      </c>
      <c r="V145" s="26" t="str">
        <f>'施設状況(要更新)'!$E145&amp;'施設状況(要更新)'!$C145</f>
        <v/>
      </c>
      <c r="W145" s="26">
        <f>'施設状況(要更新)'!$F145</f>
        <v>0</v>
      </c>
      <c r="X145" s="27"/>
      <c r="Y145" s="26"/>
    </row>
    <row r="146" spans="1:33">
      <c r="A146" s="30"/>
      <c r="B146" s="24"/>
      <c r="C146" s="24"/>
      <c r="D146" s="24"/>
      <c r="E146" s="24"/>
      <c r="F146" s="24"/>
      <c r="G146" s="24"/>
      <c r="H146" s="24"/>
      <c r="I146" s="24"/>
      <c r="J146" s="24"/>
      <c r="K146" s="24"/>
      <c r="L146" s="24"/>
      <c r="M146" s="24"/>
      <c r="N146" s="24"/>
      <c r="O146" s="24"/>
      <c r="P146" s="24"/>
      <c r="Q146" s="24"/>
      <c r="R146" s="24"/>
      <c r="S146" s="25">
        <f t="shared" si="14"/>
        <v>0</v>
      </c>
      <c r="T146" s="25">
        <f>COUNTIF($V$4:V146,V146)</f>
        <v>3</v>
      </c>
      <c r="U146" s="25" t="str">
        <f>IF(T146=1,COUNTIF($T$4:T146,1),"")</f>
        <v/>
      </c>
      <c r="V146" s="26" t="str">
        <f>'施設状況(要更新)'!$E146&amp;'施設状況(要更新)'!$C146</f>
        <v/>
      </c>
      <c r="W146" s="26">
        <f>'施設状況(要更新)'!$F146</f>
        <v>0</v>
      </c>
      <c r="X146" s="27"/>
      <c r="Y146" s="26"/>
    </row>
    <row r="147" spans="1:33">
      <c r="A147" s="30"/>
      <c r="B147" s="24"/>
      <c r="C147" s="24"/>
      <c r="D147" s="24"/>
      <c r="E147" s="24"/>
      <c r="F147" s="24"/>
      <c r="G147" s="24"/>
      <c r="H147" s="24"/>
      <c r="I147" s="24"/>
      <c r="J147" s="24"/>
      <c r="K147" s="24"/>
      <c r="L147" s="24"/>
      <c r="M147" s="24"/>
      <c r="N147" s="24"/>
      <c r="O147" s="24"/>
      <c r="P147" s="24"/>
      <c r="Q147" s="24"/>
      <c r="R147" s="24"/>
      <c r="S147" s="25">
        <f t="shared" si="14"/>
        <v>0</v>
      </c>
      <c r="T147" s="25">
        <f>COUNTIF($V$4:V147,V147)</f>
        <v>4</v>
      </c>
      <c r="U147" s="25" t="str">
        <f>IF(T147=1,COUNTIF($T$4:T147,1),"")</f>
        <v/>
      </c>
      <c r="V147" s="26" t="str">
        <f>'施設状況(要更新)'!$E147&amp;'施設状況(要更新)'!$C147</f>
        <v/>
      </c>
      <c r="W147" s="26">
        <f>'施設状況(要更新)'!$F147</f>
        <v>0</v>
      </c>
      <c r="X147" s="27"/>
      <c r="Y147" s="26"/>
    </row>
    <row r="148" spans="1:33">
      <c r="A148" s="30"/>
      <c r="B148" s="24"/>
      <c r="C148" s="24"/>
      <c r="D148" s="24"/>
      <c r="E148" s="24"/>
      <c r="F148" s="24"/>
      <c r="G148" s="24"/>
      <c r="H148" s="24"/>
      <c r="I148" s="24"/>
      <c r="J148" s="24"/>
      <c r="K148" s="24"/>
      <c r="L148" s="24"/>
      <c r="M148" s="24"/>
      <c r="N148" s="24"/>
      <c r="O148" s="24"/>
      <c r="P148" s="24"/>
      <c r="Q148" s="24"/>
      <c r="R148" s="24"/>
      <c r="S148" s="25">
        <f t="shared" si="14"/>
        <v>0</v>
      </c>
      <c r="T148" s="25">
        <f>COUNTIF($V$4:V148,V148)</f>
        <v>5</v>
      </c>
      <c r="U148" s="25" t="str">
        <f>IF(T148=1,COUNTIF($T$4:T148,1),"")</f>
        <v/>
      </c>
      <c r="V148" s="26" t="str">
        <f>'施設状況(要更新)'!$E148&amp;'施設状況(要更新)'!$C148</f>
        <v/>
      </c>
      <c r="W148" s="26">
        <f>'施設状況(要更新)'!$F148</f>
        <v>0</v>
      </c>
      <c r="X148" s="27"/>
      <c r="Y148" s="26"/>
    </row>
    <row r="149" spans="1:33">
      <c r="A149" s="30"/>
      <c r="B149" s="24"/>
      <c r="C149" s="24"/>
      <c r="D149" s="24"/>
      <c r="E149" s="24"/>
      <c r="F149" s="24"/>
      <c r="G149" s="24"/>
      <c r="H149" s="24"/>
      <c r="I149" s="24"/>
      <c r="J149" s="24"/>
      <c r="K149" s="24"/>
      <c r="L149" s="24"/>
      <c r="M149" s="24"/>
      <c r="N149" s="24"/>
      <c r="O149" s="24"/>
      <c r="P149" s="24"/>
      <c r="Q149" s="24"/>
      <c r="R149" s="24"/>
      <c r="S149" s="25">
        <f t="shared" si="14"/>
        <v>0</v>
      </c>
      <c r="T149" s="25">
        <f>COUNTIF($V$4:V149,V149)</f>
        <v>6</v>
      </c>
      <c r="U149" s="25" t="str">
        <f>IF(T149=1,COUNTIF($T$4:T149,1),"")</f>
        <v/>
      </c>
      <c r="V149" s="26" t="str">
        <f>'施設状況(要更新)'!$E149&amp;'施設状況(要更新)'!$C149</f>
        <v/>
      </c>
      <c r="W149" s="26">
        <f>'施設状況(要更新)'!$F149</f>
        <v>0</v>
      </c>
      <c r="X149" s="27"/>
      <c r="Y149" s="26"/>
    </row>
    <row r="150" spans="1:33">
      <c r="A150" s="30"/>
      <c r="B150" s="24"/>
      <c r="C150" s="24"/>
      <c r="D150" s="24"/>
      <c r="E150" s="24"/>
      <c r="F150" s="24"/>
      <c r="G150" s="24"/>
      <c r="H150" s="24"/>
      <c r="I150" s="24"/>
      <c r="J150" s="24"/>
      <c r="K150" s="24"/>
      <c r="L150" s="24"/>
      <c r="M150" s="24"/>
      <c r="N150" s="24"/>
      <c r="O150" s="24"/>
      <c r="P150" s="24"/>
      <c r="Q150" s="24"/>
      <c r="R150" s="24"/>
      <c r="S150" s="25">
        <f t="shared" si="14"/>
        <v>0</v>
      </c>
      <c r="T150" s="25">
        <f>COUNTIF($V$4:V150,V150)</f>
        <v>7</v>
      </c>
      <c r="U150" s="25" t="str">
        <f>IF(T150=1,COUNTIF($T$4:T150,1),"")</f>
        <v/>
      </c>
      <c r="V150" s="26" t="str">
        <f>'施設状況(要更新)'!$E150&amp;'施設状況(要更新)'!$C150</f>
        <v/>
      </c>
      <c r="W150" s="26">
        <f>'施設状況(要更新)'!$F150</f>
        <v>0</v>
      </c>
      <c r="X150" s="27"/>
      <c r="Y150" s="26"/>
    </row>
    <row r="151" spans="1:33">
      <c r="A151" s="30"/>
      <c r="B151" s="24"/>
      <c r="C151" s="24"/>
      <c r="D151" s="24"/>
      <c r="E151" s="24"/>
      <c r="F151" s="24"/>
      <c r="G151" s="24"/>
      <c r="H151" s="24"/>
      <c r="I151" s="24"/>
      <c r="J151" s="24"/>
      <c r="K151" s="24"/>
      <c r="L151" s="24"/>
      <c r="M151" s="24"/>
      <c r="N151" s="24"/>
      <c r="O151" s="24"/>
      <c r="P151" s="24"/>
      <c r="Q151" s="24"/>
      <c r="R151" s="24"/>
      <c r="S151" s="25">
        <f t="shared" si="14"/>
        <v>0</v>
      </c>
      <c r="T151" s="25">
        <f>COUNTIF($V$4:V151,V151)</f>
        <v>8</v>
      </c>
      <c r="U151" s="25" t="str">
        <f>IF(T151=1,COUNTIF($T$4:T151,1),"")</f>
        <v/>
      </c>
      <c r="V151" s="26" t="str">
        <f>'施設状況(要更新)'!$E151&amp;'施設状況(要更新)'!$C151</f>
        <v/>
      </c>
      <c r="W151" s="26">
        <f>'施設状況(要更新)'!$F151</f>
        <v>0</v>
      </c>
      <c r="X151" s="27"/>
      <c r="Y151" s="26"/>
    </row>
    <row r="152" spans="1:33">
      <c r="A152" s="30"/>
      <c r="B152" s="24"/>
      <c r="C152" s="24"/>
      <c r="D152" s="24"/>
      <c r="E152" s="24"/>
      <c r="F152" s="24"/>
      <c r="G152" s="24"/>
      <c r="H152" s="24"/>
      <c r="I152" s="24"/>
      <c r="J152" s="24"/>
      <c r="K152" s="24"/>
      <c r="L152" s="24"/>
      <c r="M152" s="24"/>
      <c r="N152" s="24"/>
      <c r="O152" s="24"/>
      <c r="P152" s="24"/>
      <c r="Q152" s="24"/>
      <c r="R152" s="24"/>
      <c r="S152" s="25">
        <f t="shared" si="14"/>
        <v>0</v>
      </c>
      <c r="T152" s="25">
        <f>COUNTIF($V$4:V152,V152)</f>
        <v>9</v>
      </c>
      <c r="U152" s="25" t="str">
        <f>IF(T152=1,COUNTIF($T$4:T152,1),"")</f>
        <v/>
      </c>
      <c r="V152" s="26" t="str">
        <f>'施設状況(要更新)'!$E152&amp;'施設状況(要更新)'!$C152</f>
        <v/>
      </c>
      <c r="W152" s="26">
        <f>'施設状況(要更新)'!$F152</f>
        <v>0</v>
      </c>
      <c r="X152" s="27"/>
      <c r="Y152" s="26"/>
    </row>
    <row r="153" spans="1:33">
      <c r="A153" s="30"/>
      <c r="B153" s="24"/>
      <c r="C153" s="24"/>
      <c r="D153" s="24"/>
      <c r="E153" s="24"/>
      <c r="F153" s="24"/>
      <c r="G153" s="24"/>
      <c r="H153" s="24"/>
      <c r="I153" s="24"/>
      <c r="J153" s="24"/>
      <c r="K153" s="24"/>
      <c r="L153" s="24"/>
      <c r="M153" s="24"/>
      <c r="N153" s="24"/>
      <c r="O153" s="24"/>
      <c r="P153" s="24"/>
      <c r="Q153" s="24"/>
      <c r="R153" s="24"/>
      <c r="S153" s="25">
        <f t="shared" si="14"/>
        <v>0</v>
      </c>
      <c r="T153" s="25">
        <f>COUNTIF($V$4:V153,V153)</f>
        <v>10</v>
      </c>
      <c r="U153" s="25" t="str">
        <f>IF(T153=1,COUNTIF($T$4:T153,1),"")</f>
        <v/>
      </c>
      <c r="V153" s="26" t="str">
        <f>'施設状況(要更新)'!$E153&amp;'施設状況(要更新)'!$C153</f>
        <v/>
      </c>
      <c r="W153" s="26">
        <f>'施設状況(要更新)'!$F153</f>
        <v>0</v>
      </c>
      <c r="X153" s="27"/>
      <c r="Y153" s="26"/>
    </row>
    <row r="154" spans="1:33">
      <c r="A154" s="30"/>
      <c r="B154" s="24"/>
      <c r="C154" s="24"/>
      <c r="D154" s="24"/>
      <c r="E154" s="24"/>
      <c r="F154" s="24"/>
      <c r="G154" s="24"/>
      <c r="H154" s="24"/>
      <c r="I154" s="24"/>
      <c r="J154" s="24"/>
      <c r="K154" s="24"/>
      <c r="L154" s="24"/>
      <c r="M154" s="24"/>
      <c r="N154" s="24"/>
      <c r="O154" s="24"/>
      <c r="P154" s="24"/>
      <c r="Q154" s="24"/>
      <c r="R154" s="24"/>
      <c r="S154" s="25">
        <f t="shared" si="14"/>
        <v>0</v>
      </c>
      <c r="T154" s="25">
        <f>COUNTIF($V$4:V154,V154)</f>
        <v>11</v>
      </c>
      <c r="U154" s="25" t="str">
        <f>IF(T154=1,COUNTIF($T$4:T154,1),"")</f>
        <v/>
      </c>
      <c r="V154" s="26" t="str">
        <f>'施設状況(要更新)'!$E154&amp;'施設状況(要更新)'!$C154</f>
        <v/>
      </c>
      <c r="W154" s="26">
        <f>'施設状況(要更新)'!$F154</f>
        <v>0</v>
      </c>
      <c r="X154" s="27"/>
      <c r="Y154" s="26"/>
      <c r="Z154" s="26"/>
      <c r="AA154" s="26"/>
      <c r="AB154" s="26"/>
      <c r="AC154" s="26"/>
      <c r="AD154" s="26"/>
      <c r="AE154" s="26"/>
      <c r="AF154" s="26"/>
      <c r="AG154" s="26"/>
    </row>
    <row r="155" spans="1:33">
      <c r="A155" s="30"/>
      <c r="B155" s="24"/>
      <c r="C155" s="24"/>
      <c r="D155" s="24"/>
      <c r="E155" s="24"/>
      <c r="F155" s="24"/>
      <c r="G155" s="24"/>
      <c r="H155" s="24"/>
      <c r="I155" s="24"/>
      <c r="J155" s="24"/>
      <c r="K155" s="24"/>
      <c r="L155" s="24"/>
      <c r="M155" s="24"/>
      <c r="N155" s="24"/>
      <c r="O155" s="24"/>
      <c r="P155" s="24"/>
      <c r="Q155" s="24"/>
      <c r="R155" s="24"/>
      <c r="S155" s="25">
        <f t="shared" si="14"/>
        <v>0</v>
      </c>
      <c r="T155" s="25">
        <f>COUNTIF($V$4:V155,V155)</f>
        <v>12</v>
      </c>
      <c r="U155" s="25" t="str">
        <f>IF(T155=1,COUNTIF($T$4:T155,1),"")</f>
        <v/>
      </c>
      <c r="V155" s="26" t="str">
        <f>'施設状況(要更新)'!$E155&amp;'施設状況(要更新)'!$C155</f>
        <v/>
      </c>
      <c r="W155" s="26">
        <f>'施設状況(要更新)'!$F155</f>
        <v>0</v>
      </c>
      <c r="X155" s="27"/>
      <c r="Y155" s="26"/>
    </row>
    <row r="156" spans="1:33">
      <c r="A156" s="30"/>
      <c r="B156" s="24"/>
      <c r="C156" s="24"/>
      <c r="D156" s="24"/>
      <c r="E156" s="24"/>
      <c r="F156" s="24"/>
      <c r="G156" s="24"/>
      <c r="H156" s="24"/>
      <c r="I156" s="24"/>
      <c r="J156" s="24"/>
      <c r="K156" s="24"/>
      <c r="L156" s="24"/>
      <c r="M156" s="24"/>
      <c r="N156" s="24"/>
      <c r="O156" s="24"/>
      <c r="P156" s="24"/>
      <c r="Q156" s="24"/>
      <c r="R156" s="24"/>
      <c r="S156" s="25">
        <f t="shared" si="14"/>
        <v>0</v>
      </c>
      <c r="T156" s="25">
        <f>COUNTIF($V$4:V156,V156)</f>
        <v>13</v>
      </c>
      <c r="U156" s="25" t="str">
        <f>IF(T156=1,COUNTIF($T$4:T156,1),"")</f>
        <v/>
      </c>
      <c r="V156" s="26" t="str">
        <f>'施設状況(要更新)'!$E156&amp;'施設状況(要更新)'!$C156</f>
        <v/>
      </c>
      <c r="W156" s="26">
        <f>'施設状況(要更新)'!$F156</f>
        <v>0</v>
      </c>
      <c r="X156" s="27"/>
      <c r="Y156" s="26"/>
    </row>
    <row r="157" spans="1:33">
      <c r="A157" s="30"/>
      <c r="B157" s="24"/>
      <c r="C157" s="24"/>
      <c r="D157" s="24"/>
      <c r="E157" s="24"/>
      <c r="F157" s="24"/>
      <c r="G157" s="24"/>
      <c r="H157" s="24"/>
      <c r="I157" s="24"/>
      <c r="J157" s="24"/>
      <c r="K157" s="24"/>
      <c r="L157" s="24"/>
      <c r="M157" s="24"/>
      <c r="N157" s="24"/>
      <c r="O157" s="24"/>
      <c r="P157" s="24"/>
      <c r="Q157" s="24"/>
      <c r="R157" s="24"/>
      <c r="S157" s="25">
        <f t="shared" si="14"/>
        <v>0</v>
      </c>
      <c r="T157" s="25">
        <f>COUNTIF($V$4:V157,V157)</f>
        <v>14</v>
      </c>
      <c r="U157" s="25" t="str">
        <f>IF(T157=1,COUNTIF($T$4:T157,1),"")</f>
        <v/>
      </c>
      <c r="V157" s="26" t="str">
        <f>'施設状況(要更新)'!$E157&amp;'施設状況(要更新)'!$C157</f>
        <v/>
      </c>
      <c r="W157" s="26">
        <f>'施設状況(要更新)'!$F157</f>
        <v>0</v>
      </c>
      <c r="X157" s="27"/>
      <c r="Y157" s="26"/>
    </row>
    <row r="158" spans="1:33">
      <c r="A158" s="30"/>
      <c r="B158" s="24"/>
      <c r="C158" s="24"/>
      <c r="D158" s="24"/>
      <c r="E158" s="24"/>
      <c r="F158" s="24"/>
      <c r="G158" s="24"/>
      <c r="H158" s="24"/>
      <c r="I158" s="24"/>
      <c r="J158" s="24"/>
      <c r="K158" s="24"/>
      <c r="L158" s="24"/>
      <c r="M158" s="24"/>
      <c r="N158" s="24"/>
      <c r="O158" s="24"/>
      <c r="P158" s="24"/>
      <c r="Q158" s="24"/>
      <c r="R158" s="24"/>
      <c r="S158" s="25">
        <f t="shared" si="14"/>
        <v>0</v>
      </c>
      <c r="T158" s="25">
        <f>COUNTIF($V$4:V158,V158)</f>
        <v>15</v>
      </c>
      <c r="U158" s="25" t="str">
        <f>IF(T158=1,COUNTIF($T$4:T158,1),"")</f>
        <v/>
      </c>
      <c r="V158" s="26" t="str">
        <f>'施設状況(要更新)'!$E158&amp;'施設状況(要更新)'!$C158</f>
        <v/>
      </c>
      <c r="W158" s="26">
        <f>'施設状況(要更新)'!$F158</f>
        <v>0</v>
      </c>
      <c r="X158" s="27"/>
      <c r="Y158" s="26"/>
    </row>
    <row r="159" spans="1:33">
      <c r="A159" s="30"/>
      <c r="B159" s="24"/>
      <c r="C159" s="24"/>
      <c r="D159" s="24"/>
      <c r="E159" s="24"/>
      <c r="F159" s="24"/>
      <c r="G159" s="24"/>
      <c r="H159" s="24"/>
      <c r="I159" s="24"/>
      <c r="J159" s="24"/>
      <c r="K159" s="24"/>
      <c r="L159" s="24"/>
      <c r="M159" s="24"/>
      <c r="N159" s="24"/>
      <c r="O159" s="24"/>
      <c r="P159" s="24"/>
      <c r="Q159" s="24"/>
      <c r="R159" s="24"/>
      <c r="S159" s="25">
        <f t="shared" si="14"/>
        <v>0</v>
      </c>
      <c r="T159" s="25">
        <f>COUNTIF($V$4:V159,V159)</f>
        <v>16</v>
      </c>
      <c r="U159" s="25" t="str">
        <f>IF(T159=1,COUNTIF($T$4:T159,1),"")</f>
        <v/>
      </c>
      <c r="V159" s="26" t="str">
        <f>'施設状況(要更新)'!$E159&amp;'施設状況(要更新)'!$C159</f>
        <v/>
      </c>
      <c r="W159" s="26">
        <f>'施設状況(要更新)'!$F159</f>
        <v>0</v>
      </c>
      <c r="X159" s="27"/>
      <c r="Y159" s="26"/>
    </row>
    <row r="160" spans="1:33">
      <c r="A160" s="30"/>
      <c r="B160" s="24"/>
      <c r="C160" s="24"/>
      <c r="D160" s="24"/>
      <c r="E160" s="24"/>
      <c r="F160" s="24"/>
      <c r="G160" s="24"/>
      <c r="H160" s="24"/>
      <c r="I160" s="24"/>
      <c r="J160" s="24"/>
      <c r="K160" s="24"/>
      <c r="L160" s="24"/>
      <c r="M160" s="24"/>
      <c r="N160" s="24"/>
      <c r="O160" s="24"/>
      <c r="P160" s="24"/>
      <c r="Q160" s="24"/>
      <c r="R160" s="24"/>
      <c r="S160" s="25">
        <f t="shared" si="14"/>
        <v>0</v>
      </c>
      <c r="T160" s="25">
        <f>COUNTIF($V$4:V160,V160)</f>
        <v>17</v>
      </c>
      <c r="U160" s="25" t="str">
        <f>IF(T160=1,COUNTIF($T$4:T160,1),"")</f>
        <v/>
      </c>
      <c r="V160" s="26" t="str">
        <f>'施設状況(要更新)'!$E160&amp;'施設状況(要更新)'!$C160</f>
        <v/>
      </c>
      <c r="W160" s="26">
        <f>'施設状況(要更新)'!$F160</f>
        <v>0</v>
      </c>
      <c r="X160" s="27"/>
      <c r="Y160" s="26"/>
    </row>
    <row r="161" spans="1:33">
      <c r="A161" s="30"/>
      <c r="B161" s="24"/>
      <c r="C161" s="24"/>
      <c r="D161" s="24"/>
      <c r="E161" s="24"/>
      <c r="F161" s="24"/>
      <c r="G161" s="24"/>
      <c r="H161" s="24"/>
      <c r="I161" s="24"/>
      <c r="J161" s="24"/>
      <c r="K161" s="24"/>
      <c r="L161" s="24"/>
      <c r="M161" s="24"/>
      <c r="N161" s="24"/>
      <c r="O161" s="24"/>
      <c r="P161" s="24"/>
      <c r="Q161" s="24"/>
      <c r="R161" s="24"/>
      <c r="S161" s="25">
        <f t="shared" si="14"/>
        <v>0</v>
      </c>
      <c r="T161" s="25">
        <f>COUNTIF($V$4:V161,V161)</f>
        <v>18</v>
      </c>
      <c r="U161" s="25" t="str">
        <f>IF(T161=1,COUNTIF($T$4:T161,1),"")</f>
        <v/>
      </c>
      <c r="V161" s="26" t="str">
        <f>'施設状況(要更新)'!$E161&amp;'施設状況(要更新)'!$C161</f>
        <v/>
      </c>
      <c r="W161" s="26">
        <f>'施設状況(要更新)'!$F161</f>
        <v>0</v>
      </c>
      <c r="X161" s="27"/>
      <c r="Y161" s="26"/>
    </row>
    <row r="162" spans="1:33">
      <c r="A162" s="30"/>
      <c r="B162" s="24"/>
      <c r="C162" s="24"/>
      <c r="D162" s="24"/>
      <c r="E162" s="24"/>
      <c r="F162" s="24"/>
      <c r="G162" s="24"/>
      <c r="H162" s="24"/>
      <c r="I162" s="24"/>
      <c r="J162" s="24"/>
      <c r="K162" s="24"/>
      <c r="L162" s="24"/>
      <c r="M162" s="24"/>
      <c r="N162" s="24"/>
      <c r="O162" s="24"/>
      <c r="P162" s="24"/>
      <c r="Q162" s="24"/>
      <c r="R162" s="24"/>
      <c r="S162" s="25">
        <f t="shared" si="14"/>
        <v>0</v>
      </c>
      <c r="T162" s="25">
        <f>COUNTIF($V$4:V162,V162)</f>
        <v>19</v>
      </c>
      <c r="U162" s="25" t="str">
        <f>IF(T162=1,COUNTIF($T$4:T162,1),"")</f>
        <v/>
      </c>
      <c r="V162" s="26" t="str">
        <f>'施設状況(要更新)'!$E162&amp;'施設状況(要更新)'!$C162</f>
        <v/>
      </c>
      <c r="W162" s="26">
        <f>'施設状況(要更新)'!$F162</f>
        <v>0</v>
      </c>
      <c r="X162" s="27"/>
      <c r="Y162" s="26"/>
    </row>
    <row r="163" spans="1:33">
      <c r="A163" s="30"/>
      <c r="B163" s="24"/>
      <c r="C163" s="24"/>
      <c r="D163" s="24"/>
      <c r="E163" s="24"/>
      <c r="F163" s="24"/>
      <c r="G163" s="24"/>
      <c r="H163" s="24"/>
      <c r="I163" s="24"/>
      <c r="J163" s="24"/>
      <c r="K163" s="24"/>
      <c r="L163" s="24"/>
      <c r="M163" s="24"/>
      <c r="N163" s="24"/>
      <c r="O163" s="24"/>
      <c r="P163" s="24"/>
      <c r="Q163" s="24"/>
      <c r="R163" s="24"/>
      <c r="S163" s="25">
        <f t="shared" si="14"/>
        <v>0</v>
      </c>
      <c r="T163" s="25">
        <f>COUNTIF($V$4:V163,V163)</f>
        <v>20</v>
      </c>
      <c r="U163" s="25" t="str">
        <f>IF(T163=1,COUNTIF($T$4:T163,1),"")</f>
        <v/>
      </c>
      <c r="V163" s="26" t="str">
        <f>'施設状況(要更新)'!$E163&amp;'施設状況(要更新)'!$C163</f>
        <v/>
      </c>
      <c r="W163" s="26">
        <f>'施設状況(要更新)'!$F163</f>
        <v>0</v>
      </c>
      <c r="X163" s="27"/>
      <c r="Y163" s="26"/>
    </row>
    <row r="164" spans="1:33">
      <c r="A164" s="30"/>
      <c r="B164" s="24"/>
      <c r="C164" s="24"/>
      <c r="D164" s="24"/>
      <c r="E164" s="24"/>
      <c r="F164" s="24"/>
      <c r="G164" s="24"/>
      <c r="H164" s="24"/>
      <c r="I164" s="24"/>
      <c r="J164" s="24"/>
      <c r="K164" s="24"/>
      <c r="L164" s="24"/>
      <c r="M164" s="24"/>
      <c r="N164" s="24"/>
      <c r="O164" s="24"/>
      <c r="P164" s="24"/>
      <c r="Q164" s="24"/>
      <c r="R164" s="24"/>
      <c r="S164" s="25">
        <f t="shared" si="14"/>
        <v>0</v>
      </c>
      <c r="T164" s="25">
        <f>COUNTIF($V$4:V164,V164)</f>
        <v>21</v>
      </c>
      <c r="U164" s="25" t="str">
        <f>IF(T164=1,COUNTIF($T$4:T164,1),"")</f>
        <v/>
      </c>
      <c r="V164" s="26" t="str">
        <f>'施設状況(要更新)'!$E164&amp;'施設状況(要更新)'!$C164</f>
        <v/>
      </c>
      <c r="W164" s="26">
        <f>'施設状況(要更新)'!$F164</f>
        <v>0</v>
      </c>
      <c r="X164" s="27"/>
      <c r="Y164" s="26"/>
    </row>
    <row r="165" spans="1:33">
      <c r="A165" s="30"/>
      <c r="B165" s="24"/>
      <c r="C165" s="24"/>
      <c r="D165" s="24"/>
      <c r="E165" s="24"/>
      <c r="F165" s="24"/>
      <c r="G165" s="24"/>
      <c r="H165" s="24"/>
      <c r="I165" s="24"/>
      <c r="J165" s="24"/>
      <c r="K165" s="24"/>
      <c r="L165" s="24"/>
      <c r="M165" s="24"/>
      <c r="N165" s="24"/>
      <c r="O165" s="24"/>
      <c r="P165" s="24"/>
      <c r="Q165" s="24"/>
      <c r="R165" s="24"/>
      <c r="S165" s="25">
        <f t="shared" si="14"/>
        <v>0</v>
      </c>
      <c r="T165" s="25">
        <f>COUNTIF($V$4:V165,V165)</f>
        <v>22</v>
      </c>
      <c r="U165" s="25" t="str">
        <f>IF(T165=1,COUNTIF($T$4:T165,1),"")</f>
        <v/>
      </c>
      <c r="V165" s="26" t="str">
        <f>'施設状況(要更新)'!$E165&amp;'施設状況(要更新)'!$C165</f>
        <v/>
      </c>
      <c r="W165" s="26">
        <f>'施設状況(要更新)'!$F165</f>
        <v>0</v>
      </c>
      <c r="X165" s="27"/>
      <c r="Y165" s="26"/>
    </row>
    <row r="166" spans="1:33">
      <c r="A166" s="30"/>
      <c r="B166" s="24"/>
      <c r="C166" s="24"/>
      <c r="D166" s="24"/>
      <c r="E166" s="24"/>
      <c r="F166" s="24"/>
      <c r="G166" s="24"/>
      <c r="H166" s="24"/>
      <c r="I166" s="24"/>
      <c r="J166" s="24"/>
      <c r="K166" s="24"/>
      <c r="L166" s="24"/>
      <c r="M166" s="24"/>
      <c r="N166" s="24"/>
      <c r="O166" s="24"/>
      <c r="P166" s="24"/>
      <c r="Q166" s="24"/>
      <c r="R166" s="24"/>
      <c r="S166" s="25">
        <f t="shared" si="14"/>
        <v>0</v>
      </c>
      <c r="T166" s="25">
        <f>COUNTIF($V$4:V166,V166)</f>
        <v>23</v>
      </c>
      <c r="U166" s="25" t="str">
        <f>IF(T166=1,COUNTIF($T$4:T166,1),"")</f>
        <v/>
      </c>
      <c r="V166" s="26" t="str">
        <f>'施設状況(要更新)'!$E166&amp;'施設状況(要更新)'!$C166</f>
        <v/>
      </c>
      <c r="W166" s="26">
        <f>'施設状況(要更新)'!$F166</f>
        <v>0</v>
      </c>
      <c r="X166" s="27"/>
      <c r="Y166" s="26"/>
    </row>
    <row r="167" spans="1:33">
      <c r="A167" s="30"/>
      <c r="B167" s="24"/>
      <c r="C167" s="24"/>
      <c r="D167" s="24"/>
      <c r="E167" s="24"/>
      <c r="F167" s="24"/>
      <c r="G167" s="24"/>
      <c r="H167" s="24"/>
      <c r="I167" s="24"/>
      <c r="J167" s="24"/>
      <c r="K167" s="24"/>
      <c r="L167" s="24"/>
      <c r="M167" s="24"/>
      <c r="N167" s="24"/>
      <c r="O167" s="24"/>
      <c r="P167" s="24"/>
      <c r="Q167" s="24"/>
      <c r="R167" s="24"/>
      <c r="S167" s="25">
        <f t="shared" si="14"/>
        <v>0</v>
      </c>
      <c r="T167" s="25">
        <f>COUNTIF($V$4:V167,V167)</f>
        <v>24</v>
      </c>
      <c r="U167" s="25" t="str">
        <f>IF(T167=1,COUNTIF($T$4:T167,1),"")</f>
        <v/>
      </c>
      <c r="V167" s="26" t="str">
        <f>'施設状況(要更新)'!$E167&amp;'施設状況(要更新)'!$C167</f>
        <v/>
      </c>
      <c r="W167" s="26">
        <f>'施設状況(要更新)'!$F167</f>
        <v>0</v>
      </c>
      <c r="X167" s="27"/>
      <c r="Y167" s="26"/>
    </row>
    <row r="168" spans="1:33">
      <c r="A168" s="30"/>
      <c r="B168" s="24"/>
      <c r="C168" s="24"/>
      <c r="D168" s="24"/>
      <c r="E168" s="24"/>
      <c r="F168" s="24"/>
      <c r="G168" s="24"/>
      <c r="H168" s="24"/>
      <c r="I168" s="24"/>
      <c r="J168" s="24"/>
      <c r="K168" s="24"/>
      <c r="L168" s="24"/>
      <c r="M168" s="24"/>
      <c r="N168" s="24"/>
      <c r="O168" s="24"/>
      <c r="P168" s="24"/>
      <c r="Q168" s="24"/>
      <c r="R168" s="24"/>
      <c r="S168" s="25">
        <f t="shared" si="14"/>
        <v>0</v>
      </c>
      <c r="T168" s="25">
        <f>COUNTIF($V$4:V168,V168)</f>
        <v>25</v>
      </c>
      <c r="U168" s="25" t="str">
        <f>IF(T168=1,COUNTIF($T$4:T168,1),"")</f>
        <v/>
      </c>
      <c r="V168" s="26" t="str">
        <f>'施設状況(要更新)'!$E168&amp;'施設状況(要更新)'!$C168</f>
        <v/>
      </c>
      <c r="W168" s="26">
        <f>'施設状況(要更新)'!$F168</f>
        <v>0</v>
      </c>
      <c r="X168" s="27"/>
      <c r="Y168" s="26"/>
      <c r="Z168" s="26"/>
      <c r="AA168" s="26"/>
      <c r="AB168" s="26"/>
      <c r="AC168" s="26"/>
      <c r="AD168" s="26"/>
      <c r="AE168" s="26"/>
      <c r="AF168" s="26"/>
      <c r="AG168" s="26"/>
    </row>
    <row r="169" spans="1:33">
      <c r="A169" s="30"/>
      <c r="B169" s="24"/>
      <c r="C169" s="24"/>
      <c r="D169" s="24"/>
      <c r="E169" s="24"/>
      <c r="F169" s="24"/>
      <c r="G169" s="24"/>
      <c r="H169" s="24"/>
      <c r="I169" s="24"/>
      <c r="J169" s="24"/>
      <c r="K169" s="24"/>
      <c r="L169" s="24"/>
      <c r="M169" s="24"/>
      <c r="N169" s="24"/>
      <c r="O169" s="24"/>
      <c r="P169" s="24"/>
      <c r="Q169" s="24"/>
      <c r="R169" s="24"/>
      <c r="S169" s="25">
        <f t="shared" si="14"/>
        <v>0</v>
      </c>
      <c r="T169" s="25">
        <f>COUNTIF($V$4:V169,V169)</f>
        <v>26</v>
      </c>
      <c r="U169" s="25" t="str">
        <f>IF(T169=1,COUNTIF($T$4:T169,1),"")</f>
        <v/>
      </c>
      <c r="V169" s="26" t="str">
        <f>'施設状況(要更新)'!$E169&amp;'施設状況(要更新)'!$C169</f>
        <v/>
      </c>
      <c r="W169" s="26">
        <f>'施設状況(要更新)'!$F169</f>
        <v>0</v>
      </c>
      <c r="X169" s="27"/>
      <c r="Y169" s="26"/>
    </row>
    <row r="170" spans="1:33">
      <c r="A170" s="30"/>
      <c r="B170" s="24"/>
      <c r="C170" s="24"/>
      <c r="D170" s="24"/>
      <c r="E170" s="24"/>
      <c r="F170" s="24"/>
      <c r="G170" s="24"/>
      <c r="H170" s="24"/>
      <c r="I170" s="24"/>
      <c r="J170" s="24"/>
      <c r="K170" s="24"/>
      <c r="L170" s="24"/>
      <c r="M170" s="24"/>
      <c r="N170" s="24"/>
      <c r="O170" s="24"/>
      <c r="P170" s="24"/>
      <c r="Q170" s="24"/>
      <c r="R170" s="24"/>
      <c r="S170" s="25">
        <f t="shared" si="14"/>
        <v>0</v>
      </c>
      <c r="T170" s="25">
        <f>COUNTIF($V$4:V170,V170)</f>
        <v>27</v>
      </c>
      <c r="U170" s="25" t="str">
        <f>IF(T170=1,COUNTIF($T$4:T170,1),"")</f>
        <v/>
      </c>
      <c r="V170" s="26" t="str">
        <f>'施設状況(要更新)'!$E170&amp;'施設状況(要更新)'!$C170</f>
        <v/>
      </c>
      <c r="W170" s="26">
        <f>'施設状況(要更新)'!$F170</f>
        <v>0</v>
      </c>
      <c r="X170" s="27"/>
      <c r="Y170" s="26"/>
    </row>
    <row r="171" spans="1:33">
      <c r="A171" s="30"/>
      <c r="B171" s="24"/>
      <c r="C171" s="24"/>
      <c r="D171" s="24"/>
      <c r="E171" s="24"/>
      <c r="F171" s="24"/>
      <c r="G171" s="24"/>
      <c r="H171" s="24"/>
      <c r="I171" s="24"/>
      <c r="J171" s="24"/>
      <c r="K171" s="24"/>
      <c r="L171" s="24"/>
      <c r="M171" s="24"/>
      <c r="N171" s="24"/>
      <c r="O171" s="24"/>
      <c r="P171" s="24"/>
      <c r="Q171" s="24"/>
      <c r="R171" s="24"/>
      <c r="S171" s="25">
        <f t="shared" si="14"/>
        <v>0</v>
      </c>
      <c r="T171" s="25">
        <f>COUNTIF($V$4:V171,V171)</f>
        <v>28</v>
      </c>
      <c r="U171" s="25" t="str">
        <f>IF(T171=1,COUNTIF($T$4:T171,1),"")</f>
        <v/>
      </c>
      <c r="V171" s="26" t="str">
        <f>'施設状況(要更新)'!$E171&amp;'施設状況(要更新)'!$C171</f>
        <v/>
      </c>
      <c r="W171" s="26">
        <f>'施設状況(要更新)'!$F171</f>
        <v>0</v>
      </c>
      <c r="X171" s="27"/>
      <c r="Y171" s="26"/>
    </row>
    <row r="172" spans="1:33">
      <c r="A172" s="30"/>
      <c r="B172" s="24"/>
      <c r="C172" s="24"/>
      <c r="D172" s="24"/>
      <c r="E172" s="24"/>
      <c r="F172" s="24"/>
      <c r="G172" s="24"/>
      <c r="H172" s="24"/>
      <c r="I172" s="24"/>
      <c r="J172" s="24"/>
      <c r="K172" s="24"/>
      <c r="L172" s="24"/>
      <c r="M172" s="24"/>
      <c r="N172" s="24"/>
      <c r="O172" s="24"/>
      <c r="P172" s="24"/>
      <c r="Q172" s="24"/>
      <c r="R172" s="24"/>
      <c r="S172" s="25">
        <f t="shared" si="14"/>
        <v>0</v>
      </c>
      <c r="T172" s="25">
        <f>COUNTIF($V$4:V172,V172)</f>
        <v>29</v>
      </c>
      <c r="U172" s="25" t="str">
        <f>IF(T172=1,COUNTIF($T$4:T172,1),"")</f>
        <v/>
      </c>
      <c r="V172" s="26" t="str">
        <f>'施設状況(要更新)'!$E172&amp;'施設状況(要更新)'!$C172</f>
        <v/>
      </c>
      <c r="W172" s="26">
        <f>'施設状況(要更新)'!$F172</f>
        <v>0</v>
      </c>
      <c r="X172" s="27"/>
      <c r="Y172" s="26"/>
    </row>
    <row r="173" spans="1:33">
      <c r="A173" s="30"/>
      <c r="B173" s="24"/>
      <c r="C173" s="24"/>
      <c r="D173" s="24"/>
      <c r="E173" s="24"/>
      <c r="F173" s="24"/>
      <c r="G173" s="24"/>
      <c r="H173" s="24"/>
      <c r="I173" s="24"/>
      <c r="J173" s="24"/>
      <c r="K173" s="24"/>
      <c r="L173" s="24"/>
      <c r="M173" s="24"/>
      <c r="N173" s="24"/>
      <c r="O173" s="24"/>
      <c r="P173" s="24"/>
      <c r="Q173" s="24"/>
      <c r="R173" s="24"/>
      <c r="S173" s="25">
        <f t="shared" si="14"/>
        <v>0</v>
      </c>
      <c r="T173" s="25">
        <f>COUNTIF($V$4:V173,V173)</f>
        <v>30</v>
      </c>
      <c r="U173" s="25" t="str">
        <f>IF(T173=1,COUNTIF($T$4:T173,1),"")</f>
        <v/>
      </c>
      <c r="V173" s="26" t="str">
        <f>'施設状況(要更新)'!$E173&amp;'施設状況(要更新)'!$C173</f>
        <v/>
      </c>
      <c r="W173" s="26">
        <f>'施設状況(要更新)'!$F173</f>
        <v>0</v>
      </c>
      <c r="X173" s="27"/>
      <c r="Y173" s="26"/>
    </row>
    <row r="174" spans="1:33">
      <c r="A174" s="30"/>
      <c r="B174" s="24"/>
      <c r="C174" s="24"/>
      <c r="D174" s="24"/>
      <c r="E174" s="24"/>
      <c r="F174" s="24"/>
      <c r="G174" s="24"/>
      <c r="H174" s="24"/>
      <c r="I174" s="24"/>
      <c r="J174" s="24"/>
      <c r="K174" s="24"/>
      <c r="L174" s="24"/>
      <c r="M174" s="24"/>
      <c r="N174" s="24"/>
      <c r="O174" s="24"/>
      <c r="P174" s="24"/>
      <c r="Q174" s="24"/>
      <c r="R174" s="24"/>
      <c r="S174" s="25">
        <f t="shared" si="14"/>
        <v>0</v>
      </c>
      <c r="T174" s="25">
        <f>COUNTIF($V$4:V174,V174)</f>
        <v>31</v>
      </c>
      <c r="U174" s="25" t="str">
        <f>IF(T174=1,COUNTIF($T$4:T174,1),"")</f>
        <v/>
      </c>
      <c r="V174" s="26" t="str">
        <f>'施設状況(要更新)'!$E174&amp;'施設状況(要更新)'!$C174</f>
        <v/>
      </c>
      <c r="W174" s="26">
        <f>'施設状況(要更新)'!$F174</f>
        <v>0</v>
      </c>
      <c r="X174" s="27"/>
      <c r="Y174" s="26"/>
    </row>
    <row r="175" spans="1:33">
      <c r="A175" s="30"/>
      <c r="B175" s="24"/>
      <c r="C175" s="24"/>
      <c r="D175" s="24"/>
      <c r="E175" s="24"/>
      <c r="F175" s="24"/>
      <c r="G175" s="24"/>
      <c r="H175" s="24"/>
      <c r="I175" s="24"/>
      <c r="J175" s="24"/>
      <c r="K175" s="24"/>
      <c r="L175" s="24"/>
      <c r="M175" s="24"/>
      <c r="N175" s="24"/>
      <c r="O175" s="24"/>
      <c r="P175" s="24"/>
      <c r="Q175" s="24"/>
      <c r="R175" s="24"/>
      <c r="S175" s="25">
        <f t="shared" si="14"/>
        <v>0</v>
      </c>
      <c r="T175" s="25">
        <f>COUNTIF($V$4:V175,V175)</f>
        <v>32</v>
      </c>
      <c r="U175" s="25" t="str">
        <f>IF(T175=1,COUNTIF($T$4:T175,1),"")</f>
        <v/>
      </c>
      <c r="V175" s="26" t="str">
        <f>'施設状況(要更新)'!$E175&amp;'施設状況(要更新)'!$C175</f>
        <v/>
      </c>
      <c r="W175" s="26">
        <f>'施設状況(要更新)'!$F175</f>
        <v>0</v>
      </c>
      <c r="X175" s="27"/>
      <c r="Y175" s="26"/>
    </row>
    <row r="176" spans="1:33">
      <c r="A176" s="30"/>
      <c r="B176" s="24"/>
      <c r="C176" s="24"/>
      <c r="D176" s="24"/>
      <c r="E176" s="24"/>
      <c r="F176" s="24"/>
      <c r="G176" s="24"/>
      <c r="H176" s="24"/>
      <c r="I176" s="24"/>
      <c r="J176" s="24"/>
      <c r="K176" s="24"/>
      <c r="L176" s="24"/>
      <c r="M176" s="24"/>
      <c r="N176" s="24"/>
      <c r="O176" s="24"/>
      <c r="P176" s="24"/>
      <c r="Q176" s="24"/>
      <c r="R176" s="24"/>
      <c r="S176" s="25">
        <f t="shared" si="14"/>
        <v>0</v>
      </c>
      <c r="T176" s="25">
        <f>COUNTIF($V$4:V176,V176)</f>
        <v>33</v>
      </c>
      <c r="U176" s="25" t="str">
        <f>IF(T176=1,COUNTIF($T$4:T176,1),"")</f>
        <v/>
      </c>
      <c r="V176" s="26" t="str">
        <f>'施設状況(要更新)'!$E176&amp;'施設状況(要更新)'!$C176</f>
        <v/>
      </c>
      <c r="W176" s="26">
        <f>'施設状況(要更新)'!$F176</f>
        <v>0</v>
      </c>
      <c r="X176" s="27"/>
      <c r="Y176" s="26"/>
    </row>
    <row r="177" spans="1:25">
      <c r="A177" s="30"/>
      <c r="B177" s="24"/>
      <c r="C177" s="24"/>
      <c r="D177" s="24"/>
      <c r="E177" s="24"/>
      <c r="F177" s="24"/>
      <c r="G177" s="24"/>
      <c r="H177" s="24"/>
      <c r="I177" s="24"/>
      <c r="J177" s="24"/>
      <c r="K177" s="24"/>
      <c r="L177" s="24"/>
      <c r="M177" s="24"/>
      <c r="N177" s="24"/>
      <c r="O177" s="24"/>
      <c r="P177" s="24"/>
      <c r="Q177" s="24"/>
      <c r="R177" s="24"/>
      <c r="S177" s="25">
        <f t="shared" si="14"/>
        <v>0</v>
      </c>
      <c r="T177" s="25">
        <f>COUNTIF($V$4:V177,V177)</f>
        <v>34</v>
      </c>
      <c r="U177" s="25" t="str">
        <f>IF(T177=1,COUNTIF($T$4:T177,1),"")</f>
        <v/>
      </c>
      <c r="V177" s="26" t="str">
        <f>'施設状況(要更新)'!$E177&amp;'施設状況(要更新)'!$C177</f>
        <v/>
      </c>
      <c r="W177" s="26">
        <f>'施設状況(要更新)'!$F177</f>
        <v>0</v>
      </c>
      <c r="X177" s="27"/>
      <c r="Y177" s="26"/>
    </row>
    <row r="178" spans="1:25">
      <c r="A178" s="30"/>
      <c r="B178" s="24"/>
      <c r="C178" s="24"/>
      <c r="D178" s="24"/>
      <c r="E178" s="24"/>
      <c r="F178" s="24"/>
      <c r="G178" s="24"/>
      <c r="H178" s="24"/>
      <c r="I178" s="24"/>
      <c r="J178" s="24"/>
      <c r="K178" s="24"/>
      <c r="L178" s="24"/>
      <c r="M178" s="24"/>
      <c r="N178" s="24"/>
      <c r="O178" s="24"/>
      <c r="P178" s="24"/>
      <c r="Q178" s="24"/>
      <c r="R178" s="24"/>
      <c r="S178" s="25">
        <f t="shared" si="14"/>
        <v>0</v>
      </c>
      <c r="T178" s="25">
        <f>COUNTIF($V$4:V178,V178)</f>
        <v>35</v>
      </c>
      <c r="U178" s="25" t="str">
        <f>IF(T178=1,COUNTIF($T$4:T178,1),"")</f>
        <v/>
      </c>
      <c r="V178" s="26" t="str">
        <f>'施設状況(要更新)'!$E178&amp;'施設状況(要更新)'!$C178</f>
        <v/>
      </c>
      <c r="W178" s="26">
        <f>'施設状況(要更新)'!$F178</f>
        <v>0</v>
      </c>
      <c r="X178" s="27"/>
      <c r="Y178" s="26"/>
    </row>
    <row r="179" spans="1:25">
      <c r="A179" s="30"/>
      <c r="B179" s="24"/>
      <c r="C179" s="24"/>
      <c r="D179" s="24"/>
      <c r="E179" s="24"/>
      <c r="F179" s="24"/>
      <c r="G179" s="24"/>
      <c r="H179" s="24"/>
      <c r="I179" s="24"/>
      <c r="J179" s="24"/>
      <c r="K179" s="24"/>
      <c r="L179" s="24"/>
      <c r="M179" s="24"/>
      <c r="N179" s="24"/>
      <c r="O179" s="24"/>
      <c r="P179" s="24"/>
      <c r="Q179" s="24"/>
      <c r="R179" s="24"/>
      <c r="S179" s="25">
        <f t="shared" si="14"/>
        <v>0</v>
      </c>
      <c r="T179" s="25">
        <f>COUNTIF($V$4:V179,V179)</f>
        <v>36</v>
      </c>
      <c r="U179" s="25" t="str">
        <f>IF(T179=1,COUNTIF($T$4:T179,1),"")</f>
        <v/>
      </c>
      <c r="V179" s="26" t="str">
        <f>'施設状況(要更新)'!$E179&amp;'施設状況(要更新)'!$C179</f>
        <v/>
      </c>
      <c r="W179" s="26">
        <f>'施設状況(要更新)'!$F179</f>
        <v>0</v>
      </c>
      <c r="X179" s="27"/>
      <c r="Y179" s="26"/>
    </row>
    <row r="180" spans="1:25">
      <c r="A180" s="30"/>
      <c r="B180" s="24"/>
      <c r="C180" s="24"/>
      <c r="D180" s="24"/>
      <c r="E180" s="24"/>
      <c r="F180" s="24"/>
      <c r="G180" s="24"/>
      <c r="H180" s="24"/>
      <c r="I180" s="24"/>
      <c r="J180" s="24"/>
      <c r="K180" s="24"/>
      <c r="L180" s="24"/>
      <c r="M180" s="24"/>
      <c r="N180" s="24"/>
      <c r="O180" s="24"/>
      <c r="P180" s="24"/>
      <c r="Q180" s="24"/>
      <c r="R180" s="24"/>
      <c r="S180" s="25">
        <f t="shared" si="14"/>
        <v>0</v>
      </c>
      <c r="T180" s="25">
        <f>COUNTIF($V$4:V180,V180)</f>
        <v>37</v>
      </c>
      <c r="U180" s="25" t="str">
        <f>IF(T180=1,COUNTIF($T$4:T180,1),"")</f>
        <v/>
      </c>
      <c r="V180" s="26" t="str">
        <f>'施設状況(要更新)'!$E180&amp;'施設状況(要更新)'!$C180</f>
        <v/>
      </c>
      <c r="W180" s="26">
        <f>'施設状況(要更新)'!$F180</f>
        <v>0</v>
      </c>
      <c r="X180" s="27"/>
      <c r="Y180" s="26"/>
    </row>
    <row r="181" spans="1:25">
      <c r="A181" s="30"/>
      <c r="B181" s="24"/>
      <c r="C181" s="24"/>
      <c r="D181" s="24"/>
      <c r="E181" s="24"/>
      <c r="F181" s="24"/>
      <c r="G181" s="24"/>
      <c r="H181" s="24"/>
      <c r="I181" s="24"/>
      <c r="J181" s="24"/>
      <c r="K181" s="24"/>
      <c r="L181" s="24"/>
      <c r="M181" s="24"/>
      <c r="N181" s="24"/>
      <c r="O181" s="24"/>
      <c r="P181" s="24"/>
      <c r="Q181" s="24"/>
      <c r="R181" s="24"/>
      <c r="S181" s="25">
        <f t="shared" si="14"/>
        <v>0</v>
      </c>
      <c r="T181" s="25">
        <f>COUNTIF($V$4:V181,V181)</f>
        <v>38</v>
      </c>
      <c r="U181" s="25" t="str">
        <f>IF(T181=1,COUNTIF($T$4:T181,1),"")</f>
        <v/>
      </c>
      <c r="V181" s="26" t="str">
        <f>'施設状況(要更新)'!$E181&amp;'施設状況(要更新)'!$C181</f>
        <v/>
      </c>
      <c r="W181" s="26">
        <f>'施設状況(要更新)'!$F181</f>
        <v>0</v>
      </c>
      <c r="X181" s="27"/>
      <c r="Y181" s="26"/>
    </row>
    <row r="182" spans="1:25">
      <c r="A182" s="30"/>
      <c r="B182" s="24"/>
      <c r="C182" s="24"/>
      <c r="D182" s="24"/>
      <c r="E182" s="24"/>
      <c r="F182" s="24"/>
      <c r="G182" s="24"/>
      <c r="H182" s="24"/>
      <c r="I182" s="24"/>
      <c r="J182" s="24"/>
      <c r="K182" s="24"/>
      <c r="L182" s="24"/>
      <c r="M182" s="24"/>
      <c r="N182" s="24"/>
      <c r="O182" s="24"/>
      <c r="P182" s="24"/>
      <c r="Q182" s="24"/>
      <c r="R182" s="24"/>
      <c r="S182" s="25">
        <f t="shared" si="14"/>
        <v>0</v>
      </c>
      <c r="T182" s="25">
        <f>COUNTIF($V$4:V182,V182)</f>
        <v>39</v>
      </c>
      <c r="U182" s="25" t="str">
        <f>IF(T182=1,COUNTIF($T$4:T182,1),"")</f>
        <v/>
      </c>
      <c r="V182" s="26" t="str">
        <f>'施設状況(要更新)'!$E182&amp;'施設状況(要更新)'!$C182</f>
        <v/>
      </c>
      <c r="W182" s="26">
        <f>'施設状況(要更新)'!$F182</f>
        <v>0</v>
      </c>
      <c r="X182" s="27"/>
      <c r="Y182" s="26"/>
    </row>
    <row r="183" spans="1:25">
      <c r="A183" s="30"/>
      <c r="B183" s="24"/>
      <c r="C183" s="24"/>
      <c r="D183" s="24"/>
      <c r="E183" s="24"/>
      <c r="F183" s="24"/>
      <c r="G183" s="24"/>
      <c r="H183" s="24"/>
      <c r="I183" s="24"/>
      <c r="J183" s="24"/>
      <c r="K183" s="24"/>
      <c r="L183" s="24"/>
      <c r="M183" s="24"/>
      <c r="N183" s="24"/>
      <c r="O183" s="24"/>
      <c r="P183" s="24"/>
      <c r="Q183" s="24"/>
      <c r="R183" s="24"/>
      <c r="S183" s="25">
        <f t="shared" si="14"/>
        <v>0</v>
      </c>
      <c r="T183" s="25">
        <f>COUNTIF($V$4:V183,V183)</f>
        <v>40</v>
      </c>
      <c r="U183" s="25" t="str">
        <f>IF(T183=1,COUNTIF($T$4:T183,1),"")</f>
        <v/>
      </c>
      <c r="V183" s="26" t="str">
        <f>'施設状況(要更新)'!$E183&amp;'施設状況(要更新)'!$C183</f>
        <v/>
      </c>
      <c r="W183" s="26">
        <f>'施設状況(要更新)'!$F183</f>
        <v>0</v>
      </c>
      <c r="X183" s="27"/>
      <c r="Y183" s="26"/>
    </row>
    <row r="184" spans="1:25">
      <c r="A184" s="30"/>
      <c r="B184" s="24"/>
      <c r="C184" s="24"/>
      <c r="D184" s="24"/>
      <c r="E184" s="24"/>
      <c r="F184" s="24"/>
      <c r="G184" s="24"/>
      <c r="H184" s="24"/>
      <c r="I184" s="24"/>
      <c r="J184" s="24"/>
      <c r="K184" s="24"/>
      <c r="L184" s="24"/>
      <c r="M184" s="24"/>
      <c r="N184" s="24"/>
      <c r="O184" s="24"/>
      <c r="P184" s="24"/>
      <c r="Q184" s="24"/>
      <c r="R184" s="24"/>
      <c r="S184" s="25">
        <f t="shared" si="14"/>
        <v>0</v>
      </c>
      <c r="T184" s="25">
        <f>COUNTIF($V$4:V184,V184)</f>
        <v>41</v>
      </c>
      <c r="U184" s="25" t="str">
        <f>IF(T184=1,COUNTIF($T$4:T184,1),"")</f>
        <v/>
      </c>
      <c r="V184" s="26" t="str">
        <f>'施設状況(要更新)'!$E184&amp;'施設状況(要更新)'!$C184</f>
        <v/>
      </c>
      <c r="W184" s="26">
        <f>'施設状況(要更新)'!$F184</f>
        <v>0</v>
      </c>
      <c r="X184" s="27"/>
      <c r="Y184" s="26"/>
    </row>
    <row r="185" spans="1:25">
      <c r="A185" s="30"/>
      <c r="B185" s="24"/>
      <c r="C185" s="24"/>
      <c r="D185" s="24"/>
      <c r="E185" s="24"/>
      <c r="F185" s="24"/>
      <c r="G185" s="24"/>
      <c r="H185" s="24"/>
      <c r="I185" s="24"/>
      <c r="J185" s="24"/>
      <c r="K185" s="24"/>
      <c r="L185" s="24"/>
      <c r="M185" s="24"/>
      <c r="N185" s="24"/>
      <c r="O185" s="24"/>
      <c r="P185" s="24"/>
      <c r="Q185" s="24"/>
      <c r="R185" s="24"/>
      <c r="S185" s="25">
        <f t="shared" si="14"/>
        <v>0</v>
      </c>
      <c r="T185" s="25">
        <f>COUNTIF($V$4:V185,V185)</f>
        <v>42</v>
      </c>
      <c r="U185" s="25" t="str">
        <f>IF(T185=1,COUNTIF($T$4:T185,1),"")</f>
        <v/>
      </c>
      <c r="V185" s="26" t="str">
        <f>'施設状況(要更新)'!$E185&amp;'施設状況(要更新)'!$C185</f>
        <v/>
      </c>
      <c r="W185" s="26">
        <f>'施設状況(要更新)'!$F185</f>
        <v>0</v>
      </c>
      <c r="X185" s="27"/>
      <c r="Y185" s="26"/>
    </row>
    <row r="186" spans="1:25">
      <c r="A186" s="30"/>
      <c r="B186" s="24"/>
      <c r="C186" s="24"/>
      <c r="D186" s="24"/>
      <c r="E186" s="24"/>
      <c r="F186" s="24"/>
      <c r="G186" s="24"/>
      <c r="H186" s="24"/>
      <c r="I186" s="24"/>
      <c r="J186" s="24"/>
      <c r="K186" s="24"/>
      <c r="L186" s="24"/>
      <c r="M186" s="24"/>
      <c r="N186" s="24"/>
      <c r="O186" s="24"/>
      <c r="P186" s="24"/>
      <c r="Q186" s="24"/>
      <c r="R186" s="24"/>
      <c r="S186" s="25">
        <f t="shared" si="14"/>
        <v>0</v>
      </c>
      <c r="T186" s="25">
        <f>COUNTIF($V$4:V186,V186)</f>
        <v>43</v>
      </c>
      <c r="U186" s="25" t="str">
        <f>IF(T186=1,COUNTIF($T$4:T186,1),"")</f>
        <v/>
      </c>
      <c r="V186" s="26" t="str">
        <f>'施設状況(要更新)'!$E186&amp;'施設状況(要更新)'!$C186</f>
        <v/>
      </c>
      <c r="W186" s="26">
        <f>'施設状況(要更新)'!$F186</f>
        <v>0</v>
      </c>
      <c r="X186" s="27"/>
      <c r="Y186" s="26"/>
    </row>
    <row r="187" spans="1:25">
      <c r="A187" s="30"/>
      <c r="B187" s="24"/>
      <c r="C187" s="24"/>
      <c r="D187" s="24"/>
      <c r="E187" s="24"/>
      <c r="F187" s="24"/>
      <c r="G187" s="24"/>
      <c r="H187" s="24"/>
      <c r="I187" s="24"/>
      <c r="J187" s="24"/>
      <c r="K187" s="24"/>
      <c r="L187" s="24"/>
      <c r="M187" s="24"/>
      <c r="N187" s="24"/>
      <c r="O187" s="24"/>
      <c r="P187" s="24"/>
      <c r="Q187" s="24"/>
      <c r="R187" s="24"/>
      <c r="S187" s="25">
        <f t="shared" si="14"/>
        <v>0</v>
      </c>
      <c r="T187" s="25">
        <f>COUNTIF($V$4:V187,V187)</f>
        <v>44</v>
      </c>
      <c r="U187" s="25" t="str">
        <f>IF(T187=1,COUNTIF($T$4:T187,1),"")</f>
        <v/>
      </c>
      <c r="V187" s="26" t="str">
        <f>'施設状況(要更新)'!$E187&amp;'施設状況(要更新)'!$C187</f>
        <v/>
      </c>
      <c r="W187" s="26">
        <f>'施設状況(要更新)'!$F187</f>
        <v>0</v>
      </c>
      <c r="X187" s="27"/>
      <c r="Y187" s="26"/>
    </row>
    <row r="188" spans="1:25">
      <c r="A188" s="30"/>
      <c r="B188" s="24"/>
      <c r="C188" s="24"/>
      <c r="D188" s="24"/>
      <c r="E188" s="24"/>
      <c r="F188" s="24"/>
      <c r="G188" s="24"/>
      <c r="H188" s="24"/>
      <c r="I188" s="24"/>
      <c r="J188" s="24"/>
      <c r="K188" s="24"/>
      <c r="L188" s="24"/>
      <c r="M188" s="24"/>
      <c r="N188" s="24"/>
      <c r="O188" s="24"/>
      <c r="P188" s="24"/>
      <c r="Q188" s="24"/>
      <c r="R188" s="24"/>
      <c r="S188" s="25">
        <f t="shared" si="14"/>
        <v>0</v>
      </c>
      <c r="T188" s="25">
        <f>COUNTIF($V$4:V188,V188)</f>
        <v>45</v>
      </c>
      <c r="U188" s="25" t="str">
        <f>IF(T188=1,COUNTIF($T$4:T188,1),"")</f>
        <v/>
      </c>
      <c r="V188" s="26" t="str">
        <f>'施設状況(要更新)'!$E188&amp;'施設状況(要更新)'!$C188</f>
        <v/>
      </c>
      <c r="W188" s="26">
        <f>'施設状況(要更新)'!$F188</f>
        <v>0</v>
      </c>
      <c r="X188" s="27"/>
      <c r="Y188" s="26"/>
    </row>
    <row r="189" spans="1:25">
      <c r="A189" s="30"/>
      <c r="B189" s="24"/>
      <c r="C189" s="24"/>
      <c r="D189" s="24"/>
      <c r="E189" s="24"/>
      <c r="F189" s="24"/>
      <c r="G189" s="24"/>
      <c r="H189" s="24"/>
      <c r="I189" s="24"/>
      <c r="J189" s="24"/>
      <c r="K189" s="24"/>
      <c r="L189" s="24"/>
      <c r="M189" s="24"/>
      <c r="N189" s="24"/>
      <c r="O189" s="24"/>
      <c r="P189" s="24"/>
      <c r="Q189" s="24"/>
      <c r="R189" s="24"/>
      <c r="S189" s="25">
        <f t="shared" si="14"/>
        <v>0</v>
      </c>
      <c r="T189" s="25">
        <f>COUNTIF($V$4:V189,V189)</f>
        <v>46</v>
      </c>
      <c r="U189" s="25" t="str">
        <f>IF(T189=1,COUNTIF($T$4:T189,1),"")</f>
        <v/>
      </c>
      <c r="V189" s="26" t="str">
        <f>'施設状況(要更新)'!$E189&amp;'施設状況(要更新)'!$C189</f>
        <v/>
      </c>
      <c r="W189" s="26">
        <f>'施設状況(要更新)'!$F189</f>
        <v>0</v>
      </c>
      <c r="X189" s="27"/>
      <c r="Y189" s="26"/>
    </row>
    <row r="190" spans="1:25">
      <c r="A190" s="30"/>
      <c r="B190" s="24"/>
      <c r="C190" s="24"/>
      <c r="D190" s="24"/>
      <c r="E190" s="24"/>
      <c r="F190" s="24"/>
      <c r="G190" s="24"/>
      <c r="H190" s="24"/>
      <c r="I190" s="24"/>
      <c r="J190" s="24"/>
      <c r="K190" s="24"/>
      <c r="L190" s="24"/>
      <c r="M190" s="24"/>
      <c r="N190" s="24"/>
      <c r="O190" s="24"/>
      <c r="P190" s="24"/>
      <c r="Q190" s="24"/>
      <c r="R190" s="24"/>
      <c r="S190" s="25">
        <f t="shared" si="14"/>
        <v>0</v>
      </c>
      <c r="T190" s="25">
        <f>COUNTIF($V$4:V190,V190)</f>
        <v>47</v>
      </c>
      <c r="U190" s="25" t="str">
        <f>IF(T190=1,COUNTIF($T$4:T190,1),"")</f>
        <v/>
      </c>
      <c r="V190" s="26" t="str">
        <f>'施設状況(要更新)'!$E190&amp;'施設状況(要更新)'!$C190</f>
        <v/>
      </c>
      <c r="W190" s="26">
        <f>'施設状況(要更新)'!$F190</f>
        <v>0</v>
      </c>
      <c r="X190" s="27"/>
      <c r="Y190" s="26"/>
    </row>
    <row r="191" spans="1:25">
      <c r="A191" s="30"/>
      <c r="B191" s="24"/>
      <c r="C191" s="24"/>
      <c r="D191" s="24"/>
      <c r="E191" s="24"/>
      <c r="F191" s="24"/>
      <c r="G191" s="24"/>
      <c r="H191" s="24"/>
      <c r="I191" s="24"/>
      <c r="J191" s="24"/>
      <c r="K191" s="24"/>
      <c r="L191" s="24"/>
      <c r="M191" s="24"/>
      <c r="N191" s="24"/>
      <c r="O191" s="24"/>
      <c r="P191" s="24"/>
      <c r="Q191" s="24"/>
      <c r="R191" s="24"/>
      <c r="S191" s="25">
        <f t="shared" si="14"/>
        <v>0</v>
      </c>
      <c r="T191" s="25">
        <f>COUNTIF($V$4:V191,V191)</f>
        <v>48</v>
      </c>
      <c r="U191" s="25" t="str">
        <f>IF(T191=1,COUNTIF($T$4:T191,1),"")</f>
        <v/>
      </c>
      <c r="V191" s="26" t="str">
        <f>'施設状況(要更新)'!$E191&amp;'施設状況(要更新)'!$C191</f>
        <v/>
      </c>
      <c r="W191" s="26">
        <f>'施設状況(要更新)'!$F191</f>
        <v>0</v>
      </c>
      <c r="X191" s="27"/>
      <c r="Y191" s="26"/>
    </row>
    <row r="192" spans="1:25">
      <c r="A192" s="30"/>
      <c r="B192" s="24"/>
      <c r="C192" s="24"/>
      <c r="D192" s="24"/>
      <c r="E192" s="24"/>
      <c r="F192" s="24"/>
      <c r="G192" s="24"/>
      <c r="H192" s="24"/>
      <c r="I192" s="24"/>
      <c r="J192" s="24"/>
      <c r="K192" s="24"/>
      <c r="L192" s="24"/>
      <c r="M192" s="24"/>
      <c r="N192" s="24"/>
      <c r="O192" s="24"/>
      <c r="P192" s="24"/>
      <c r="Q192" s="24"/>
      <c r="R192" s="24"/>
      <c r="S192" s="25">
        <f t="shared" si="14"/>
        <v>0</v>
      </c>
      <c r="T192" s="25">
        <f>COUNTIF($V$4:V192,V192)</f>
        <v>49</v>
      </c>
      <c r="U192" s="25" t="str">
        <f>IF(T192=1,COUNTIF($T$4:T192,1),"")</f>
        <v/>
      </c>
      <c r="V192" s="26" t="str">
        <f>'施設状況(要更新)'!$E192&amp;'施設状況(要更新)'!$C192</f>
        <v/>
      </c>
      <c r="W192" s="26">
        <f>'施設状況(要更新)'!$F192</f>
        <v>0</v>
      </c>
      <c r="X192" s="27"/>
      <c r="Y192" s="26"/>
    </row>
    <row r="193" spans="1:33">
      <c r="A193" s="30"/>
      <c r="B193" s="24"/>
      <c r="C193" s="24"/>
      <c r="D193" s="24"/>
      <c r="E193" s="24"/>
      <c r="F193" s="24"/>
      <c r="G193" s="24"/>
      <c r="H193" s="24"/>
      <c r="I193" s="24"/>
      <c r="J193" s="24"/>
      <c r="K193" s="24"/>
      <c r="L193" s="24"/>
      <c r="M193" s="24"/>
      <c r="N193" s="24"/>
      <c r="O193" s="24"/>
      <c r="P193" s="24"/>
      <c r="Q193" s="24"/>
      <c r="R193" s="24"/>
      <c r="S193" s="25">
        <f t="shared" si="14"/>
        <v>0</v>
      </c>
      <c r="T193" s="25">
        <f>COUNTIF($V$4:V193,V193)</f>
        <v>50</v>
      </c>
      <c r="U193" s="25" t="str">
        <f>IF(T193=1,COUNTIF($T$4:T193,1),"")</f>
        <v/>
      </c>
      <c r="V193" s="26" t="str">
        <f>'施設状況(要更新)'!$E193&amp;'施設状況(要更新)'!$C193</f>
        <v/>
      </c>
      <c r="W193" s="26">
        <f>'施設状況(要更新)'!$F193</f>
        <v>0</v>
      </c>
      <c r="X193" s="27"/>
      <c r="Y193" s="26"/>
    </row>
    <row r="194" spans="1:33">
      <c r="A194" s="30"/>
      <c r="B194" s="24"/>
      <c r="C194" s="24"/>
      <c r="D194" s="24"/>
      <c r="E194" s="24"/>
      <c r="F194" s="24"/>
      <c r="G194" s="24"/>
      <c r="H194" s="24"/>
      <c r="I194" s="24"/>
      <c r="J194" s="24"/>
      <c r="K194" s="24"/>
      <c r="L194" s="24"/>
      <c r="M194" s="24"/>
      <c r="N194" s="24"/>
      <c r="O194" s="24"/>
      <c r="P194" s="24"/>
      <c r="Q194" s="24"/>
      <c r="R194" s="24"/>
      <c r="S194" s="25">
        <f t="shared" si="14"/>
        <v>0</v>
      </c>
      <c r="T194" s="25">
        <f>COUNTIF($V$4:V194,V194)</f>
        <v>51</v>
      </c>
      <c r="U194" s="25" t="str">
        <f>IF(T194=1,COUNTIF($T$4:T194,1),"")</f>
        <v/>
      </c>
      <c r="V194" s="26" t="str">
        <f>'施設状況(要更新)'!$E194&amp;'施設状況(要更新)'!$C194</f>
        <v/>
      </c>
      <c r="W194" s="26">
        <f>'施設状況(要更新)'!$F194</f>
        <v>0</v>
      </c>
      <c r="X194" s="27"/>
      <c r="Y194" s="26"/>
    </row>
    <row r="195" spans="1:33">
      <c r="A195" s="30"/>
      <c r="B195" s="24"/>
      <c r="C195" s="24"/>
      <c r="D195" s="24"/>
      <c r="E195" s="24"/>
      <c r="F195" s="24"/>
      <c r="G195" s="24"/>
      <c r="H195" s="24"/>
      <c r="I195" s="24"/>
      <c r="J195" s="24"/>
      <c r="K195" s="24"/>
      <c r="L195" s="24"/>
      <c r="M195" s="24"/>
      <c r="N195" s="24"/>
      <c r="O195" s="24"/>
      <c r="P195" s="24"/>
      <c r="Q195" s="24"/>
      <c r="R195" s="24"/>
      <c r="S195" s="25">
        <f t="shared" si="14"/>
        <v>0</v>
      </c>
      <c r="T195" s="25">
        <f>COUNTIF($V$4:V195,V195)</f>
        <v>52</v>
      </c>
      <c r="U195" s="25" t="str">
        <f>IF(T195=1,COUNTIF($T$4:T195,1),"")</f>
        <v/>
      </c>
      <c r="V195" s="26" t="str">
        <f>'施設状況(要更新)'!$E195&amp;'施設状況(要更新)'!$C195</f>
        <v/>
      </c>
      <c r="W195" s="26">
        <f>'施設状況(要更新)'!$F195</f>
        <v>0</v>
      </c>
      <c r="X195" s="27"/>
      <c r="Y195" s="26"/>
    </row>
    <row r="196" spans="1:33">
      <c r="A196" s="30"/>
      <c r="B196" s="24"/>
      <c r="C196" s="24"/>
      <c r="D196" s="24"/>
      <c r="E196" s="24"/>
      <c r="F196" s="24"/>
      <c r="G196" s="24"/>
      <c r="H196" s="24"/>
      <c r="I196" s="24"/>
      <c r="J196" s="24"/>
      <c r="K196" s="24"/>
      <c r="L196" s="24"/>
      <c r="M196" s="24"/>
      <c r="N196" s="24"/>
      <c r="O196" s="24"/>
      <c r="P196" s="24"/>
      <c r="Q196" s="24"/>
      <c r="R196" s="24"/>
      <c r="S196" s="25">
        <f t="shared" si="14"/>
        <v>0</v>
      </c>
      <c r="T196" s="25">
        <f>COUNTIF($V$4:V196,V196)</f>
        <v>53</v>
      </c>
      <c r="U196" s="25" t="str">
        <f>IF(T196=1,COUNTIF($T$4:T196,1),"")</f>
        <v/>
      </c>
      <c r="V196" s="26" t="str">
        <f>'施設状況(要更新)'!$E196&amp;'施設状況(要更新)'!$C196</f>
        <v/>
      </c>
      <c r="W196" s="26">
        <f>'施設状況(要更新)'!$F196</f>
        <v>0</v>
      </c>
      <c r="X196" s="27"/>
      <c r="Y196" s="26"/>
    </row>
    <row r="197" spans="1:33">
      <c r="A197" s="30"/>
      <c r="B197" s="24"/>
      <c r="C197" s="24"/>
      <c r="D197" s="24"/>
      <c r="E197" s="24"/>
      <c r="F197" s="24"/>
      <c r="G197" s="24"/>
      <c r="H197" s="24"/>
      <c r="I197" s="24"/>
      <c r="J197" s="24"/>
      <c r="K197" s="24"/>
      <c r="L197" s="24"/>
      <c r="M197" s="24"/>
      <c r="N197" s="24"/>
      <c r="O197" s="24"/>
      <c r="P197" s="24"/>
      <c r="Q197" s="24"/>
      <c r="R197" s="24"/>
      <c r="S197" s="25">
        <f t="shared" ref="S197:S260" si="15">A197</f>
        <v>0</v>
      </c>
      <c r="T197" s="25">
        <f>COUNTIF($V$4:V197,V197)</f>
        <v>54</v>
      </c>
      <c r="U197" s="25" t="str">
        <f>IF(T197=1,COUNTIF($T$4:T197,1),"")</f>
        <v/>
      </c>
      <c r="V197" s="26" t="str">
        <f>'施設状況(要更新)'!$E197&amp;'施設状況(要更新)'!$C197</f>
        <v/>
      </c>
      <c r="W197" s="26">
        <f>'施設状況(要更新)'!$F197</f>
        <v>0</v>
      </c>
      <c r="X197" s="27"/>
      <c r="Y197" s="26"/>
    </row>
    <row r="198" spans="1:33">
      <c r="A198" s="30"/>
      <c r="B198" s="24"/>
      <c r="C198" s="24"/>
      <c r="D198" s="24"/>
      <c r="E198" s="24"/>
      <c r="F198" s="24"/>
      <c r="G198" s="24"/>
      <c r="H198" s="24"/>
      <c r="I198" s="24"/>
      <c r="J198" s="24"/>
      <c r="K198" s="24"/>
      <c r="L198" s="24"/>
      <c r="M198" s="24"/>
      <c r="N198" s="24"/>
      <c r="O198" s="24"/>
      <c r="P198" s="24"/>
      <c r="Q198" s="24"/>
      <c r="R198" s="24"/>
      <c r="S198" s="25">
        <f t="shared" si="15"/>
        <v>0</v>
      </c>
      <c r="T198" s="25">
        <f>COUNTIF($V$4:V198,V198)</f>
        <v>55</v>
      </c>
      <c r="U198" s="25" t="str">
        <f>IF(T198=1,COUNTIF($T$4:T198,1),"")</f>
        <v/>
      </c>
      <c r="V198" s="26" t="str">
        <f>'施設状況(要更新)'!$E198&amp;'施設状況(要更新)'!$C198</f>
        <v/>
      </c>
      <c r="W198" s="26">
        <f>'施設状況(要更新)'!$F198</f>
        <v>0</v>
      </c>
      <c r="X198" s="27"/>
      <c r="Y198" s="26"/>
    </row>
    <row r="199" spans="1:33">
      <c r="A199" s="30"/>
      <c r="B199" s="24"/>
      <c r="C199" s="24"/>
      <c r="D199" s="24"/>
      <c r="E199" s="24"/>
      <c r="F199" s="24"/>
      <c r="G199" s="24"/>
      <c r="H199" s="24"/>
      <c r="I199" s="24"/>
      <c r="J199" s="24"/>
      <c r="K199" s="24"/>
      <c r="L199" s="24"/>
      <c r="M199" s="24"/>
      <c r="N199" s="24"/>
      <c r="O199" s="24"/>
      <c r="P199" s="24"/>
      <c r="Q199" s="24"/>
      <c r="R199" s="24"/>
      <c r="S199" s="25">
        <f t="shared" si="15"/>
        <v>0</v>
      </c>
      <c r="T199" s="25">
        <f>COUNTIF($V$4:V199,V199)</f>
        <v>56</v>
      </c>
      <c r="U199" s="25" t="str">
        <f>IF(T199=1,COUNTIF($T$4:T199,1),"")</f>
        <v/>
      </c>
      <c r="V199" s="26" t="str">
        <f>'施設状況(要更新)'!$E199&amp;'施設状況(要更新)'!$C199</f>
        <v/>
      </c>
      <c r="W199" s="26">
        <f>'施設状況(要更新)'!$F199</f>
        <v>0</v>
      </c>
      <c r="X199" s="27"/>
      <c r="Y199" s="26"/>
      <c r="Z199" s="26"/>
      <c r="AA199" s="26"/>
      <c r="AB199" s="26"/>
      <c r="AC199" s="26"/>
      <c r="AD199" s="26"/>
      <c r="AE199" s="26"/>
      <c r="AF199" s="26"/>
      <c r="AG199" s="26"/>
    </row>
    <row r="200" spans="1:33">
      <c r="A200" s="30"/>
      <c r="B200" s="24"/>
      <c r="C200" s="24"/>
      <c r="D200" s="24"/>
      <c r="E200" s="24"/>
      <c r="F200" s="24"/>
      <c r="G200" s="24"/>
      <c r="H200" s="24"/>
      <c r="I200" s="24"/>
      <c r="J200" s="24"/>
      <c r="K200" s="24"/>
      <c r="L200" s="24"/>
      <c r="M200" s="24"/>
      <c r="N200" s="24"/>
      <c r="O200" s="24"/>
      <c r="P200" s="24"/>
      <c r="Q200" s="24"/>
      <c r="R200" s="24"/>
      <c r="S200" s="25">
        <f t="shared" si="15"/>
        <v>0</v>
      </c>
      <c r="T200" s="25">
        <f>COUNTIF($V$4:V200,V200)</f>
        <v>57</v>
      </c>
      <c r="U200" s="25" t="str">
        <f>IF(T200=1,COUNTIF($T$4:T200,1),"")</f>
        <v/>
      </c>
      <c r="V200" s="26" t="str">
        <f>'施設状況(要更新)'!$E200&amp;'施設状況(要更新)'!$C200</f>
        <v/>
      </c>
      <c r="W200" s="26">
        <f>'施設状況(要更新)'!$F200</f>
        <v>0</v>
      </c>
      <c r="X200" s="27"/>
      <c r="Y200" s="26"/>
    </row>
    <row r="201" spans="1:33">
      <c r="A201" s="30"/>
      <c r="B201" s="24"/>
      <c r="C201" s="24"/>
      <c r="D201" s="24"/>
      <c r="E201" s="24"/>
      <c r="F201" s="24"/>
      <c r="G201" s="24"/>
      <c r="H201" s="24"/>
      <c r="I201" s="24"/>
      <c r="J201" s="24"/>
      <c r="K201" s="24"/>
      <c r="L201" s="24"/>
      <c r="M201" s="24"/>
      <c r="N201" s="24"/>
      <c r="O201" s="24"/>
      <c r="P201" s="24"/>
      <c r="Q201" s="24"/>
      <c r="R201" s="24"/>
      <c r="S201" s="25">
        <f t="shared" si="15"/>
        <v>0</v>
      </c>
      <c r="T201" s="25">
        <f>COUNTIF($V$4:V201,V201)</f>
        <v>58</v>
      </c>
      <c r="U201" s="25" t="str">
        <f>IF(T201=1,COUNTIF($T$4:T201,1),"")</f>
        <v/>
      </c>
      <c r="V201" s="26" t="str">
        <f>'施設状況(要更新)'!$E201&amp;'施設状況(要更新)'!$C201</f>
        <v/>
      </c>
      <c r="W201" s="26">
        <f>'施設状況(要更新)'!$F201</f>
        <v>0</v>
      </c>
      <c r="X201" s="27"/>
      <c r="Y201" s="26"/>
    </row>
    <row r="202" spans="1:33">
      <c r="A202" s="30"/>
      <c r="B202" s="24"/>
      <c r="C202" s="24"/>
      <c r="D202" s="24"/>
      <c r="E202" s="24"/>
      <c r="F202" s="24"/>
      <c r="G202" s="24"/>
      <c r="H202" s="24"/>
      <c r="I202" s="24"/>
      <c r="J202" s="24"/>
      <c r="K202" s="24"/>
      <c r="L202" s="24"/>
      <c r="M202" s="24"/>
      <c r="N202" s="24"/>
      <c r="O202" s="24"/>
      <c r="P202" s="24"/>
      <c r="Q202" s="24"/>
      <c r="R202" s="24"/>
      <c r="S202" s="25">
        <f t="shared" si="15"/>
        <v>0</v>
      </c>
      <c r="T202" s="25">
        <f>COUNTIF($V$4:V202,V202)</f>
        <v>59</v>
      </c>
      <c r="U202" s="25" t="str">
        <f>IF(T202=1,COUNTIF($T$4:T202,1),"")</f>
        <v/>
      </c>
      <c r="V202" s="26" t="str">
        <f>'施設状況(要更新)'!$E202&amp;'施設状況(要更新)'!$C202</f>
        <v/>
      </c>
      <c r="W202" s="26">
        <f>'施設状況(要更新)'!$F202</f>
        <v>0</v>
      </c>
      <c r="X202" s="27"/>
      <c r="Y202" s="26"/>
    </row>
    <row r="203" spans="1:33">
      <c r="A203" s="30"/>
      <c r="B203" s="24"/>
      <c r="C203" s="24"/>
      <c r="D203" s="24"/>
      <c r="E203" s="24"/>
      <c r="F203" s="24"/>
      <c r="G203" s="24"/>
      <c r="H203" s="24"/>
      <c r="I203" s="24"/>
      <c r="J203" s="24"/>
      <c r="K203" s="24"/>
      <c r="L203" s="24"/>
      <c r="M203" s="24"/>
      <c r="N203" s="24"/>
      <c r="O203" s="24"/>
      <c r="P203" s="24"/>
      <c r="Q203" s="24"/>
      <c r="R203" s="24"/>
      <c r="S203" s="25">
        <f t="shared" si="15"/>
        <v>0</v>
      </c>
      <c r="T203" s="25">
        <f>COUNTIF($V$4:V203,V203)</f>
        <v>60</v>
      </c>
      <c r="U203" s="25" t="str">
        <f>IF(T203=1,COUNTIF($T$4:T203,1),"")</f>
        <v/>
      </c>
      <c r="V203" s="26" t="str">
        <f>'施設状況(要更新)'!$E203&amp;'施設状況(要更新)'!$C203</f>
        <v/>
      </c>
      <c r="W203" s="26">
        <f>'施設状況(要更新)'!$F203</f>
        <v>0</v>
      </c>
      <c r="X203" s="27"/>
      <c r="Y203" s="26"/>
    </row>
    <row r="204" spans="1:33">
      <c r="A204" s="30"/>
      <c r="B204" s="24"/>
      <c r="C204" s="24"/>
      <c r="D204" s="24"/>
      <c r="E204" s="24"/>
      <c r="F204" s="24"/>
      <c r="G204" s="24"/>
      <c r="H204" s="24"/>
      <c r="I204" s="24"/>
      <c r="J204" s="24"/>
      <c r="K204" s="24"/>
      <c r="L204" s="24"/>
      <c r="M204" s="24"/>
      <c r="N204" s="24"/>
      <c r="O204" s="24"/>
      <c r="P204" s="24"/>
      <c r="Q204" s="24"/>
      <c r="R204" s="24"/>
      <c r="S204" s="25">
        <f t="shared" si="15"/>
        <v>0</v>
      </c>
      <c r="T204" s="25">
        <f>COUNTIF($V$4:V204,V204)</f>
        <v>61</v>
      </c>
      <c r="U204" s="25" t="str">
        <f>IF(T204=1,COUNTIF($T$4:T204,1),"")</f>
        <v/>
      </c>
      <c r="V204" s="26" t="str">
        <f>'施設状況(要更新)'!$E204&amp;'施設状況(要更新)'!$C204</f>
        <v/>
      </c>
      <c r="W204" s="26">
        <f>'施設状況(要更新)'!$F204</f>
        <v>0</v>
      </c>
      <c r="X204" s="27"/>
      <c r="Y204" s="26"/>
    </row>
    <row r="205" spans="1:33">
      <c r="A205" s="30"/>
      <c r="B205" s="24"/>
      <c r="C205" s="24"/>
      <c r="D205" s="24"/>
      <c r="E205" s="24"/>
      <c r="F205" s="24"/>
      <c r="G205" s="24"/>
      <c r="H205" s="24"/>
      <c r="I205" s="24"/>
      <c r="J205" s="24"/>
      <c r="K205" s="24"/>
      <c r="L205" s="24"/>
      <c r="M205" s="24"/>
      <c r="N205" s="24"/>
      <c r="O205" s="24"/>
      <c r="P205" s="24"/>
      <c r="Q205" s="24"/>
      <c r="R205" s="24"/>
      <c r="S205" s="25">
        <f t="shared" si="15"/>
        <v>0</v>
      </c>
      <c r="T205" s="25">
        <f>COUNTIF($V$4:V205,V205)</f>
        <v>62</v>
      </c>
      <c r="U205" s="25" t="str">
        <f>IF(T205=1,COUNTIF($T$4:T205,1),"")</f>
        <v/>
      </c>
      <c r="V205" s="26" t="str">
        <f>'施設状況(要更新)'!$E205&amp;'施設状況(要更新)'!$C205</f>
        <v/>
      </c>
      <c r="W205" s="26">
        <f>'施設状況(要更新)'!$F205</f>
        <v>0</v>
      </c>
      <c r="X205" s="27"/>
      <c r="Y205" s="26"/>
    </row>
    <row r="206" spans="1:33">
      <c r="A206" s="30"/>
      <c r="B206" s="24"/>
      <c r="C206" s="24"/>
      <c r="D206" s="24"/>
      <c r="E206" s="24"/>
      <c r="F206" s="24"/>
      <c r="G206" s="24"/>
      <c r="H206" s="24"/>
      <c r="I206" s="24"/>
      <c r="J206" s="24"/>
      <c r="K206" s="24"/>
      <c r="L206" s="24"/>
      <c r="M206" s="24"/>
      <c r="N206" s="24"/>
      <c r="O206" s="24"/>
      <c r="P206" s="24"/>
      <c r="Q206" s="24"/>
      <c r="R206" s="24"/>
      <c r="S206" s="25">
        <f t="shared" si="15"/>
        <v>0</v>
      </c>
      <c r="T206" s="25">
        <f>COUNTIF($V$4:V206,V206)</f>
        <v>63</v>
      </c>
      <c r="U206" s="25" t="str">
        <f>IF(T206=1,COUNTIF($T$4:T206,1),"")</f>
        <v/>
      </c>
      <c r="V206" s="26" t="str">
        <f>'施設状況(要更新)'!$E206&amp;'施設状況(要更新)'!$C206</f>
        <v/>
      </c>
      <c r="W206" s="26">
        <f>'施設状況(要更新)'!$F206</f>
        <v>0</v>
      </c>
      <c r="X206" s="27"/>
      <c r="Y206" s="26"/>
    </row>
    <row r="207" spans="1:33">
      <c r="A207" s="30"/>
      <c r="B207" s="24"/>
      <c r="C207" s="24"/>
      <c r="D207" s="24"/>
      <c r="E207" s="24"/>
      <c r="F207" s="24"/>
      <c r="G207" s="24"/>
      <c r="H207" s="24"/>
      <c r="I207" s="24"/>
      <c r="J207" s="24"/>
      <c r="K207" s="24"/>
      <c r="L207" s="24"/>
      <c r="M207" s="24"/>
      <c r="N207" s="24"/>
      <c r="O207" s="24"/>
      <c r="P207" s="24"/>
      <c r="Q207" s="24"/>
      <c r="R207" s="24"/>
      <c r="S207" s="25">
        <f t="shared" si="15"/>
        <v>0</v>
      </c>
      <c r="T207" s="25">
        <f>COUNTIF($V$4:V207,V207)</f>
        <v>64</v>
      </c>
      <c r="U207" s="25" t="str">
        <f>IF(T207=1,COUNTIF($T$4:T207,1),"")</f>
        <v/>
      </c>
      <c r="V207" s="26" t="str">
        <f>'施設状況(要更新)'!$E207&amp;'施設状況(要更新)'!$C207</f>
        <v/>
      </c>
      <c r="W207" s="26">
        <f>'施設状況(要更新)'!$F207</f>
        <v>0</v>
      </c>
      <c r="X207" s="27"/>
      <c r="Y207" s="26"/>
    </row>
    <row r="208" spans="1:33">
      <c r="A208" s="30"/>
      <c r="B208" s="24"/>
      <c r="C208" s="24"/>
      <c r="D208" s="24"/>
      <c r="E208" s="24"/>
      <c r="F208" s="24"/>
      <c r="G208" s="24"/>
      <c r="H208" s="24"/>
      <c r="I208" s="24"/>
      <c r="J208" s="24"/>
      <c r="K208" s="24"/>
      <c r="L208" s="24"/>
      <c r="M208" s="24"/>
      <c r="N208" s="24"/>
      <c r="O208" s="24"/>
      <c r="P208" s="24"/>
      <c r="Q208" s="24"/>
      <c r="R208" s="24"/>
      <c r="S208" s="25">
        <f t="shared" si="15"/>
        <v>0</v>
      </c>
      <c r="T208" s="25">
        <f>COUNTIF($V$4:V208,V208)</f>
        <v>65</v>
      </c>
      <c r="U208" s="25" t="str">
        <f>IF(T208=1,COUNTIF($T$4:T208,1),"")</f>
        <v/>
      </c>
      <c r="V208" s="26" t="str">
        <f>'施設状況(要更新)'!$E208&amp;'施設状況(要更新)'!$C208</f>
        <v/>
      </c>
      <c r="W208" s="26">
        <f>'施設状況(要更新)'!$F208</f>
        <v>0</v>
      </c>
      <c r="X208" s="27"/>
      <c r="Y208" s="26"/>
    </row>
    <row r="209" spans="1:25">
      <c r="A209" s="30"/>
      <c r="B209" s="24"/>
      <c r="C209" s="24"/>
      <c r="D209" s="24"/>
      <c r="E209" s="24"/>
      <c r="F209" s="24"/>
      <c r="G209" s="24"/>
      <c r="H209" s="24"/>
      <c r="I209" s="24"/>
      <c r="J209" s="24"/>
      <c r="K209" s="24"/>
      <c r="L209" s="24"/>
      <c r="M209" s="24"/>
      <c r="N209" s="24"/>
      <c r="O209" s="24"/>
      <c r="P209" s="24"/>
      <c r="Q209" s="24"/>
      <c r="R209" s="24"/>
      <c r="S209" s="25">
        <f t="shared" si="15"/>
        <v>0</v>
      </c>
      <c r="T209" s="25">
        <f>COUNTIF($V$4:V209,V209)</f>
        <v>66</v>
      </c>
      <c r="U209" s="25" t="str">
        <f>IF(T209=1,COUNTIF($T$4:T209,1),"")</f>
        <v/>
      </c>
      <c r="V209" s="26" t="str">
        <f>'施設状況(要更新)'!$E209&amp;'施設状況(要更新)'!$C209</f>
        <v/>
      </c>
      <c r="W209" s="26">
        <f>'施設状況(要更新)'!$F209</f>
        <v>0</v>
      </c>
      <c r="X209" s="27"/>
      <c r="Y209" s="26"/>
    </row>
    <row r="210" spans="1:25">
      <c r="A210" s="30"/>
      <c r="B210" s="24"/>
      <c r="C210" s="24"/>
      <c r="D210" s="24"/>
      <c r="E210" s="24"/>
      <c r="F210" s="24"/>
      <c r="G210" s="24"/>
      <c r="H210" s="24"/>
      <c r="I210" s="24"/>
      <c r="J210" s="24"/>
      <c r="K210" s="24"/>
      <c r="L210" s="24"/>
      <c r="M210" s="24"/>
      <c r="N210" s="24"/>
      <c r="O210" s="24"/>
      <c r="P210" s="24"/>
      <c r="Q210" s="24"/>
      <c r="R210" s="24"/>
      <c r="S210" s="25">
        <f t="shared" si="15"/>
        <v>0</v>
      </c>
      <c r="T210" s="25">
        <f>COUNTIF($V$4:V210,V210)</f>
        <v>67</v>
      </c>
      <c r="U210" s="25" t="str">
        <f>IF(T210=1,COUNTIF($T$4:T210,1),"")</f>
        <v/>
      </c>
      <c r="V210" s="26" t="str">
        <f>'施設状況(要更新)'!$E210&amp;'施設状況(要更新)'!$C210</f>
        <v/>
      </c>
      <c r="W210" s="26">
        <f>'施設状況(要更新)'!$F210</f>
        <v>0</v>
      </c>
      <c r="X210" s="27"/>
      <c r="Y210" s="26"/>
    </row>
    <row r="211" spans="1:25">
      <c r="A211" s="30"/>
      <c r="B211" s="24"/>
      <c r="C211" s="24"/>
      <c r="D211" s="24"/>
      <c r="E211" s="24"/>
      <c r="F211" s="24"/>
      <c r="G211" s="24"/>
      <c r="H211" s="24"/>
      <c r="I211" s="24"/>
      <c r="J211" s="24"/>
      <c r="K211" s="24"/>
      <c r="L211" s="24"/>
      <c r="M211" s="24"/>
      <c r="N211" s="24"/>
      <c r="O211" s="24"/>
      <c r="P211" s="24"/>
      <c r="Q211" s="24"/>
      <c r="R211" s="24"/>
      <c r="S211" s="25">
        <f t="shared" si="15"/>
        <v>0</v>
      </c>
      <c r="T211" s="25">
        <f>COUNTIF($V$4:V211,V211)</f>
        <v>68</v>
      </c>
      <c r="U211" s="25" t="str">
        <f>IF(T211=1,COUNTIF($T$4:T211,1),"")</f>
        <v/>
      </c>
      <c r="V211" s="26" t="str">
        <f>'施設状況(要更新)'!$E211&amp;'施設状況(要更新)'!$C211</f>
        <v/>
      </c>
      <c r="W211" s="26">
        <f>'施設状況(要更新)'!$F211</f>
        <v>0</v>
      </c>
      <c r="X211" s="27"/>
      <c r="Y211" s="26"/>
    </row>
    <row r="212" spans="1:25">
      <c r="A212" s="30"/>
      <c r="B212" s="24"/>
      <c r="C212" s="24"/>
      <c r="D212" s="24"/>
      <c r="E212" s="24"/>
      <c r="F212" s="24"/>
      <c r="G212" s="24"/>
      <c r="H212" s="24"/>
      <c r="I212" s="24"/>
      <c r="J212" s="24"/>
      <c r="K212" s="24"/>
      <c r="L212" s="24"/>
      <c r="M212" s="24"/>
      <c r="N212" s="24"/>
      <c r="O212" s="24"/>
      <c r="P212" s="24"/>
      <c r="Q212" s="24"/>
      <c r="R212" s="24"/>
      <c r="S212" s="25">
        <f t="shared" si="15"/>
        <v>0</v>
      </c>
      <c r="T212" s="25">
        <f>COUNTIF($V$4:V212,V212)</f>
        <v>69</v>
      </c>
      <c r="U212" s="25" t="str">
        <f>IF(T212=1,COUNTIF($T$4:T212,1),"")</f>
        <v/>
      </c>
      <c r="V212" s="26" t="str">
        <f>'施設状況(要更新)'!$E212&amp;'施設状況(要更新)'!$C212</f>
        <v/>
      </c>
      <c r="W212" s="26">
        <f>'施設状況(要更新)'!$F212</f>
        <v>0</v>
      </c>
      <c r="X212" s="27"/>
      <c r="Y212" s="26"/>
    </row>
    <row r="213" spans="1:25">
      <c r="A213" s="30"/>
      <c r="B213" s="24"/>
      <c r="C213" s="24"/>
      <c r="D213" s="24"/>
      <c r="E213" s="24"/>
      <c r="F213" s="24"/>
      <c r="G213" s="24"/>
      <c r="H213" s="24"/>
      <c r="I213" s="24"/>
      <c r="J213" s="24"/>
      <c r="K213" s="24"/>
      <c r="L213" s="24"/>
      <c r="M213" s="24"/>
      <c r="N213" s="24"/>
      <c r="O213" s="24"/>
      <c r="P213" s="24"/>
      <c r="Q213" s="24"/>
      <c r="R213" s="24"/>
      <c r="S213" s="25">
        <f t="shared" si="15"/>
        <v>0</v>
      </c>
      <c r="T213" s="25">
        <f>COUNTIF($V$4:V213,V213)</f>
        <v>70</v>
      </c>
      <c r="U213" s="25" t="str">
        <f>IF(T213=1,COUNTIF($T$4:T213,1),"")</f>
        <v/>
      </c>
      <c r="V213" s="26" t="str">
        <f>'施設状況(要更新)'!$E213&amp;'施設状況(要更新)'!$C213</f>
        <v/>
      </c>
      <c r="W213" s="26">
        <f>'施設状況(要更新)'!$F213</f>
        <v>0</v>
      </c>
      <c r="X213" s="27"/>
      <c r="Y213" s="26"/>
    </row>
    <row r="214" spans="1:25">
      <c r="A214" s="30"/>
      <c r="B214" s="24"/>
      <c r="C214" s="24"/>
      <c r="D214" s="24"/>
      <c r="E214" s="24"/>
      <c r="F214" s="24"/>
      <c r="G214" s="24"/>
      <c r="H214" s="24"/>
      <c r="I214" s="24"/>
      <c r="J214" s="24"/>
      <c r="K214" s="24"/>
      <c r="L214" s="24"/>
      <c r="M214" s="24"/>
      <c r="N214" s="24"/>
      <c r="O214" s="24"/>
      <c r="P214" s="24"/>
      <c r="Q214" s="24"/>
      <c r="R214" s="24"/>
      <c r="S214" s="25">
        <f t="shared" si="15"/>
        <v>0</v>
      </c>
      <c r="T214" s="25">
        <f>COUNTIF($V$4:V214,V214)</f>
        <v>71</v>
      </c>
      <c r="U214" s="25" t="str">
        <f>IF(T214=1,COUNTIF($T$4:T214,1),"")</f>
        <v/>
      </c>
      <c r="V214" s="26" t="str">
        <f>'施設状況(要更新)'!$E214&amp;'施設状況(要更新)'!$C214</f>
        <v/>
      </c>
      <c r="W214" s="26">
        <f>'施設状況(要更新)'!$F214</f>
        <v>0</v>
      </c>
      <c r="X214" s="27"/>
      <c r="Y214" s="26"/>
    </row>
    <row r="215" spans="1:25">
      <c r="A215" s="30"/>
      <c r="B215" s="24"/>
      <c r="C215" s="24"/>
      <c r="D215" s="24"/>
      <c r="E215" s="24"/>
      <c r="F215" s="24"/>
      <c r="G215" s="24"/>
      <c r="H215" s="24"/>
      <c r="I215" s="24"/>
      <c r="J215" s="24"/>
      <c r="K215" s="24"/>
      <c r="L215" s="24"/>
      <c r="M215" s="24"/>
      <c r="N215" s="24"/>
      <c r="O215" s="24"/>
      <c r="P215" s="24"/>
      <c r="Q215" s="24"/>
      <c r="R215" s="24"/>
      <c r="S215" s="25">
        <f t="shared" si="15"/>
        <v>0</v>
      </c>
      <c r="T215" s="25">
        <f>COUNTIF($V$4:V215,V215)</f>
        <v>72</v>
      </c>
      <c r="U215" s="25" t="str">
        <f>IF(T215=1,COUNTIF($T$4:T215,1),"")</f>
        <v/>
      </c>
      <c r="V215" s="26" t="str">
        <f>'施設状況(要更新)'!$E215&amp;'施設状況(要更新)'!$C215</f>
        <v/>
      </c>
      <c r="W215" s="26">
        <f>'施設状況(要更新)'!$F215</f>
        <v>0</v>
      </c>
      <c r="X215" s="27"/>
      <c r="Y215" s="26"/>
    </row>
    <row r="216" spans="1:25">
      <c r="A216" s="30"/>
      <c r="B216" s="24"/>
      <c r="C216" s="24"/>
      <c r="D216" s="24"/>
      <c r="E216" s="24"/>
      <c r="F216" s="24"/>
      <c r="G216" s="24"/>
      <c r="H216" s="24"/>
      <c r="I216" s="24"/>
      <c r="J216" s="24"/>
      <c r="K216" s="24"/>
      <c r="L216" s="24"/>
      <c r="M216" s="24"/>
      <c r="N216" s="24"/>
      <c r="O216" s="24"/>
      <c r="P216" s="24"/>
      <c r="Q216" s="24"/>
      <c r="R216" s="24"/>
      <c r="S216" s="25">
        <f t="shared" si="15"/>
        <v>0</v>
      </c>
      <c r="T216" s="25">
        <f>COUNTIF($V$4:V216,V216)</f>
        <v>73</v>
      </c>
      <c r="U216" s="25" t="str">
        <f>IF(T216=1,COUNTIF($T$4:T216,1),"")</f>
        <v/>
      </c>
      <c r="V216" s="26" t="str">
        <f>'施設状況(要更新)'!$E216&amp;'施設状況(要更新)'!$C216</f>
        <v/>
      </c>
      <c r="W216" s="26">
        <f>'施設状況(要更新)'!$F216</f>
        <v>0</v>
      </c>
      <c r="X216" s="27"/>
      <c r="Y216" s="26"/>
    </row>
    <row r="217" spans="1:25">
      <c r="A217" s="30"/>
      <c r="B217" s="24"/>
      <c r="C217" s="24"/>
      <c r="D217" s="24"/>
      <c r="E217" s="24"/>
      <c r="F217" s="24"/>
      <c r="G217" s="24"/>
      <c r="H217" s="24"/>
      <c r="I217" s="24"/>
      <c r="J217" s="24"/>
      <c r="K217" s="24"/>
      <c r="L217" s="24"/>
      <c r="M217" s="24"/>
      <c r="N217" s="24"/>
      <c r="O217" s="24"/>
      <c r="P217" s="24"/>
      <c r="Q217" s="24"/>
      <c r="R217" s="24"/>
      <c r="S217" s="25">
        <f t="shared" si="15"/>
        <v>0</v>
      </c>
      <c r="T217" s="25">
        <f>COUNTIF($V$4:V217,V217)</f>
        <v>74</v>
      </c>
      <c r="U217" s="25" t="str">
        <f>IF(T217=1,COUNTIF($T$4:T217,1),"")</f>
        <v/>
      </c>
      <c r="V217" s="26" t="str">
        <f>'施設状況(要更新)'!$E217&amp;'施設状況(要更新)'!$C217</f>
        <v/>
      </c>
      <c r="W217" s="26">
        <f>'施設状況(要更新)'!$F217</f>
        <v>0</v>
      </c>
      <c r="X217" s="27"/>
      <c r="Y217" s="26"/>
    </row>
    <row r="218" spans="1:25">
      <c r="A218" s="30"/>
      <c r="B218" s="24"/>
      <c r="C218" s="24"/>
      <c r="D218" s="24"/>
      <c r="E218" s="24"/>
      <c r="F218" s="24"/>
      <c r="G218" s="24"/>
      <c r="H218" s="24"/>
      <c r="I218" s="24"/>
      <c r="J218" s="24"/>
      <c r="K218" s="24"/>
      <c r="L218" s="24"/>
      <c r="M218" s="24"/>
      <c r="N218" s="24"/>
      <c r="O218" s="24"/>
      <c r="P218" s="24"/>
      <c r="Q218" s="24"/>
      <c r="R218" s="24"/>
      <c r="S218" s="25">
        <f t="shared" si="15"/>
        <v>0</v>
      </c>
      <c r="T218" s="25">
        <f>COUNTIF($V$4:V218,V218)</f>
        <v>75</v>
      </c>
      <c r="U218" s="25" t="str">
        <f>IF(T218=1,COUNTIF($T$4:T218,1),"")</f>
        <v/>
      </c>
      <c r="V218" s="26" t="str">
        <f>'施設状況(要更新)'!$E218&amp;'施設状況(要更新)'!$C218</f>
        <v/>
      </c>
      <c r="W218" s="26">
        <f>'施設状況(要更新)'!$F218</f>
        <v>0</v>
      </c>
      <c r="X218" s="27"/>
      <c r="Y218" s="26"/>
    </row>
    <row r="219" spans="1:25">
      <c r="A219" s="30"/>
      <c r="B219" s="24"/>
      <c r="C219" s="24"/>
      <c r="D219" s="24"/>
      <c r="E219" s="24"/>
      <c r="F219" s="24"/>
      <c r="G219" s="24"/>
      <c r="H219" s="24"/>
      <c r="I219" s="24"/>
      <c r="J219" s="24"/>
      <c r="K219" s="24"/>
      <c r="L219" s="24"/>
      <c r="M219" s="24"/>
      <c r="N219" s="24"/>
      <c r="O219" s="24"/>
      <c r="P219" s="24"/>
      <c r="Q219" s="24"/>
      <c r="R219" s="24"/>
      <c r="S219" s="25">
        <f t="shared" si="15"/>
        <v>0</v>
      </c>
      <c r="T219" s="25">
        <f>COUNTIF($V$4:V219,V219)</f>
        <v>76</v>
      </c>
      <c r="U219" s="25" t="str">
        <f>IF(T219=1,COUNTIF($T$4:T219,1),"")</f>
        <v/>
      </c>
      <c r="V219" s="26" t="str">
        <f>'施設状況(要更新)'!$E219&amp;'施設状況(要更新)'!$C219</f>
        <v/>
      </c>
      <c r="W219" s="26">
        <f>'施設状況(要更新)'!$F219</f>
        <v>0</v>
      </c>
      <c r="X219" s="27"/>
      <c r="Y219" s="26"/>
    </row>
    <row r="220" spans="1:25">
      <c r="A220" s="30"/>
      <c r="B220" s="24"/>
      <c r="C220" s="24"/>
      <c r="D220" s="24"/>
      <c r="E220" s="24"/>
      <c r="F220" s="24"/>
      <c r="G220" s="24"/>
      <c r="H220" s="24"/>
      <c r="I220" s="24"/>
      <c r="J220" s="24"/>
      <c r="K220" s="24"/>
      <c r="L220" s="24"/>
      <c r="M220" s="24"/>
      <c r="N220" s="24"/>
      <c r="O220" s="24"/>
      <c r="P220" s="24"/>
      <c r="Q220" s="24"/>
      <c r="R220" s="24"/>
      <c r="S220" s="25">
        <f t="shared" si="15"/>
        <v>0</v>
      </c>
      <c r="T220" s="25">
        <f>COUNTIF($V$4:V220,V220)</f>
        <v>77</v>
      </c>
      <c r="U220" s="25" t="str">
        <f>IF(T220=1,COUNTIF($T$4:T220,1),"")</f>
        <v/>
      </c>
      <c r="V220" s="26" t="str">
        <f>'施設状況(要更新)'!$E220&amp;'施設状況(要更新)'!$C220</f>
        <v/>
      </c>
      <c r="W220" s="26">
        <f>'施設状況(要更新)'!$F220</f>
        <v>0</v>
      </c>
      <c r="X220" s="27"/>
      <c r="Y220" s="26"/>
    </row>
    <row r="221" spans="1:25">
      <c r="A221" s="30"/>
      <c r="B221" s="24"/>
      <c r="C221" s="24"/>
      <c r="D221" s="24"/>
      <c r="E221" s="24"/>
      <c r="F221" s="24"/>
      <c r="G221" s="24"/>
      <c r="H221" s="24"/>
      <c r="I221" s="24"/>
      <c r="J221" s="24"/>
      <c r="K221" s="24"/>
      <c r="L221" s="24"/>
      <c r="M221" s="24"/>
      <c r="N221" s="24"/>
      <c r="O221" s="24"/>
      <c r="P221" s="24"/>
      <c r="Q221" s="24"/>
      <c r="R221" s="24"/>
      <c r="S221" s="25">
        <f t="shared" si="15"/>
        <v>0</v>
      </c>
      <c r="T221" s="25">
        <f>COUNTIF($V$4:V221,V221)</f>
        <v>78</v>
      </c>
      <c r="U221" s="25" t="str">
        <f>IF(T221=1,COUNTIF($T$4:T221,1),"")</f>
        <v/>
      </c>
      <c r="V221" s="26" t="str">
        <f>'施設状況(要更新)'!$E221&amp;'施設状況(要更新)'!$C221</f>
        <v/>
      </c>
      <c r="W221" s="26">
        <f>'施設状況(要更新)'!$F221</f>
        <v>0</v>
      </c>
      <c r="X221" s="27"/>
      <c r="Y221" s="26"/>
    </row>
    <row r="222" spans="1:25">
      <c r="A222" s="30"/>
      <c r="B222" s="24"/>
      <c r="C222" s="24"/>
      <c r="D222" s="24"/>
      <c r="E222" s="24"/>
      <c r="F222" s="24"/>
      <c r="G222" s="24"/>
      <c r="H222" s="24"/>
      <c r="I222" s="24"/>
      <c r="J222" s="24"/>
      <c r="K222" s="24"/>
      <c r="L222" s="24"/>
      <c r="M222" s="24"/>
      <c r="N222" s="24"/>
      <c r="O222" s="24"/>
      <c r="P222" s="24"/>
      <c r="Q222" s="24"/>
      <c r="R222" s="24"/>
      <c r="S222" s="25">
        <f t="shared" si="15"/>
        <v>0</v>
      </c>
      <c r="T222" s="25">
        <f>COUNTIF($V$4:V222,V222)</f>
        <v>79</v>
      </c>
      <c r="U222" s="25" t="str">
        <f>IF(T222=1,COUNTIF($T$4:T222,1),"")</f>
        <v/>
      </c>
      <c r="V222" s="26" t="str">
        <f>'施設状況(要更新)'!$E222&amp;'施設状況(要更新)'!$C222</f>
        <v/>
      </c>
      <c r="W222" s="26">
        <f>'施設状況(要更新)'!$F222</f>
        <v>0</v>
      </c>
      <c r="X222" s="27"/>
      <c r="Y222" s="26"/>
    </row>
    <row r="223" spans="1:25">
      <c r="A223" s="30"/>
      <c r="B223" s="24"/>
      <c r="C223" s="24"/>
      <c r="D223" s="24"/>
      <c r="E223" s="24"/>
      <c r="F223" s="24"/>
      <c r="G223" s="24"/>
      <c r="H223" s="24"/>
      <c r="I223" s="24"/>
      <c r="J223" s="24"/>
      <c r="K223" s="24"/>
      <c r="L223" s="24"/>
      <c r="M223" s="24"/>
      <c r="N223" s="24"/>
      <c r="O223" s="24"/>
      <c r="P223" s="24"/>
      <c r="Q223" s="24"/>
      <c r="R223" s="24"/>
      <c r="S223" s="25">
        <f t="shared" si="15"/>
        <v>0</v>
      </c>
      <c r="T223" s="25">
        <f>COUNTIF($V$4:V223,V223)</f>
        <v>80</v>
      </c>
      <c r="U223" s="25" t="str">
        <f>IF(T223=1,COUNTIF($T$4:T223,1),"")</f>
        <v/>
      </c>
      <c r="V223" s="26" t="str">
        <f>'施設状況(要更新)'!$E223&amp;'施設状況(要更新)'!$C223</f>
        <v/>
      </c>
      <c r="W223" s="26">
        <f>'施設状況(要更新)'!$F223</f>
        <v>0</v>
      </c>
      <c r="X223" s="27"/>
      <c r="Y223" s="26"/>
    </row>
    <row r="224" spans="1:25">
      <c r="A224" s="30"/>
      <c r="B224" s="24"/>
      <c r="C224" s="24"/>
      <c r="D224" s="24"/>
      <c r="E224" s="24"/>
      <c r="F224" s="24"/>
      <c r="G224" s="24"/>
      <c r="H224" s="24"/>
      <c r="I224" s="24"/>
      <c r="J224" s="24"/>
      <c r="K224" s="24"/>
      <c r="L224" s="24"/>
      <c r="M224" s="24"/>
      <c r="N224" s="24"/>
      <c r="O224" s="24"/>
      <c r="P224" s="24"/>
      <c r="Q224" s="24"/>
      <c r="R224" s="24"/>
      <c r="S224" s="25">
        <f t="shared" si="15"/>
        <v>0</v>
      </c>
      <c r="T224" s="25">
        <f>COUNTIF($V$4:V224,V224)</f>
        <v>81</v>
      </c>
      <c r="U224" s="25" t="str">
        <f>IF(T224=1,COUNTIF($T$4:T224,1),"")</f>
        <v/>
      </c>
      <c r="V224" s="26" t="str">
        <f>'施設状況(要更新)'!$E224&amp;'施設状況(要更新)'!$C224</f>
        <v/>
      </c>
      <c r="W224" s="26">
        <f>'施設状況(要更新)'!$F224</f>
        <v>0</v>
      </c>
      <c r="X224" s="27"/>
      <c r="Y224" s="26"/>
    </row>
    <row r="225" spans="1:25">
      <c r="A225" s="30"/>
      <c r="B225" s="24"/>
      <c r="C225" s="24"/>
      <c r="D225" s="24"/>
      <c r="E225" s="24"/>
      <c r="F225" s="24"/>
      <c r="G225" s="24"/>
      <c r="H225" s="24"/>
      <c r="I225" s="24"/>
      <c r="J225" s="24"/>
      <c r="K225" s="24"/>
      <c r="L225" s="24"/>
      <c r="M225" s="24"/>
      <c r="N225" s="24"/>
      <c r="O225" s="24"/>
      <c r="P225" s="24"/>
      <c r="Q225" s="24"/>
      <c r="R225" s="24"/>
      <c r="S225" s="25">
        <f t="shared" si="15"/>
        <v>0</v>
      </c>
      <c r="T225" s="25">
        <f>COUNTIF($V$4:V225,V225)</f>
        <v>82</v>
      </c>
      <c r="U225" s="25" t="str">
        <f>IF(T225=1,COUNTIF($T$4:T225,1),"")</f>
        <v/>
      </c>
      <c r="V225" s="26" t="str">
        <f>'施設状況(要更新)'!$E225&amp;'施設状況(要更新)'!$C225</f>
        <v/>
      </c>
      <c r="W225" s="26">
        <f>'施設状況(要更新)'!$F225</f>
        <v>0</v>
      </c>
      <c r="X225" s="27"/>
      <c r="Y225" s="26"/>
    </row>
    <row r="226" spans="1:25">
      <c r="A226" s="30"/>
      <c r="B226" s="24"/>
      <c r="C226" s="24"/>
      <c r="D226" s="24"/>
      <c r="E226" s="24"/>
      <c r="F226" s="24"/>
      <c r="G226" s="24"/>
      <c r="H226" s="24"/>
      <c r="I226" s="24"/>
      <c r="J226" s="24"/>
      <c r="K226" s="24"/>
      <c r="L226" s="24"/>
      <c r="M226" s="24"/>
      <c r="N226" s="24"/>
      <c r="O226" s="24"/>
      <c r="P226" s="24"/>
      <c r="Q226" s="24"/>
      <c r="R226" s="24"/>
      <c r="S226" s="25">
        <f t="shared" si="15"/>
        <v>0</v>
      </c>
      <c r="T226" s="25">
        <f>COUNTIF($V$4:V226,V226)</f>
        <v>83</v>
      </c>
      <c r="U226" s="25" t="str">
        <f>IF(T226=1,COUNTIF($T$4:T226,1),"")</f>
        <v/>
      </c>
      <c r="V226" s="26" t="str">
        <f>'施設状況(要更新)'!$E226&amp;'施設状況(要更新)'!$C226</f>
        <v/>
      </c>
      <c r="W226" s="26">
        <f>'施設状況(要更新)'!$F226</f>
        <v>0</v>
      </c>
      <c r="X226" s="27"/>
      <c r="Y226" s="26"/>
    </row>
    <row r="227" spans="1:25">
      <c r="A227" s="30"/>
      <c r="B227" s="24"/>
      <c r="C227" s="24"/>
      <c r="D227" s="24"/>
      <c r="E227" s="24"/>
      <c r="F227" s="24"/>
      <c r="G227" s="24"/>
      <c r="H227" s="24"/>
      <c r="I227" s="24"/>
      <c r="J227" s="24"/>
      <c r="K227" s="24"/>
      <c r="L227" s="24"/>
      <c r="M227" s="24"/>
      <c r="N227" s="24"/>
      <c r="O227" s="24"/>
      <c r="P227" s="24"/>
      <c r="Q227" s="24"/>
      <c r="R227" s="24"/>
      <c r="S227" s="25">
        <f t="shared" si="15"/>
        <v>0</v>
      </c>
      <c r="T227" s="25">
        <f>COUNTIF($V$4:V227,V227)</f>
        <v>84</v>
      </c>
      <c r="U227" s="25" t="str">
        <f>IF(T227=1,COUNTIF($T$4:T227,1),"")</f>
        <v/>
      </c>
      <c r="V227" s="26" t="str">
        <f>'施設状況(要更新)'!$E227&amp;'施設状況(要更新)'!$C227</f>
        <v/>
      </c>
      <c r="W227" s="26">
        <f>'施設状況(要更新)'!$F227</f>
        <v>0</v>
      </c>
      <c r="X227" s="27"/>
      <c r="Y227" s="26"/>
    </row>
    <row r="228" spans="1:25">
      <c r="A228" s="30"/>
      <c r="B228" s="24"/>
      <c r="C228" s="24"/>
      <c r="D228" s="24"/>
      <c r="E228" s="24"/>
      <c r="F228" s="24"/>
      <c r="G228" s="24"/>
      <c r="H228" s="24"/>
      <c r="I228" s="24"/>
      <c r="J228" s="24"/>
      <c r="K228" s="24"/>
      <c r="L228" s="24"/>
      <c r="M228" s="24"/>
      <c r="N228" s="24"/>
      <c r="O228" s="24"/>
      <c r="P228" s="24"/>
      <c r="Q228" s="24"/>
      <c r="R228" s="24"/>
      <c r="S228" s="25">
        <f t="shared" si="15"/>
        <v>0</v>
      </c>
      <c r="T228" s="25">
        <f>COUNTIF($V$4:V228,V228)</f>
        <v>85</v>
      </c>
      <c r="U228" s="25" t="str">
        <f>IF(T228=1,COUNTIF($T$4:T228,1),"")</f>
        <v/>
      </c>
      <c r="V228" s="26" t="str">
        <f>'施設状況(要更新)'!$E228&amp;'施設状況(要更新)'!$C228</f>
        <v/>
      </c>
      <c r="W228" s="26">
        <f>'施設状況(要更新)'!$F228</f>
        <v>0</v>
      </c>
      <c r="X228" s="27"/>
      <c r="Y228" s="26"/>
    </row>
    <row r="229" spans="1:25">
      <c r="A229" s="30"/>
      <c r="B229" s="24"/>
      <c r="C229" s="24"/>
      <c r="D229" s="24"/>
      <c r="E229" s="24"/>
      <c r="F229" s="24"/>
      <c r="G229" s="24"/>
      <c r="H229" s="24"/>
      <c r="I229" s="24"/>
      <c r="J229" s="24"/>
      <c r="K229" s="24"/>
      <c r="L229" s="24"/>
      <c r="M229" s="24"/>
      <c r="N229" s="24"/>
      <c r="O229" s="24"/>
      <c r="P229" s="24"/>
      <c r="Q229" s="24"/>
      <c r="R229" s="24"/>
      <c r="S229" s="25">
        <f t="shared" si="15"/>
        <v>0</v>
      </c>
      <c r="T229" s="25">
        <f>COUNTIF($V$4:V229,V229)</f>
        <v>86</v>
      </c>
      <c r="U229" s="25" t="str">
        <f>IF(T229=1,COUNTIF($T$4:T229,1),"")</f>
        <v/>
      </c>
      <c r="V229" s="26" t="str">
        <f>'施設状況(要更新)'!$E229&amp;'施設状況(要更新)'!$C229</f>
        <v/>
      </c>
      <c r="W229" s="26">
        <f>'施設状況(要更新)'!$F229</f>
        <v>0</v>
      </c>
      <c r="X229" s="27"/>
      <c r="Y229" s="26"/>
    </row>
    <row r="230" spans="1:25">
      <c r="A230" s="30"/>
      <c r="B230" s="24"/>
      <c r="C230" s="24"/>
      <c r="D230" s="24"/>
      <c r="E230" s="24"/>
      <c r="F230" s="24"/>
      <c r="G230" s="24"/>
      <c r="H230" s="24"/>
      <c r="I230" s="24"/>
      <c r="J230" s="24"/>
      <c r="K230" s="24"/>
      <c r="L230" s="24"/>
      <c r="M230" s="24"/>
      <c r="N230" s="24"/>
      <c r="O230" s="24"/>
      <c r="P230" s="24"/>
      <c r="Q230" s="24"/>
      <c r="R230" s="24"/>
      <c r="S230" s="25">
        <f t="shared" si="15"/>
        <v>0</v>
      </c>
      <c r="T230" s="25">
        <f>COUNTIF($V$4:V230,V230)</f>
        <v>87</v>
      </c>
      <c r="U230" s="25" t="str">
        <f>IF(T230=1,COUNTIF($T$4:T230,1),"")</f>
        <v/>
      </c>
      <c r="V230" s="26" t="str">
        <f>'施設状況(要更新)'!$E230&amp;'施設状況(要更新)'!$C230</f>
        <v/>
      </c>
      <c r="W230" s="26">
        <f>'施設状況(要更新)'!$F230</f>
        <v>0</v>
      </c>
      <c r="X230" s="27"/>
      <c r="Y230" s="26"/>
    </row>
    <row r="231" spans="1:25">
      <c r="A231" s="30"/>
      <c r="B231" s="24"/>
      <c r="C231" s="24"/>
      <c r="D231" s="24"/>
      <c r="E231" s="24"/>
      <c r="F231" s="24"/>
      <c r="G231" s="24"/>
      <c r="H231" s="24"/>
      <c r="I231" s="24"/>
      <c r="J231" s="24"/>
      <c r="K231" s="24"/>
      <c r="L231" s="24"/>
      <c r="M231" s="24"/>
      <c r="N231" s="24"/>
      <c r="O231" s="24"/>
      <c r="P231" s="24"/>
      <c r="Q231" s="24"/>
      <c r="R231" s="24"/>
      <c r="S231" s="25">
        <f t="shared" si="15"/>
        <v>0</v>
      </c>
      <c r="T231" s="25">
        <f>COUNTIF($V$4:V231,V231)</f>
        <v>88</v>
      </c>
      <c r="U231" s="25" t="str">
        <f>IF(T231=1,COUNTIF($T$4:T231,1),"")</f>
        <v/>
      </c>
      <c r="V231" s="26" t="str">
        <f>'施設状況(要更新)'!$E231&amp;'施設状況(要更新)'!$C231</f>
        <v/>
      </c>
      <c r="W231" s="26">
        <f>'施設状況(要更新)'!$F231</f>
        <v>0</v>
      </c>
      <c r="X231" s="27"/>
      <c r="Y231" s="26"/>
    </row>
    <row r="232" spans="1:25">
      <c r="A232" s="30"/>
      <c r="B232" s="24"/>
      <c r="C232" s="24"/>
      <c r="D232" s="24"/>
      <c r="E232" s="24"/>
      <c r="F232" s="24"/>
      <c r="G232" s="24"/>
      <c r="H232" s="24"/>
      <c r="I232" s="24"/>
      <c r="J232" s="24"/>
      <c r="K232" s="24"/>
      <c r="L232" s="24"/>
      <c r="M232" s="24"/>
      <c r="N232" s="24"/>
      <c r="O232" s="24"/>
      <c r="P232" s="24"/>
      <c r="Q232" s="24"/>
      <c r="R232" s="24"/>
      <c r="S232" s="25">
        <f t="shared" si="15"/>
        <v>0</v>
      </c>
      <c r="T232" s="25">
        <f>COUNTIF($V$4:V232,V232)</f>
        <v>89</v>
      </c>
      <c r="U232" s="25" t="str">
        <f>IF(T232=1,COUNTIF($T$4:T232,1),"")</f>
        <v/>
      </c>
      <c r="V232" s="26" t="str">
        <f>'施設状況(要更新)'!$E232&amp;'施設状況(要更新)'!$C232</f>
        <v/>
      </c>
      <c r="W232" s="26">
        <f>'施設状況(要更新)'!$F232</f>
        <v>0</v>
      </c>
      <c r="X232" s="27"/>
      <c r="Y232" s="26"/>
    </row>
    <row r="233" spans="1:25">
      <c r="A233" s="30"/>
      <c r="B233" s="24"/>
      <c r="C233" s="24"/>
      <c r="D233" s="24"/>
      <c r="E233" s="24"/>
      <c r="F233" s="24"/>
      <c r="G233" s="24"/>
      <c r="H233" s="24"/>
      <c r="I233" s="24"/>
      <c r="J233" s="24"/>
      <c r="K233" s="24"/>
      <c r="L233" s="24"/>
      <c r="M233" s="24"/>
      <c r="N233" s="24"/>
      <c r="O233" s="24"/>
      <c r="P233" s="24"/>
      <c r="Q233" s="24"/>
      <c r="R233" s="24"/>
      <c r="S233" s="25">
        <f t="shared" si="15"/>
        <v>0</v>
      </c>
      <c r="T233" s="25">
        <f>COUNTIF($V$4:V233,V233)</f>
        <v>90</v>
      </c>
      <c r="U233" s="25" t="str">
        <f>IF(T233=1,COUNTIF($T$4:T233,1),"")</f>
        <v/>
      </c>
      <c r="V233" s="26" t="str">
        <f>'施設状況(要更新)'!$E233&amp;'施設状況(要更新)'!$C233</f>
        <v/>
      </c>
      <c r="W233" s="26">
        <f>'施設状況(要更新)'!$F233</f>
        <v>0</v>
      </c>
      <c r="X233" s="27"/>
      <c r="Y233" s="26"/>
    </row>
    <row r="234" spans="1:25">
      <c r="A234" s="30"/>
      <c r="B234" s="24"/>
      <c r="C234" s="24"/>
      <c r="D234" s="24"/>
      <c r="E234" s="24"/>
      <c r="F234" s="24"/>
      <c r="G234" s="24"/>
      <c r="H234" s="24"/>
      <c r="I234" s="24"/>
      <c r="J234" s="24"/>
      <c r="K234" s="24"/>
      <c r="L234" s="24"/>
      <c r="M234" s="24"/>
      <c r="N234" s="24"/>
      <c r="O234" s="24"/>
      <c r="P234" s="24"/>
      <c r="Q234" s="24"/>
      <c r="R234" s="24"/>
      <c r="S234" s="25">
        <f t="shared" si="15"/>
        <v>0</v>
      </c>
      <c r="T234" s="25">
        <f>COUNTIF($V$4:V234,V234)</f>
        <v>91</v>
      </c>
      <c r="U234" s="25" t="str">
        <f>IF(T234=1,COUNTIF($T$4:T234,1),"")</f>
        <v/>
      </c>
      <c r="V234" s="26" t="str">
        <f>'施設状況(要更新)'!$E234&amp;'施設状況(要更新)'!$C234</f>
        <v/>
      </c>
      <c r="W234" s="26">
        <f>'施設状況(要更新)'!$F234</f>
        <v>0</v>
      </c>
      <c r="X234" s="27"/>
      <c r="Y234" s="26"/>
    </row>
    <row r="235" spans="1:25">
      <c r="A235" s="30"/>
      <c r="B235" s="24"/>
      <c r="C235" s="24"/>
      <c r="D235" s="24"/>
      <c r="E235" s="24"/>
      <c r="F235" s="24"/>
      <c r="G235" s="24"/>
      <c r="H235" s="24"/>
      <c r="I235" s="24"/>
      <c r="J235" s="24"/>
      <c r="K235" s="24"/>
      <c r="L235" s="24"/>
      <c r="M235" s="24"/>
      <c r="N235" s="24"/>
      <c r="O235" s="24"/>
      <c r="P235" s="24"/>
      <c r="Q235" s="24"/>
      <c r="R235" s="24"/>
      <c r="S235" s="25">
        <f t="shared" si="15"/>
        <v>0</v>
      </c>
      <c r="T235" s="25">
        <f>COUNTIF($V$4:V235,V235)</f>
        <v>92</v>
      </c>
      <c r="U235" s="25" t="str">
        <f>IF(T235=1,COUNTIF($T$4:T235,1),"")</f>
        <v/>
      </c>
      <c r="V235" s="26" t="str">
        <f>'施設状況(要更新)'!$E235&amp;'施設状況(要更新)'!$C235</f>
        <v/>
      </c>
      <c r="W235" s="26">
        <f>'施設状況(要更新)'!$F235</f>
        <v>0</v>
      </c>
      <c r="X235" s="27"/>
      <c r="Y235" s="26"/>
    </row>
    <row r="236" spans="1:25">
      <c r="A236" s="30"/>
      <c r="B236" s="24"/>
      <c r="C236" s="24"/>
      <c r="D236" s="24"/>
      <c r="E236" s="24"/>
      <c r="F236" s="24"/>
      <c r="G236" s="24"/>
      <c r="H236" s="24"/>
      <c r="I236" s="24"/>
      <c r="J236" s="24"/>
      <c r="K236" s="24"/>
      <c r="L236" s="24"/>
      <c r="M236" s="24"/>
      <c r="N236" s="24"/>
      <c r="O236" s="24"/>
      <c r="P236" s="24"/>
      <c r="Q236" s="24"/>
      <c r="R236" s="24"/>
      <c r="S236" s="25">
        <f t="shared" si="15"/>
        <v>0</v>
      </c>
      <c r="T236" s="25">
        <f>COUNTIF($V$4:V236,V236)</f>
        <v>93</v>
      </c>
      <c r="U236" s="25" t="str">
        <f>IF(T236=1,COUNTIF($T$4:T236,1),"")</f>
        <v/>
      </c>
      <c r="V236" s="26" t="str">
        <f>'施設状況(要更新)'!$E236&amp;'施設状況(要更新)'!$C236</f>
        <v/>
      </c>
      <c r="W236" s="26">
        <f>'施設状況(要更新)'!$F236</f>
        <v>0</v>
      </c>
      <c r="X236" s="27"/>
      <c r="Y236" s="26"/>
    </row>
    <row r="237" spans="1:25">
      <c r="A237" s="30"/>
      <c r="B237" s="24"/>
      <c r="C237" s="24"/>
      <c r="D237" s="24"/>
      <c r="E237" s="24"/>
      <c r="F237" s="24"/>
      <c r="G237" s="24"/>
      <c r="H237" s="24"/>
      <c r="I237" s="24"/>
      <c r="J237" s="24"/>
      <c r="K237" s="24"/>
      <c r="L237" s="24"/>
      <c r="M237" s="24"/>
      <c r="N237" s="24"/>
      <c r="O237" s="24"/>
      <c r="P237" s="24"/>
      <c r="Q237" s="24"/>
      <c r="R237" s="24"/>
      <c r="S237" s="25">
        <f t="shared" si="15"/>
        <v>0</v>
      </c>
      <c r="T237" s="25">
        <f>COUNTIF($V$4:V237,V237)</f>
        <v>94</v>
      </c>
      <c r="U237" s="25" t="str">
        <f>IF(T237=1,COUNTIF($T$4:T237,1),"")</f>
        <v/>
      </c>
      <c r="V237" s="26" t="str">
        <f>'施設状況(要更新)'!$E237&amp;'施設状況(要更新)'!$C237</f>
        <v/>
      </c>
      <c r="W237" s="26">
        <f>'施設状況(要更新)'!$F237</f>
        <v>0</v>
      </c>
      <c r="X237" s="27"/>
      <c r="Y237" s="26"/>
    </row>
    <row r="238" spans="1:25">
      <c r="A238" s="30"/>
      <c r="B238" s="24"/>
      <c r="C238" s="24"/>
      <c r="D238" s="24"/>
      <c r="E238" s="24"/>
      <c r="F238" s="24"/>
      <c r="G238" s="24"/>
      <c r="H238" s="24"/>
      <c r="I238" s="24"/>
      <c r="J238" s="24"/>
      <c r="K238" s="24"/>
      <c r="L238" s="24"/>
      <c r="M238" s="24"/>
      <c r="N238" s="24"/>
      <c r="O238" s="24"/>
      <c r="P238" s="24"/>
      <c r="Q238" s="24"/>
      <c r="R238" s="24"/>
      <c r="S238" s="25">
        <f t="shared" si="15"/>
        <v>0</v>
      </c>
      <c r="T238" s="25">
        <f>COUNTIF($V$4:V238,V238)</f>
        <v>95</v>
      </c>
      <c r="U238" s="25" t="str">
        <f>IF(T238=1,COUNTIF($T$4:T238,1),"")</f>
        <v/>
      </c>
      <c r="V238" s="26" t="str">
        <f>'施設状況(要更新)'!$E238&amp;'施設状況(要更新)'!$C238</f>
        <v/>
      </c>
      <c r="W238" s="26">
        <f>'施設状況(要更新)'!$F238</f>
        <v>0</v>
      </c>
      <c r="X238" s="27"/>
      <c r="Y238" s="26"/>
    </row>
    <row r="239" spans="1:25">
      <c r="A239" s="30"/>
      <c r="B239" s="24"/>
      <c r="C239" s="24"/>
      <c r="D239" s="24"/>
      <c r="E239" s="24"/>
      <c r="F239" s="24"/>
      <c r="G239" s="24"/>
      <c r="H239" s="24"/>
      <c r="I239" s="24"/>
      <c r="J239" s="24"/>
      <c r="K239" s="24"/>
      <c r="L239" s="24"/>
      <c r="M239" s="24"/>
      <c r="N239" s="24"/>
      <c r="O239" s="24"/>
      <c r="P239" s="24"/>
      <c r="Q239" s="24"/>
      <c r="R239" s="24"/>
      <c r="S239" s="25">
        <f t="shared" si="15"/>
        <v>0</v>
      </c>
      <c r="T239" s="25">
        <f>COUNTIF($V$4:V239,V239)</f>
        <v>96</v>
      </c>
      <c r="U239" s="25" t="str">
        <f>IF(T239=1,COUNTIF($T$4:T239,1),"")</f>
        <v/>
      </c>
      <c r="V239" s="26" t="str">
        <f>'施設状況(要更新)'!$E239&amp;'施設状況(要更新)'!$C239</f>
        <v/>
      </c>
      <c r="W239" s="26">
        <f>'施設状況(要更新)'!$F239</f>
        <v>0</v>
      </c>
      <c r="X239" s="27"/>
      <c r="Y239" s="26"/>
    </row>
    <row r="240" spans="1:25">
      <c r="A240" s="30"/>
      <c r="B240" s="24"/>
      <c r="C240" s="24"/>
      <c r="D240" s="24"/>
      <c r="E240" s="24"/>
      <c r="F240" s="24"/>
      <c r="G240" s="24"/>
      <c r="H240" s="24"/>
      <c r="I240" s="24"/>
      <c r="J240" s="24"/>
      <c r="K240" s="24"/>
      <c r="L240" s="24"/>
      <c r="M240" s="24"/>
      <c r="N240" s="24"/>
      <c r="O240" s="24"/>
      <c r="P240" s="24"/>
      <c r="Q240" s="24"/>
      <c r="R240" s="24"/>
      <c r="S240" s="25">
        <f t="shared" si="15"/>
        <v>0</v>
      </c>
      <c r="T240" s="25">
        <f>COUNTIF($V$4:V240,V240)</f>
        <v>97</v>
      </c>
      <c r="U240" s="25" t="str">
        <f>IF(T240=1,COUNTIF($T$4:T240,1),"")</f>
        <v/>
      </c>
      <c r="V240" s="26" t="str">
        <f>'施設状況(要更新)'!$E240&amp;'施設状況(要更新)'!$C240</f>
        <v/>
      </c>
      <c r="W240" s="26">
        <f>'施設状況(要更新)'!$F240</f>
        <v>0</v>
      </c>
      <c r="X240" s="27"/>
      <c r="Y240" s="26"/>
    </row>
    <row r="241" spans="1:25">
      <c r="A241" s="30"/>
      <c r="B241" s="24"/>
      <c r="C241" s="24"/>
      <c r="D241" s="24"/>
      <c r="E241" s="24"/>
      <c r="F241" s="24"/>
      <c r="G241" s="24"/>
      <c r="H241" s="24"/>
      <c r="I241" s="24"/>
      <c r="J241" s="24"/>
      <c r="K241" s="24"/>
      <c r="L241" s="24"/>
      <c r="M241" s="24"/>
      <c r="N241" s="24"/>
      <c r="O241" s="24"/>
      <c r="P241" s="24"/>
      <c r="Q241" s="24"/>
      <c r="R241" s="24"/>
      <c r="S241" s="25">
        <f t="shared" si="15"/>
        <v>0</v>
      </c>
      <c r="T241" s="25">
        <f>COUNTIF($V$4:V241,V241)</f>
        <v>98</v>
      </c>
      <c r="U241" s="25" t="str">
        <f>IF(T241=1,COUNTIF($T$4:T241,1),"")</f>
        <v/>
      </c>
      <c r="V241" s="26" t="str">
        <f>'施設状況(要更新)'!$E241&amp;'施設状況(要更新)'!$C241</f>
        <v/>
      </c>
      <c r="W241" s="26">
        <f>'施設状況(要更新)'!$F241</f>
        <v>0</v>
      </c>
      <c r="X241" s="27"/>
      <c r="Y241" s="26"/>
    </row>
    <row r="242" spans="1:25">
      <c r="A242" s="30"/>
      <c r="B242" s="24"/>
      <c r="C242" s="24"/>
      <c r="D242" s="24"/>
      <c r="E242" s="24"/>
      <c r="F242" s="24"/>
      <c r="G242" s="24"/>
      <c r="H242" s="24"/>
      <c r="I242" s="24"/>
      <c r="J242" s="24"/>
      <c r="K242" s="24"/>
      <c r="L242" s="24"/>
      <c r="M242" s="24"/>
      <c r="N242" s="24"/>
      <c r="O242" s="24"/>
      <c r="P242" s="24"/>
      <c r="Q242" s="24"/>
      <c r="R242" s="24"/>
      <c r="S242" s="25">
        <f t="shared" si="15"/>
        <v>0</v>
      </c>
      <c r="T242" s="25">
        <f>COUNTIF($V$4:V242,V242)</f>
        <v>99</v>
      </c>
      <c r="U242" s="25" t="str">
        <f>IF(T242=1,COUNTIF($T$4:T242,1),"")</f>
        <v/>
      </c>
      <c r="V242" s="26" t="str">
        <f>'施設状況(要更新)'!$E242&amp;'施設状況(要更新)'!$C242</f>
        <v/>
      </c>
      <c r="W242" s="26">
        <f>'施設状況(要更新)'!$F242</f>
        <v>0</v>
      </c>
      <c r="X242" s="27"/>
      <c r="Y242" s="26"/>
    </row>
    <row r="243" spans="1:25">
      <c r="A243" s="30"/>
      <c r="B243" s="24"/>
      <c r="C243" s="24"/>
      <c r="D243" s="24"/>
      <c r="E243" s="24"/>
      <c r="F243" s="24"/>
      <c r="G243" s="24"/>
      <c r="H243" s="24"/>
      <c r="I243" s="24"/>
      <c r="J243" s="24"/>
      <c r="K243" s="24"/>
      <c r="L243" s="24"/>
      <c r="M243" s="24"/>
      <c r="N243" s="24"/>
      <c r="O243" s="24"/>
      <c r="P243" s="24"/>
      <c r="Q243" s="24"/>
      <c r="R243" s="24"/>
      <c r="S243" s="25">
        <f t="shared" si="15"/>
        <v>0</v>
      </c>
      <c r="T243" s="25">
        <f>COUNTIF($V$4:V243,V243)</f>
        <v>100</v>
      </c>
      <c r="U243" s="25" t="str">
        <f>IF(T243=1,COUNTIF($T$4:T243,1),"")</f>
        <v/>
      </c>
      <c r="V243" s="26" t="str">
        <f>'施設状況(要更新)'!$E243&amp;'施設状況(要更新)'!$C243</f>
        <v/>
      </c>
      <c r="W243" s="26">
        <f>'施設状況(要更新)'!$F243</f>
        <v>0</v>
      </c>
      <c r="X243" s="27"/>
      <c r="Y243" s="26"/>
    </row>
    <row r="244" spans="1:25">
      <c r="A244" s="30"/>
      <c r="B244" s="24"/>
      <c r="C244" s="24"/>
      <c r="D244" s="24"/>
      <c r="E244" s="24"/>
      <c r="F244" s="24"/>
      <c r="G244" s="24"/>
      <c r="H244" s="24"/>
      <c r="I244" s="24"/>
      <c r="J244" s="24"/>
      <c r="K244" s="24"/>
      <c r="L244" s="24"/>
      <c r="M244" s="24"/>
      <c r="N244" s="24"/>
      <c r="O244" s="24"/>
      <c r="P244" s="24"/>
      <c r="Q244" s="24"/>
      <c r="R244" s="24"/>
      <c r="S244" s="25">
        <f t="shared" si="15"/>
        <v>0</v>
      </c>
      <c r="T244" s="25">
        <f>COUNTIF($V$4:V244,V244)</f>
        <v>101</v>
      </c>
      <c r="U244" s="25" t="str">
        <f>IF(T244=1,COUNTIF($T$4:T244,1),"")</f>
        <v/>
      </c>
      <c r="V244" s="26" t="str">
        <f>'施設状況(要更新)'!$E244&amp;'施設状況(要更新)'!$C244</f>
        <v/>
      </c>
      <c r="W244" s="26">
        <f>'施設状況(要更新)'!$F244</f>
        <v>0</v>
      </c>
      <c r="X244" s="27"/>
      <c r="Y244" s="26"/>
    </row>
    <row r="245" spans="1:25">
      <c r="A245" s="30"/>
      <c r="B245" s="24"/>
      <c r="C245" s="24"/>
      <c r="D245" s="24"/>
      <c r="E245" s="24"/>
      <c r="F245" s="24"/>
      <c r="G245" s="24"/>
      <c r="H245" s="24"/>
      <c r="I245" s="24"/>
      <c r="J245" s="24"/>
      <c r="K245" s="24"/>
      <c r="L245" s="24"/>
      <c r="M245" s="24"/>
      <c r="N245" s="24"/>
      <c r="O245" s="24"/>
      <c r="P245" s="24"/>
      <c r="Q245" s="24"/>
      <c r="R245" s="24"/>
      <c r="S245" s="25">
        <f t="shared" si="15"/>
        <v>0</v>
      </c>
      <c r="T245" s="25">
        <f>COUNTIF($V$4:V245,V245)</f>
        <v>102</v>
      </c>
      <c r="U245" s="25" t="str">
        <f>IF(T245=1,COUNTIF($T$4:T245,1),"")</f>
        <v/>
      </c>
      <c r="V245" s="26" t="str">
        <f>'施設状況(要更新)'!$E245&amp;'施設状況(要更新)'!$C245</f>
        <v/>
      </c>
      <c r="W245" s="26">
        <f>'施設状況(要更新)'!$F245</f>
        <v>0</v>
      </c>
      <c r="X245" s="27"/>
      <c r="Y245" s="26"/>
    </row>
    <row r="246" spans="1:25">
      <c r="A246" s="30"/>
      <c r="B246" s="24"/>
      <c r="C246" s="24"/>
      <c r="D246" s="24"/>
      <c r="E246" s="24"/>
      <c r="F246" s="24"/>
      <c r="G246" s="24"/>
      <c r="H246" s="24"/>
      <c r="I246" s="24"/>
      <c r="J246" s="24"/>
      <c r="K246" s="24"/>
      <c r="L246" s="24"/>
      <c r="M246" s="24"/>
      <c r="N246" s="24"/>
      <c r="O246" s="24"/>
      <c r="P246" s="24"/>
      <c r="Q246" s="24"/>
      <c r="R246" s="24"/>
      <c r="S246" s="25">
        <f t="shared" si="15"/>
        <v>0</v>
      </c>
      <c r="T246" s="25">
        <f>COUNTIF($V$4:V246,V246)</f>
        <v>103</v>
      </c>
      <c r="U246" s="25" t="str">
        <f>IF(T246=1,COUNTIF($T$4:T246,1),"")</f>
        <v/>
      </c>
      <c r="V246" s="26" t="str">
        <f>'施設状況(要更新)'!$E246&amp;'施設状況(要更新)'!$C246</f>
        <v/>
      </c>
      <c r="W246" s="26">
        <f>'施設状況(要更新)'!$F246</f>
        <v>0</v>
      </c>
      <c r="X246" s="27"/>
      <c r="Y246" s="26"/>
    </row>
    <row r="247" spans="1:25">
      <c r="A247" s="30"/>
      <c r="B247" s="24"/>
      <c r="C247" s="24"/>
      <c r="D247" s="24"/>
      <c r="E247" s="24"/>
      <c r="F247" s="24"/>
      <c r="G247" s="24"/>
      <c r="H247" s="24"/>
      <c r="I247" s="24"/>
      <c r="J247" s="24"/>
      <c r="K247" s="24"/>
      <c r="L247" s="24"/>
      <c r="M247" s="24"/>
      <c r="N247" s="24"/>
      <c r="O247" s="24"/>
      <c r="P247" s="24"/>
      <c r="Q247" s="24"/>
      <c r="R247" s="24"/>
      <c r="S247" s="25">
        <f t="shared" si="15"/>
        <v>0</v>
      </c>
      <c r="T247" s="25">
        <f>COUNTIF($V$4:V247,V247)</f>
        <v>104</v>
      </c>
      <c r="U247" s="25" t="str">
        <f>IF(T247=1,COUNTIF($T$4:T247,1),"")</f>
        <v/>
      </c>
      <c r="V247" s="26" t="str">
        <f>'施設状況(要更新)'!$E247&amp;'施設状況(要更新)'!$C247</f>
        <v/>
      </c>
      <c r="W247" s="26">
        <f>'施設状況(要更新)'!$F247</f>
        <v>0</v>
      </c>
      <c r="X247" s="27"/>
      <c r="Y247" s="26"/>
    </row>
    <row r="248" spans="1:25">
      <c r="A248" s="30"/>
      <c r="B248" s="24"/>
      <c r="C248" s="24"/>
      <c r="D248" s="24"/>
      <c r="E248" s="24"/>
      <c r="F248" s="24"/>
      <c r="G248" s="24"/>
      <c r="H248" s="24"/>
      <c r="I248" s="24"/>
      <c r="J248" s="24"/>
      <c r="K248" s="24"/>
      <c r="L248" s="24"/>
      <c r="M248" s="24"/>
      <c r="N248" s="24"/>
      <c r="O248" s="24"/>
      <c r="P248" s="24"/>
      <c r="Q248" s="24"/>
      <c r="R248" s="24"/>
      <c r="S248" s="25">
        <f t="shared" si="15"/>
        <v>0</v>
      </c>
      <c r="T248" s="25">
        <f>COUNTIF($V$4:V248,V248)</f>
        <v>105</v>
      </c>
      <c r="U248" s="25" t="str">
        <f>IF(T248=1,COUNTIF($T$4:T248,1),"")</f>
        <v/>
      </c>
      <c r="V248" s="26" t="str">
        <f>'施設状況(要更新)'!$E248&amp;'施設状況(要更新)'!$C248</f>
        <v/>
      </c>
      <c r="W248" s="26">
        <f>'施設状況(要更新)'!$F248</f>
        <v>0</v>
      </c>
      <c r="X248" s="27"/>
      <c r="Y248" s="26"/>
    </row>
    <row r="249" spans="1:25">
      <c r="A249" s="30"/>
      <c r="B249" s="24"/>
      <c r="C249" s="24"/>
      <c r="D249" s="24"/>
      <c r="E249" s="24"/>
      <c r="F249" s="24"/>
      <c r="G249" s="24"/>
      <c r="H249" s="24"/>
      <c r="I249" s="24"/>
      <c r="J249" s="24"/>
      <c r="K249" s="24"/>
      <c r="L249" s="24"/>
      <c r="M249" s="24"/>
      <c r="N249" s="24"/>
      <c r="O249" s="24"/>
      <c r="P249" s="24"/>
      <c r="Q249" s="24"/>
      <c r="R249" s="24"/>
      <c r="S249" s="25">
        <f t="shared" si="15"/>
        <v>0</v>
      </c>
      <c r="T249" s="25">
        <f>COUNTIF($V$4:V249,V249)</f>
        <v>106</v>
      </c>
      <c r="U249" s="25" t="str">
        <f>IF(T249=1,COUNTIF($T$4:T249,1),"")</f>
        <v/>
      </c>
      <c r="V249" s="26" t="str">
        <f>'施設状況(要更新)'!$E249&amp;'施設状況(要更新)'!$C249</f>
        <v/>
      </c>
      <c r="W249" s="26">
        <f>'施設状況(要更新)'!$F249</f>
        <v>0</v>
      </c>
      <c r="X249" s="27"/>
      <c r="Y249" s="26"/>
    </row>
    <row r="250" spans="1:25">
      <c r="A250" s="30"/>
      <c r="B250" s="24"/>
      <c r="C250" s="24"/>
      <c r="D250" s="24"/>
      <c r="E250" s="24"/>
      <c r="F250" s="24"/>
      <c r="G250" s="24"/>
      <c r="H250" s="24"/>
      <c r="I250" s="24"/>
      <c r="J250" s="24"/>
      <c r="K250" s="24"/>
      <c r="L250" s="24"/>
      <c r="M250" s="24"/>
      <c r="N250" s="24"/>
      <c r="O250" s="24"/>
      <c r="P250" s="24"/>
      <c r="Q250" s="24"/>
      <c r="R250" s="24"/>
      <c r="S250" s="25">
        <f t="shared" si="15"/>
        <v>0</v>
      </c>
      <c r="T250" s="25">
        <f>COUNTIF($V$4:V250,V250)</f>
        <v>107</v>
      </c>
      <c r="U250" s="25" t="str">
        <f>IF(T250=1,COUNTIF($T$4:T250,1),"")</f>
        <v/>
      </c>
      <c r="V250" s="26" t="str">
        <f>'施設状況(要更新)'!$E250&amp;'施設状況(要更新)'!$C250</f>
        <v/>
      </c>
      <c r="W250" s="26">
        <f>'施設状況(要更新)'!$F250</f>
        <v>0</v>
      </c>
      <c r="X250" s="27"/>
      <c r="Y250" s="26"/>
    </row>
    <row r="251" spans="1:25">
      <c r="A251" s="30"/>
      <c r="B251" s="24"/>
      <c r="C251" s="24"/>
      <c r="D251" s="24"/>
      <c r="E251" s="24"/>
      <c r="F251" s="24"/>
      <c r="G251" s="24"/>
      <c r="H251" s="24"/>
      <c r="I251" s="24"/>
      <c r="J251" s="24"/>
      <c r="K251" s="24"/>
      <c r="L251" s="24"/>
      <c r="M251" s="24"/>
      <c r="N251" s="24"/>
      <c r="O251" s="24"/>
      <c r="P251" s="24"/>
      <c r="Q251" s="24"/>
      <c r="R251" s="24"/>
      <c r="S251" s="25">
        <f t="shared" si="15"/>
        <v>0</v>
      </c>
      <c r="T251" s="25">
        <f>COUNTIF($V$4:V251,V251)</f>
        <v>108</v>
      </c>
      <c r="U251" s="25" t="str">
        <f>IF(T251=1,COUNTIF($T$4:T251,1),"")</f>
        <v/>
      </c>
      <c r="V251" s="26" t="str">
        <f>'施設状況(要更新)'!$E251&amp;'施設状況(要更新)'!$C251</f>
        <v/>
      </c>
      <c r="W251" s="26">
        <f>'施設状況(要更新)'!$F251</f>
        <v>0</v>
      </c>
      <c r="X251" s="27"/>
      <c r="Y251" s="26"/>
    </row>
    <row r="252" spans="1:25">
      <c r="A252" s="30"/>
      <c r="B252" s="24"/>
      <c r="C252" s="24"/>
      <c r="D252" s="24"/>
      <c r="E252" s="24"/>
      <c r="F252" s="24"/>
      <c r="G252" s="24"/>
      <c r="H252" s="24"/>
      <c r="I252" s="24"/>
      <c r="J252" s="24"/>
      <c r="K252" s="24"/>
      <c r="L252" s="24"/>
      <c r="M252" s="24"/>
      <c r="N252" s="24"/>
      <c r="O252" s="24"/>
      <c r="P252" s="24"/>
      <c r="Q252" s="24"/>
      <c r="R252" s="24"/>
      <c r="S252" s="25">
        <f t="shared" si="15"/>
        <v>0</v>
      </c>
      <c r="T252" s="25">
        <f>COUNTIF($V$4:V252,V252)</f>
        <v>109</v>
      </c>
      <c r="U252" s="25" t="str">
        <f>IF(T252=1,COUNTIF($T$4:T252,1),"")</f>
        <v/>
      </c>
      <c r="V252" s="26" t="str">
        <f>'施設状況(要更新)'!$E252&amp;'施設状況(要更新)'!$C252</f>
        <v/>
      </c>
      <c r="W252" s="26">
        <f>'施設状況(要更新)'!$F252</f>
        <v>0</v>
      </c>
      <c r="X252" s="27"/>
      <c r="Y252" s="26"/>
    </row>
    <row r="253" spans="1:25">
      <c r="A253" s="30"/>
      <c r="B253" s="24"/>
      <c r="C253" s="24"/>
      <c r="D253" s="24"/>
      <c r="E253" s="24"/>
      <c r="F253" s="24"/>
      <c r="G253" s="24"/>
      <c r="H253" s="24"/>
      <c r="I253" s="24"/>
      <c r="J253" s="24"/>
      <c r="K253" s="24"/>
      <c r="L253" s="24"/>
      <c r="M253" s="24"/>
      <c r="N253" s="24"/>
      <c r="O253" s="24"/>
      <c r="P253" s="24"/>
      <c r="Q253" s="24"/>
      <c r="R253" s="24"/>
      <c r="S253" s="25">
        <f t="shared" si="15"/>
        <v>0</v>
      </c>
      <c r="T253" s="25">
        <f>COUNTIF($V$4:V253,V253)</f>
        <v>110</v>
      </c>
      <c r="U253" s="25" t="str">
        <f>IF(T253=1,COUNTIF($T$4:T253,1),"")</f>
        <v/>
      </c>
      <c r="V253" s="26" t="str">
        <f>'施設状況(要更新)'!$E253&amp;'施設状況(要更新)'!$C253</f>
        <v/>
      </c>
      <c r="W253" s="26">
        <f>'施設状況(要更新)'!$F253</f>
        <v>0</v>
      </c>
      <c r="X253" s="27"/>
      <c r="Y253" s="26"/>
    </row>
    <row r="254" spans="1:25">
      <c r="A254" s="30"/>
      <c r="B254" s="24"/>
      <c r="C254" s="24"/>
      <c r="D254" s="24"/>
      <c r="E254" s="24"/>
      <c r="F254" s="24"/>
      <c r="G254" s="24"/>
      <c r="H254" s="24"/>
      <c r="I254" s="24"/>
      <c r="J254" s="24"/>
      <c r="K254" s="24"/>
      <c r="L254" s="24"/>
      <c r="M254" s="24"/>
      <c r="N254" s="24"/>
      <c r="O254" s="24"/>
      <c r="P254" s="24"/>
      <c r="Q254" s="24"/>
      <c r="R254" s="24"/>
      <c r="S254" s="25">
        <f t="shared" si="15"/>
        <v>0</v>
      </c>
      <c r="T254" s="25">
        <f>COUNTIF($V$4:V254,V254)</f>
        <v>111</v>
      </c>
      <c r="U254" s="25" t="str">
        <f>IF(T254=1,COUNTIF($T$4:T254,1),"")</f>
        <v/>
      </c>
      <c r="V254" s="26" t="str">
        <f>'施設状況(要更新)'!$E254&amp;'施設状況(要更新)'!$C254</f>
        <v/>
      </c>
      <c r="W254" s="26">
        <f>'施設状況(要更新)'!$F254</f>
        <v>0</v>
      </c>
      <c r="X254" s="27"/>
      <c r="Y254" s="26"/>
    </row>
    <row r="255" spans="1:25">
      <c r="A255" s="30"/>
      <c r="B255" s="24"/>
      <c r="C255" s="24"/>
      <c r="D255" s="24"/>
      <c r="E255" s="24"/>
      <c r="F255" s="24"/>
      <c r="G255" s="24"/>
      <c r="H255" s="24"/>
      <c r="I255" s="24"/>
      <c r="J255" s="24"/>
      <c r="K255" s="24"/>
      <c r="L255" s="24"/>
      <c r="M255" s="24"/>
      <c r="N255" s="24"/>
      <c r="O255" s="24"/>
      <c r="P255" s="24"/>
      <c r="Q255" s="24"/>
      <c r="R255" s="24"/>
      <c r="S255" s="25">
        <f t="shared" si="15"/>
        <v>0</v>
      </c>
      <c r="T255" s="25">
        <f>COUNTIF($V$4:V255,V255)</f>
        <v>112</v>
      </c>
      <c r="U255" s="25" t="str">
        <f>IF(T255=1,COUNTIF($T$4:T255,1),"")</f>
        <v/>
      </c>
      <c r="V255" s="26" t="str">
        <f>'施設状況(要更新)'!$E255&amp;'施設状況(要更新)'!$C255</f>
        <v/>
      </c>
      <c r="W255" s="26">
        <f>'施設状況(要更新)'!$F255</f>
        <v>0</v>
      </c>
      <c r="X255" s="27"/>
      <c r="Y255" s="26"/>
    </row>
    <row r="256" spans="1:25">
      <c r="A256" s="30"/>
      <c r="B256" s="24"/>
      <c r="C256" s="24"/>
      <c r="D256" s="24"/>
      <c r="E256" s="24"/>
      <c r="F256" s="24"/>
      <c r="G256" s="24"/>
      <c r="H256" s="24"/>
      <c r="I256" s="24"/>
      <c r="J256" s="24"/>
      <c r="K256" s="24"/>
      <c r="L256" s="24"/>
      <c r="M256" s="24"/>
      <c r="N256" s="24"/>
      <c r="O256" s="24"/>
      <c r="P256" s="24"/>
      <c r="Q256" s="24"/>
      <c r="R256" s="24"/>
      <c r="S256" s="25">
        <f t="shared" si="15"/>
        <v>0</v>
      </c>
      <c r="T256" s="25">
        <f>COUNTIF($V$4:V256,V256)</f>
        <v>113</v>
      </c>
      <c r="U256" s="25" t="str">
        <f>IF(T256=1,COUNTIF($T$4:T256,1),"")</f>
        <v/>
      </c>
      <c r="V256" s="26" t="str">
        <f>'施設状況(要更新)'!$E256&amp;'施設状況(要更新)'!$C256</f>
        <v/>
      </c>
      <c r="W256" s="26">
        <f>'施設状況(要更新)'!$F256</f>
        <v>0</v>
      </c>
      <c r="X256" s="27"/>
      <c r="Y256" s="26"/>
    </row>
    <row r="257" spans="1:25">
      <c r="A257" s="30"/>
      <c r="B257" s="24"/>
      <c r="C257" s="24"/>
      <c r="D257" s="24"/>
      <c r="E257" s="24"/>
      <c r="F257" s="24"/>
      <c r="G257" s="24"/>
      <c r="H257" s="24"/>
      <c r="I257" s="24"/>
      <c r="J257" s="24"/>
      <c r="K257" s="24"/>
      <c r="L257" s="24"/>
      <c r="M257" s="24"/>
      <c r="N257" s="24"/>
      <c r="O257" s="24"/>
      <c r="P257" s="24"/>
      <c r="Q257" s="24"/>
      <c r="R257" s="24"/>
      <c r="S257" s="25">
        <f t="shared" si="15"/>
        <v>0</v>
      </c>
      <c r="T257" s="25">
        <f>COUNTIF($V$4:V257,V257)</f>
        <v>114</v>
      </c>
      <c r="U257" s="25" t="str">
        <f>IF(T257=1,COUNTIF($T$4:T257,1),"")</f>
        <v/>
      </c>
      <c r="V257" s="26" t="str">
        <f>'施設状況(要更新)'!$E257&amp;'施設状況(要更新)'!$C257</f>
        <v/>
      </c>
      <c r="W257" s="26">
        <f>'施設状況(要更新)'!$F257</f>
        <v>0</v>
      </c>
      <c r="X257" s="27"/>
      <c r="Y257" s="26"/>
    </row>
    <row r="258" spans="1:25">
      <c r="A258" s="30"/>
      <c r="B258" s="24"/>
      <c r="C258" s="24"/>
      <c r="D258" s="24"/>
      <c r="E258" s="24"/>
      <c r="F258" s="24"/>
      <c r="G258" s="24"/>
      <c r="H258" s="24"/>
      <c r="I258" s="24"/>
      <c r="J258" s="24"/>
      <c r="K258" s="24"/>
      <c r="L258" s="24"/>
      <c r="M258" s="24"/>
      <c r="N258" s="24"/>
      <c r="O258" s="24"/>
      <c r="P258" s="24"/>
      <c r="Q258" s="24"/>
      <c r="R258" s="24"/>
      <c r="S258" s="25">
        <f t="shared" si="15"/>
        <v>0</v>
      </c>
      <c r="T258" s="25">
        <f>COUNTIF($V$4:V258,V258)</f>
        <v>115</v>
      </c>
      <c r="U258" s="25" t="str">
        <f>IF(T258=1,COUNTIF($T$4:T258,1),"")</f>
        <v/>
      </c>
      <c r="V258" s="26" t="str">
        <f>'施設状況(要更新)'!$E258&amp;'施設状況(要更新)'!$C258</f>
        <v/>
      </c>
      <c r="W258" s="26">
        <f>'施設状況(要更新)'!$F258</f>
        <v>0</v>
      </c>
      <c r="X258" s="27"/>
      <c r="Y258" s="26"/>
    </row>
    <row r="259" spans="1:25">
      <c r="A259" s="30"/>
      <c r="B259" s="24"/>
      <c r="C259" s="24"/>
      <c r="D259" s="24"/>
      <c r="E259" s="24"/>
      <c r="F259" s="24"/>
      <c r="G259" s="24"/>
      <c r="H259" s="24"/>
      <c r="I259" s="24"/>
      <c r="J259" s="24"/>
      <c r="K259" s="24"/>
      <c r="L259" s="24"/>
      <c r="M259" s="24"/>
      <c r="N259" s="24"/>
      <c r="O259" s="24"/>
      <c r="P259" s="24"/>
      <c r="Q259" s="24"/>
      <c r="R259" s="24"/>
      <c r="S259" s="25">
        <f t="shared" si="15"/>
        <v>0</v>
      </c>
      <c r="T259" s="25">
        <f>COUNTIF($V$4:V259,V259)</f>
        <v>116</v>
      </c>
      <c r="U259" s="25" t="str">
        <f>IF(T259=1,COUNTIF($T$4:T259,1),"")</f>
        <v/>
      </c>
      <c r="V259" s="26" t="str">
        <f>'施設状況(要更新)'!$E259&amp;'施設状況(要更新)'!$C259</f>
        <v/>
      </c>
      <c r="W259" s="26">
        <f>'施設状況(要更新)'!$F259</f>
        <v>0</v>
      </c>
      <c r="X259" s="27"/>
      <c r="Y259" s="26"/>
    </row>
    <row r="260" spans="1:25">
      <c r="A260" s="30"/>
      <c r="B260" s="24"/>
      <c r="C260" s="24"/>
      <c r="D260" s="24"/>
      <c r="E260" s="24"/>
      <c r="F260" s="24"/>
      <c r="G260" s="24"/>
      <c r="H260" s="24"/>
      <c r="I260" s="24"/>
      <c r="J260" s="24"/>
      <c r="K260" s="24"/>
      <c r="L260" s="24"/>
      <c r="M260" s="24"/>
      <c r="N260" s="24"/>
      <c r="O260" s="24"/>
      <c r="P260" s="24"/>
      <c r="Q260" s="24"/>
      <c r="R260" s="24"/>
      <c r="S260" s="25">
        <f t="shared" si="15"/>
        <v>0</v>
      </c>
      <c r="T260" s="25">
        <f>COUNTIF($V$4:V260,V260)</f>
        <v>117</v>
      </c>
      <c r="U260" s="25" t="str">
        <f>IF(T260=1,COUNTIF($T$4:T260,1),"")</f>
        <v/>
      </c>
      <c r="V260" s="26" t="str">
        <f>'施設状況(要更新)'!$E260&amp;'施設状況(要更新)'!$C260</f>
        <v/>
      </c>
      <c r="W260" s="26">
        <f>'施設状況(要更新)'!$F260</f>
        <v>0</v>
      </c>
      <c r="X260" s="27"/>
      <c r="Y260" s="26"/>
    </row>
    <row r="261" spans="1:25">
      <c r="A261" s="30"/>
      <c r="B261" s="24"/>
      <c r="C261" s="24"/>
      <c r="D261" s="24"/>
      <c r="E261" s="24"/>
      <c r="F261" s="24"/>
      <c r="G261" s="24"/>
      <c r="H261" s="24"/>
      <c r="I261" s="24"/>
      <c r="J261" s="24"/>
      <c r="K261" s="24"/>
      <c r="L261" s="24"/>
      <c r="M261" s="24"/>
      <c r="N261" s="24"/>
      <c r="O261" s="24"/>
      <c r="P261" s="24"/>
      <c r="Q261" s="24"/>
      <c r="R261" s="24"/>
      <c r="S261" s="25">
        <f t="shared" ref="S261:S324" si="16">A261</f>
        <v>0</v>
      </c>
      <c r="T261" s="25">
        <f>COUNTIF($V$4:V261,V261)</f>
        <v>118</v>
      </c>
      <c r="U261" s="25" t="str">
        <f>IF(T261=1,COUNTIF($T$4:T261,1),"")</f>
        <v/>
      </c>
      <c r="V261" s="26" t="str">
        <f>'施設状況(要更新)'!$E261&amp;'施設状況(要更新)'!$C261</f>
        <v/>
      </c>
      <c r="W261" s="26">
        <f>'施設状況(要更新)'!$F261</f>
        <v>0</v>
      </c>
      <c r="X261" s="27"/>
      <c r="Y261" s="26"/>
    </row>
    <row r="262" spans="1:25">
      <c r="A262" s="30"/>
      <c r="B262" s="24"/>
      <c r="C262" s="24"/>
      <c r="D262" s="24"/>
      <c r="E262" s="24"/>
      <c r="F262" s="24"/>
      <c r="G262" s="24"/>
      <c r="H262" s="24"/>
      <c r="I262" s="24"/>
      <c r="J262" s="24"/>
      <c r="K262" s="24"/>
      <c r="L262" s="24"/>
      <c r="M262" s="24"/>
      <c r="N262" s="24"/>
      <c r="O262" s="24"/>
      <c r="P262" s="24"/>
      <c r="Q262" s="24"/>
      <c r="R262" s="24"/>
      <c r="S262" s="25">
        <f t="shared" si="16"/>
        <v>0</v>
      </c>
      <c r="T262" s="25">
        <f>COUNTIF($V$4:V262,V262)</f>
        <v>119</v>
      </c>
      <c r="U262" s="25" t="str">
        <f>IF(T262=1,COUNTIF($T$4:T262,1),"")</f>
        <v/>
      </c>
      <c r="V262" s="26" t="str">
        <f>'施設状況(要更新)'!$E262&amp;'施設状況(要更新)'!$C262</f>
        <v/>
      </c>
      <c r="W262" s="26">
        <f>'施設状況(要更新)'!$F262</f>
        <v>0</v>
      </c>
      <c r="X262" s="27"/>
      <c r="Y262" s="26"/>
    </row>
    <row r="263" spans="1:25">
      <c r="A263" s="30"/>
      <c r="B263" s="24"/>
      <c r="C263" s="24"/>
      <c r="D263" s="24"/>
      <c r="E263" s="24"/>
      <c r="F263" s="24"/>
      <c r="G263" s="24"/>
      <c r="H263" s="24"/>
      <c r="I263" s="24"/>
      <c r="J263" s="24"/>
      <c r="K263" s="24"/>
      <c r="L263" s="24"/>
      <c r="M263" s="24"/>
      <c r="N263" s="24"/>
      <c r="O263" s="24"/>
      <c r="P263" s="24"/>
      <c r="Q263" s="24"/>
      <c r="R263" s="24"/>
      <c r="S263" s="25">
        <f t="shared" si="16"/>
        <v>0</v>
      </c>
      <c r="T263" s="25">
        <f>COUNTIF($V$4:V263,V263)</f>
        <v>120</v>
      </c>
      <c r="U263" s="25" t="str">
        <f>IF(T263=1,COUNTIF($T$4:T263,1),"")</f>
        <v/>
      </c>
      <c r="V263" s="26" t="str">
        <f>'施設状況(要更新)'!$E263&amp;'施設状況(要更新)'!$C263</f>
        <v/>
      </c>
      <c r="W263" s="26">
        <f>'施設状況(要更新)'!$F263</f>
        <v>0</v>
      </c>
      <c r="X263" s="27"/>
      <c r="Y263" s="26"/>
    </row>
    <row r="264" spans="1:25">
      <c r="A264" s="30"/>
      <c r="B264" s="24"/>
      <c r="C264" s="24"/>
      <c r="D264" s="24"/>
      <c r="E264" s="24"/>
      <c r="F264" s="24"/>
      <c r="G264" s="24"/>
      <c r="H264" s="24"/>
      <c r="I264" s="24"/>
      <c r="J264" s="24"/>
      <c r="K264" s="24"/>
      <c r="L264" s="24"/>
      <c r="M264" s="24"/>
      <c r="N264" s="24"/>
      <c r="O264" s="24"/>
      <c r="P264" s="24"/>
      <c r="Q264" s="24"/>
      <c r="R264" s="24"/>
      <c r="S264" s="25">
        <f t="shared" si="16"/>
        <v>0</v>
      </c>
      <c r="T264" s="25">
        <f>COUNTIF($V$4:V264,V264)</f>
        <v>121</v>
      </c>
      <c r="U264" s="25" t="str">
        <f>IF(T264=1,COUNTIF($T$4:T264,1),"")</f>
        <v/>
      </c>
      <c r="V264" s="26" t="str">
        <f>'施設状況(要更新)'!$E264&amp;'施設状況(要更新)'!$C264</f>
        <v/>
      </c>
      <c r="W264" s="26">
        <f>'施設状況(要更新)'!$F264</f>
        <v>0</v>
      </c>
      <c r="X264" s="27"/>
      <c r="Y264" s="26"/>
    </row>
    <row r="265" spans="1:25">
      <c r="A265" s="30"/>
      <c r="B265" s="24"/>
      <c r="C265" s="24"/>
      <c r="D265" s="24"/>
      <c r="E265" s="24"/>
      <c r="F265" s="24"/>
      <c r="G265" s="24"/>
      <c r="H265" s="24"/>
      <c r="I265" s="24"/>
      <c r="J265" s="24"/>
      <c r="K265" s="24"/>
      <c r="L265" s="24"/>
      <c r="M265" s="24"/>
      <c r="N265" s="24"/>
      <c r="O265" s="24"/>
      <c r="P265" s="24"/>
      <c r="Q265" s="24"/>
      <c r="R265" s="24"/>
      <c r="S265" s="25">
        <f t="shared" si="16"/>
        <v>0</v>
      </c>
      <c r="T265" s="25">
        <f>COUNTIF($V$4:V265,V265)</f>
        <v>122</v>
      </c>
      <c r="U265" s="25" t="str">
        <f>IF(T265=1,COUNTIF($T$4:T265,1),"")</f>
        <v/>
      </c>
      <c r="V265" s="26" t="str">
        <f>'施設状況(要更新)'!$E265&amp;'施設状況(要更新)'!$C265</f>
        <v/>
      </c>
      <c r="W265" s="26">
        <f>'施設状況(要更新)'!$F265</f>
        <v>0</v>
      </c>
      <c r="X265" s="27"/>
      <c r="Y265" s="26"/>
    </row>
    <row r="266" spans="1:25">
      <c r="A266" s="30"/>
      <c r="B266" s="24"/>
      <c r="C266" s="24"/>
      <c r="D266" s="24"/>
      <c r="E266" s="24"/>
      <c r="F266" s="24"/>
      <c r="G266" s="24"/>
      <c r="H266" s="24"/>
      <c r="I266" s="24"/>
      <c r="J266" s="24"/>
      <c r="K266" s="24"/>
      <c r="L266" s="24"/>
      <c r="M266" s="24"/>
      <c r="N266" s="24"/>
      <c r="O266" s="24"/>
      <c r="P266" s="24"/>
      <c r="Q266" s="24"/>
      <c r="R266" s="24"/>
      <c r="S266" s="25">
        <f t="shared" si="16"/>
        <v>0</v>
      </c>
      <c r="T266" s="25">
        <f>COUNTIF($V$4:V266,V266)</f>
        <v>123</v>
      </c>
      <c r="U266" s="25" t="str">
        <f>IF(T266=1,COUNTIF($T$4:T266,1),"")</f>
        <v/>
      </c>
      <c r="V266" s="26" t="str">
        <f>'施設状況(要更新)'!$E266&amp;'施設状況(要更新)'!$C266</f>
        <v/>
      </c>
      <c r="W266" s="26">
        <f>'施設状況(要更新)'!$F266</f>
        <v>0</v>
      </c>
      <c r="X266" s="27"/>
      <c r="Y266" s="26"/>
    </row>
    <row r="267" spans="1:25">
      <c r="A267" s="30"/>
      <c r="B267" s="24"/>
      <c r="C267" s="24"/>
      <c r="D267" s="24"/>
      <c r="E267" s="24"/>
      <c r="F267" s="24"/>
      <c r="G267" s="24"/>
      <c r="H267" s="24"/>
      <c r="I267" s="24"/>
      <c r="J267" s="24"/>
      <c r="K267" s="24"/>
      <c r="L267" s="24"/>
      <c r="M267" s="24"/>
      <c r="N267" s="24"/>
      <c r="O267" s="24"/>
      <c r="P267" s="24"/>
      <c r="Q267" s="24"/>
      <c r="R267" s="24"/>
      <c r="S267" s="25">
        <f t="shared" si="16"/>
        <v>0</v>
      </c>
      <c r="T267" s="25">
        <f>COUNTIF($V$4:V267,V267)</f>
        <v>124</v>
      </c>
      <c r="U267" s="25" t="str">
        <f>IF(T267=1,COUNTIF($T$4:T267,1),"")</f>
        <v/>
      </c>
      <c r="V267" s="26" t="str">
        <f>'施設状況(要更新)'!$E267&amp;'施設状況(要更新)'!$C267</f>
        <v/>
      </c>
      <c r="W267" s="26">
        <f>'施設状況(要更新)'!$F267</f>
        <v>0</v>
      </c>
      <c r="X267" s="27"/>
      <c r="Y267" s="26"/>
    </row>
    <row r="268" spans="1:25">
      <c r="A268" s="30"/>
      <c r="B268" s="24"/>
      <c r="C268" s="24"/>
      <c r="D268" s="24"/>
      <c r="E268" s="24"/>
      <c r="F268" s="24"/>
      <c r="G268" s="24"/>
      <c r="H268" s="24"/>
      <c r="I268" s="24"/>
      <c r="J268" s="24"/>
      <c r="K268" s="24"/>
      <c r="L268" s="24"/>
      <c r="M268" s="24"/>
      <c r="N268" s="24"/>
      <c r="O268" s="24"/>
      <c r="P268" s="24"/>
      <c r="Q268" s="24"/>
      <c r="R268" s="24"/>
      <c r="S268" s="25">
        <f t="shared" si="16"/>
        <v>0</v>
      </c>
      <c r="T268" s="25">
        <f>COUNTIF($V$4:V268,V268)</f>
        <v>125</v>
      </c>
      <c r="U268" s="25" t="str">
        <f>IF(T268=1,COUNTIF($T$4:T268,1),"")</f>
        <v/>
      </c>
      <c r="V268" s="26" t="str">
        <f>'施設状況(要更新)'!$E268&amp;'施設状況(要更新)'!$C268</f>
        <v/>
      </c>
      <c r="W268" s="26">
        <f>'施設状況(要更新)'!$F268</f>
        <v>0</v>
      </c>
      <c r="X268" s="27"/>
      <c r="Y268" s="26"/>
    </row>
    <row r="269" spans="1:25">
      <c r="A269" s="30"/>
      <c r="B269" s="24"/>
      <c r="C269" s="24"/>
      <c r="D269" s="24"/>
      <c r="E269" s="24"/>
      <c r="F269" s="24"/>
      <c r="G269" s="24"/>
      <c r="H269" s="24"/>
      <c r="I269" s="24"/>
      <c r="J269" s="24"/>
      <c r="K269" s="24"/>
      <c r="L269" s="24"/>
      <c r="M269" s="24"/>
      <c r="N269" s="24"/>
      <c r="O269" s="24"/>
      <c r="P269" s="24"/>
      <c r="Q269" s="24"/>
      <c r="R269" s="24"/>
      <c r="S269" s="25">
        <f t="shared" si="16"/>
        <v>0</v>
      </c>
      <c r="T269" s="25">
        <f>COUNTIF($V$4:V269,V269)</f>
        <v>126</v>
      </c>
      <c r="U269" s="25" t="str">
        <f>IF(T269=1,COUNTIF($T$4:T269,1),"")</f>
        <v/>
      </c>
      <c r="V269" s="26" t="str">
        <f>'施設状況(要更新)'!$E269&amp;'施設状況(要更新)'!$C269</f>
        <v/>
      </c>
      <c r="W269" s="26">
        <f>'施設状況(要更新)'!$F269</f>
        <v>0</v>
      </c>
      <c r="X269" s="27"/>
      <c r="Y269" s="26"/>
    </row>
    <row r="270" spans="1:25">
      <c r="A270" s="30"/>
      <c r="B270" s="24"/>
      <c r="C270" s="24"/>
      <c r="D270" s="24"/>
      <c r="E270" s="24"/>
      <c r="F270" s="24"/>
      <c r="G270" s="24"/>
      <c r="H270" s="24"/>
      <c r="I270" s="24"/>
      <c r="J270" s="24"/>
      <c r="K270" s="24"/>
      <c r="L270" s="24"/>
      <c r="M270" s="24"/>
      <c r="N270" s="24"/>
      <c r="O270" s="24"/>
      <c r="P270" s="24"/>
      <c r="Q270" s="24"/>
      <c r="R270" s="24"/>
      <c r="S270" s="25">
        <f t="shared" si="16"/>
        <v>0</v>
      </c>
      <c r="T270" s="25">
        <f>COUNTIF($V$4:V270,V270)</f>
        <v>127</v>
      </c>
      <c r="U270" s="25" t="str">
        <f>IF(T270=1,COUNTIF($T$4:T270,1),"")</f>
        <v/>
      </c>
      <c r="V270" s="26" t="str">
        <f>'施設状況(要更新)'!$E270&amp;'施設状況(要更新)'!$C270</f>
        <v/>
      </c>
      <c r="W270" s="26">
        <f>'施設状況(要更新)'!$F270</f>
        <v>0</v>
      </c>
      <c r="X270" s="27"/>
      <c r="Y270" s="26"/>
    </row>
    <row r="271" spans="1:25">
      <c r="A271" s="30"/>
      <c r="B271" s="24"/>
      <c r="C271" s="24"/>
      <c r="D271" s="24"/>
      <c r="E271" s="24"/>
      <c r="F271" s="24"/>
      <c r="G271" s="24"/>
      <c r="H271" s="24"/>
      <c r="I271" s="24"/>
      <c r="J271" s="24"/>
      <c r="K271" s="24"/>
      <c r="L271" s="24"/>
      <c r="M271" s="24"/>
      <c r="N271" s="24"/>
      <c r="O271" s="24"/>
      <c r="P271" s="24"/>
      <c r="Q271" s="24"/>
      <c r="R271" s="24"/>
      <c r="S271" s="25">
        <f t="shared" si="16"/>
        <v>0</v>
      </c>
      <c r="T271" s="25">
        <f>COUNTIF($V$4:V271,V271)</f>
        <v>128</v>
      </c>
      <c r="U271" s="25" t="str">
        <f>IF(T271=1,COUNTIF($T$4:T271,1),"")</f>
        <v/>
      </c>
      <c r="V271" s="26" t="str">
        <f>'施設状況(要更新)'!$E271&amp;'施設状況(要更新)'!$C271</f>
        <v/>
      </c>
      <c r="W271" s="26">
        <f>'施設状況(要更新)'!$F271</f>
        <v>0</v>
      </c>
      <c r="X271" s="27"/>
      <c r="Y271" s="26"/>
    </row>
    <row r="272" spans="1:25">
      <c r="A272" s="30"/>
      <c r="B272" s="24"/>
      <c r="C272" s="24"/>
      <c r="D272" s="24"/>
      <c r="E272" s="24"/>
      <c r="F272" s="24"/>
      <c r="G272" s="24"/>
      <c r="H272" s="24"/>
      <c r="I272" s="24"/>
      <c r="J272" s="24"/>
      <c r="K272" s="24"/>
      <c r="L272" s="24"/>
      <c r="M272" s="24"/>
      <c r="N272" s="24"/>
      <c r="O272" s="24"/>
      <c r="P272" s="24"/>
      <c r="Q272" s="24"/>
      <c r="R272" s="24"/>
      <c r="S272" s="25">
        <f t="shared" si="16"/>
        <v>0</v>
      </c>
      <c r="T272" s="25">
        <f>COUNTIF($V$4:V272,V272)</f>
        <v>129</v>
      </c>
      <c r="U272" s="25" t="str">
        <f>IF(T272=1,COUNTIF($T$4:T272,1),"")</f>
        <v/>
      </c>
      <c r="V272" s="26" t="str">
        <f>'施設状況(要更新)'!$E272&amp;'施設状況(要更新)'!$C272</f>
        <v/>
      </c>
      <c r="W272" s="26">
        <f>'施設状況(要更新)'!$F272</f>
        <v>0</v>
      </c>
      <c r="X272" s="27"/>
      <c r="Y272" s="26"/>
    </row>
    <row r="273" spans="1:25">
      <c r="A273" s="30"/>
      <c r="B273" s="24"/>
      <c r="C273" s="24"/>
      <c r="D273" s="24"/>
      <c r="E273" s="24"/>
      <c r="F273" s="24"/>
      <c r="G273" s="24"/>
      <c r="H273" s="24"/>
      <c r="I273" s="24"/>
      <c r="J273" s="24"/>
      <c r="K273" s="24"/>
      <c r="L273" s="24"/>
      <c r="M273" s="24"/>
      <c r="N273" s="24"/>
      <c r="O273" s="24"/>
      <c r="P273" s="24"/>
      <c r="Q273" s="24"/>
      <c r="R273" s="24"/>
      <c r="S273" s="25">
        <f t="shared" si="16"/>
        <v>0</v>
      </c>
      <c r="T273" s="25">
        <f>COUNTIF($V$4:V273,V273)</f>
        <v>130</v>
      </c>
      <c r="U273" s="25" t="str">
        <f>IF(T273=1,COUNTIF($T$4:T273,1),"")</f>
        <v/>
      </c>
      <c r="V273" s="26" t="str">
        <f>'施設状況(要更新)'!$E273&amp;'施設状況(要更新)'!$C273</f>
        <v/>
      </c>
      <c r="W273" s="26">
        <f>'施設状況(要更新)'!$F273</f>
        <v>0</v>
      </c>
      <c r="X273" s="27"/>
      <c r="Y273" s="26"/>
    </row>
    <row r="274" spans="1:25">
      <c r="A274" s="30"/>
      <c r="B274" s="24"/>
      <c r="C274" s="24"/>
      <c r="D274" s="24"/>
      <c r="E274" s="24"/>
      <c r="F274" s="24"/>
      <c r="G274" s="24"/>
      <c r="H274" s="24"/>
      <c r="I274" s="24"/>
      <c r="J274" s="24"/>
      <c r="K274" s="24"/>
      <c r="L274" s="24"/>
      <c r="M274" s="24"/>
      <c r="N274" s="24"/>
      <c r="O274" s="24"/>
      <c r="P274" s="24"/>
      <c r="Q274" s="24"/>
      <c r="R274" s="24"/>
      <c r="S274" s="25">
        <f t="shared" si="16"/>
        <v>0</v>
      </c>
      <c r="T274" s="25">
        <f>COUNTIF($V$4:V274,V274)</f>
        <v>131</v>
      </c>
      <c r="U274" s="25" t="str">
        <f>IF(T274=1,COUNTIF($T$4:T274,1),"")</f>
        <v/>
      </c>
      <c r="V274" s="26" t="str">
        <f>'施設状況(要更新)'!$E274&amp;'施設状況(要更新)'!$C274</f>
        <v/>
      </c>
      <c r="W274" s="26">
        <f>'施設状況(要更新)'!$F274</f>
        <v>0</v>
      </c>
      <c r="X274" s="27"/>
      <c r="Y274" s="26"/>
    </row>
    <row r="275" spans="1:25">
      <c r="A275" s="30"/>
      <c r="B275" s="24"/>
      <c r="C275" s="24"/>
      <c r="D275" s="24"/>
      <c r="E275" s="24"/>
      <c r="F275" s="24"/>
      <c r="G275" s="24"/>
      <c r="H275" s="24"/>
      <c r="I275" s="24"/>
      <c r="J275" s="24"/>
      <c r="K275" s="24"/>
      <c r="L275" s="24"/>
      <c r="M275" s="24"/>
      <c r="N275" s="24"/>
      <c r="O275" s="24"/>
      <c r="P275" s="24"/>
      <c r="Q275" s="24"/>
      <c r="R275" s="24"/>
      <c r="S275" s="25">
        <f t="shared" si="16"/>
        <v>0</v>
      </c>
      <c r="T275" s="25">
        <f>COUNTIF($V$4:V275,V275)</f>
        <v>132</v>
      </c>
      <c r="U275" s="25" t="str">
        <f>IF(T275=1,COUNTIF($T$4:T275,1),"")</f>
        <v/>
      </c>
      <c r="V275" s="26" t="str">
        <f>'施設状況(要更新)'!$E275&amp;'施設状況(要更新)'!$C275</f>
        <v/>
      </c>
      <c r="W275" s="26">
        <f>'施設状況(要更新)'!$F275</f>
        <v>0</v>
      </c>
      <c r="X275" s="27"/>
      <c r="Y275" s="26"/>
    </row>
    <row r="276" spans="1:25">
      <c r="A276" s="30"/>
      <c r="B276" s="24"/>
      <c r="C276" s="24"/>
      <c r="D276" s="24"/>
      <c r="E276" s="24"/>
      <c r="F276" s="24"/>
      <c r="G276" s="24"/>
      <c r="H276" s="24"/>
      <c r="I276" s="24"/>
      <c r="J276" s="24"/>
      <c r="K276" s="24"/>
      <c r="L276" s="24"/>
      <c r="M276" s="24"/>
      <c r="N276" s="24"/>
      <c r="O276" s="24"/>
      <c r="P276" s="24"/>
      <c r="Q276" s="24"/>
      <c r="R276" s="24"/>
      <c r="S276" s="25">
        <f t="shared" si="16"/>
        <v>0</v>
      </c>
      <c r="T276" s="25">
        <f>COUNTIF($V$4:V276,V276)</f>
        <v>133</v>
      </c>
      <c r="U276" s="25" t="str">
        <f>IF(T276=1,COUNTIF($T$4:T276,1),"")</f>
        <v/>
      </c>
      <c r="V276" s="26" t="str">
        <f>'施設状況(要更新)'!$E276&amp;'施設状況(要更新)'!$C276</f>
        <v/>
      </c>
      <c r="W276" s="26">
        <f>'施設状況(要更新)'!$F276</f>
        <v>0</v>
      </c>
      <c r="X276" s="27"/>
      <c r="Y276" s="26"/>
    </row>
    <row r="277" spans="1:25">
      <c r="A277" s="30"/>
      <c r="B277" s="24"/>
      <c r="C277" s="24"/>
      <c r="D277" s="24"/>
      <c r="E277" s="24"/>
      <c r="F277" s="24"/>
      <c r="G277" s="24"/>
      <c r="H277" s="24"/>
      <c r="I277" s="24"/>
      <c r="J277" s="24"/>
      <c r="K277" s="24"/>
      <c r="L277" s="24"/>
      <c r="M277" s="24"/>
      <c r="N277" s="24"/>
      <c r="O277" s="24"/>
      <c r="P277" s="24"/>
      <c r="Q277" s="24"/>
      <c r="R277" s="24"/>
      <c r="S277" s="25">
        <f t="shared" si="16"/>
        <v>0</v>
      </c>
      <c r="T277" s="25">
        <f>COUNTIF($V$4:V277,V277)</f>
        <v>134</v>
      </c>
      <c r="U277" s="25" t="str">
        <f>IF(T277=1,COUNTIF($T$4:T277,1),"")</f>
        <v/>
      </c>
      <c r="V277" s="26" t="str">
        <f>'施設状況(要更新)'!$E277&amp;'施設状況(要更新)'!$C277</f>
        <v/>
      </c>
      <c r="W277" s="26">
        <f>'施設状況(要更新)'!$F277</f>
        <v>0</v>
      </c>
      <c r="X277" s="27"/>
      <c r="Y277" s="26"/>
    </row>
    <row r="278" spans="1:25">
      <c r="A278" s="30"/>
      <c r="B278" s="24"/>
      <c r="C278" s="24"/>
      <c r="D278" s="24"/>
      <c r="E278" s="24"/>
      <c r="F278" s="24"/>
      <c r="G278" s="24"/>
      <c r="H278" s="24"/>
      <c r="I278" s="24"/>
      <c r="J278" s="24"/>
      <c r="K278" s="24"/>
      <c r="L278" s="24"/>
      <c r="M278" s="24"/>
      <c r="N278" s="24"/>
      <c r="O278" s="24"/>
      <c r="P278" s="24"/>
      <c r="Q278" s="24"/>
      <c r="R278" s="24"/>
      <c r="S278" s="25">
        <f t="shared" si="16"/>
        <v>0</v>
      </c>
      <c r="T278" s="25">
        <f>COUNTIF($V$4:V278,V278)</f>
        <v>135</v>
      </c>
      <c r="U278" s="25" t="str">
        <f>IF(T278=1,COUNTIF($T$4:T278,1),"")</f>
        <v/>
      </c>
      <c r="V278" s="26" t="str">
        <f>'施設状況(要更新)'!$E278&amp;'施設状況(要更新)'!$C278</f>
        <v/>
      </c>
      <c r="W278" s="26">
        <f>'施設状況(要更新)'!$F278</f>
        <v>0</v>
      </c>
      <c r="X278" s="27"/>
      <c r="Y278" s="26"/>
    </row>
    <row r="279" spans="1:25">
      <c r="A279" s="30"/>
      <c r="B279" s="24"/>
      <c r="C279" s="24"/>
      <c r="D279" s="24"/>
      <c r="E279" s="24"/>
      <c r="F279" s="24"/>
      <c r="G279" s="24"/>
      <c r="H279" s="24"/>
      <c r="I279" s="24"/>
      <c r="J279" s="24"/>
      <c r="K279" s="24"/>
      <c r="L279" s="24"/>
      <c r="M279" s="24"/>
      <c r="N279" s="24"/>
      <c r="O279" s="24"/>
      <c r="P279" s="24"/>
      <c r="Q279" s="24"/>
      <c r="R279" s="24"/>
      <c r="S279" s="25">
        <f t="shared" si="16"/>
        <v>0</v>
      </c>
      <c r="T279" s="25">
        <f>COUNTIF($V$4:V279,V279)</f>
        <v>136</v>
      </c>
      <c r="U279" s="25" t="str">
        <f>IF(T279=1,COUNTIF($T$4:T279,1),"")</f>
        <v/>
      </c>
      <c r="V279" s="26" t="str">
        <f>'施設状況(要更新)'!$E279&amp;'施設状況(要更新)'!$C279</f>
        <v/>
      </c>
      <c r="W279" s="26">
        <f>'施設状況(要更新)'!$F279</f>
        <v>0</v>
      </c>
      <c r="X279" s="27"/>
      <c r="Y279" s="26"/>
    </row>
    <row r="280" spans="1:25">
      <c r="A280" s="30"/>
      <c r="B280" s="24"/>
      <c r="C280" s="24"/>
      <c r="D280" s="24"/>
      <c r="E280" s="24"/>
      <c r="F280" s="24"/>
      <c r="G280" s="24"/>
      <c r="H280" s="24"/>
      <c r="I280" s="24"/>
      <c r="J280" s="24"/>
      <c r="K280" s="24"/>
      <c r="L280" s="24"/>
      <c r="M280" s="24"/>
      <c r="N280" s="24"/>
      <c r="O280" s="24"/>
      <c r="P280" s="24"/>
      <c r="Q280" s="24"/>
      <c r="R280" s="24"/>
      <c r="S280" s="25">
        <f t="shared" si="16"/>
        <v>0</v>
      </c>
      <c r="T280" s="25">
        <f>COUNTIF($V$4:V280,V280)</f>
        <v>137</v>
      </c>
      <c r="U280" s="25" t="str">
        <f>IF(T280=1,COUNTIF($T$4:T280,1),"")</f>
        <v/>
      </c>
      <c r="V280" s="26" t="str">
        <f>'施設状況(要更新)'!$E280&amp;'施設状況(要更新)'!$C280</f>
        <v/>
      </c>
      <c r="W280" s="26">
        <f>'施設状況(要更新)'!$F280</f>
        <v>0</v>
      </c>
      <c r="X280" s="27"/>
      <c r="Y280" s="26"/>
    </row>
    <row r="281" spans="1:25">
      <c r="A281" s="30"/>
      <c r="B281" s="24"/>
      <c r="C281" s="24"/>
      <c r="D281" s="24"/>
      <c r="E281" s="24"/>
      <c r="F281" s="24"/>
      <c r="G281" s="24"/>
      <c r="H281" s="24"/>
      <c r="I281" s="24"/>
      <c r="J281" s="24"/>
      <c r="K281" s="24"/>
      <c r="L281" s="24"/>
      <c r="M281" s="24"/>
      <c r="N281" s="24"/>
      <c r="O281" s="24"/>
      <c r="P281" s="24"/>
      <c r="Q281" s="24"/>
      <c r="R281" s="24"/>
      <c r="S281" s="25">
        <f t="shared" si="16"/>
        <v>0</v>
      </c>
      <c r="T281" s="25">
        <f>COUNTIF($V$4:V281,V281)</f>
        <v>138</v>
      </c>
      <c r="U281" s="25" t="str">
        <f>IF(T281=1,COUNTIF($T$4:T281,1),"")</f>
        <v/>
      </c>
      <c r="V281" s="26" t="str">
        <f>'施設状況(要更新)'!$E281&amp;'施設状況(要更新)'!$C281</f>
        <v/>
      </c>
      <c r="W281" s="26">
        <f>'施設状況(要更新)'!$F281</f>
        <v>0</v>
      </c>
      <c r="X281" s="27"/>
      <c r="Y281" s="26"/>
    </row>
    <row r="282" spans="1:25">
      <c r="A282" s="30"/>
      <c r="B282" s="24"/>
      <c r="C282" s="24"/>
      <c r="D282" s="24"/>
      <c r="E282" s="24"/>
      <c r="F282" s="24"/>
      <c r="G282" s="24"/>
      <c r="H282" s="24"/>
      <c r="I282" s="24"/>
      <c r="J282" s="24"/>
      <c r="K282" s="24"/>
      <c r="L282" s="24"/>
      <c r="M282" s="24"/>
      <c r="N282" s="24"/>
      <c r="O282" s="24"/>
      <c r="P282" s="24"/>
      <c r="Q282" s="24"/>
      <c r="R282" s="24"/>
      <c r="S282" s="25">
        <f t="shared" si="16"/>
        <v>0</v>
      </c>
      <c r="T282" s="25">
        <f>COUNTIF($V$4:V282,V282)</f>
        <v>139</v>
      </c>
      <c r="U282" s="25" t="str">
        <f>IF(T282=1,COUNTIF($T$4:T282,1),"")</f>
        <v/>
      </c>
      <c r="V282" s="26" t="str">
        <f>'施設状況(要更新)'!$E282&amp;'施設状況(要更新)'!$C282</f>
        <v/>
      </c>
      <c r="W282" s="26">
        <f>'施設状況(要更新)'!$F282</f>
        <v>0</v>
      </c>
      <c r="X282" s="27"/>
      <c r="Y282" s="26"/>
    </row>
    <row r="283" spans="1:25">
      <c r="A283" s="30"/>
      <c r="B283" s="24"/>
      <c r="C283" s="39"/>
      <c r="D283" s="24"/>
      <c r="E283" s="24"/>
      <c r="F283" s="24"/>
      <c r="G283" s="24"/>
      <c r="H283" s="24"/>
      <c r="I283" s="24"/>
      <c r="J283" s="24"/>
      <c r="K283" s="24"/>
      <c r="L283" s="24"/>
      <c r="M283" s="24"/>
      <c r="N283" s="24"/>
      <c r="O283" s="24"/>
      <c r="P283" s="24"/>
      <c r="Q283" s="24"/>
      <c r="R283" s="24"/>
      <c r="S283" s="25">
        <f t="shared" si="16"/>
        <v>0</v>
      </c>
      <c r="T283" s="25">
        <f>COUNTIF($V$4:V283,V283)</f>
        <v>140</v>
      </c>
      <c r="U283" s="25" t="str">
        <f>IF(T283=1,COUNTIF($T$4:T283,1),"")</f>
        <v/>
      </c>
      <c r="V283" s="26" t="str">
        <f>'施設状況(要更新)'!$E283&amp;'施設状況(要更新)'!$C283</f>
        <v/>
      </c>
      <c r="W283" s="26">
        <f>'施設状況(要更新)'!$F283</f>
        <v>0</v>
      </c>
      <c r="X283" s="27"/>
      <c r="Y283" s="26"/>
    </row>
    <row r="284" spans="1:25">
      <c r="A284" s="30"/>
      <c r="B284" s="24"/>
      <c r="C284" s="39"/>
      <c r="D284" s="24"/>
      <c r="E284" s="24"/>
      <c r="F284" s="24"/>
      <c r="G284" s="24"/>
      <c r="H284" s="24"/>
      <c r="I284" s="24"/>
      <c r="J284" s="24"/>
      <c r="K284" s="24"/>
      <c r="L284" s="24"/>
      <c r="M284" s="24"/>
      <c r="N284" s="24"/>
      <c r="O284" s="24"/>
      <c r="P284" s="24"/>
      <c r="Q284" s="24"/>
      <c r="R284" s="24"/>
      <c r="S284" s="25">
        <f t="shared" si="16"/>
        <v>0</v>
      </c>
      <c r="T284" s="25">
        <f>COUNTIF($V$4:V284,V284)</f>
        <v>141</v>
      </c>
      <c r="U284" s="25" t="str">
        <f>IF(T284=1,COUNTIF($T$4:T284,1),"")</f>
        <v/>
      </c>
      <c r="V284" s="26" t="str">
        <f>'施設状況(要更新)'!$E284&amp;'施設状況(要更新)'!$C284</f>
        <v/>
      </c>
      <c r="W284" s="26">
        <f>'施設状況(要更新)'!$F284</f>
        <v>0</v>
      </c>
      <c r="X284" s="27"/>
      <c r="Y284" s="26"/>
    </row>
    <row r="285" spans="1:25">
      <c r="A285" s="30"/>
      <c r="B285" s="24"/>
      <c r="C285" s="39"/>
      <c r="D285" s="24"/>
      <c r="E285" s="24"/>
      <c r="F285" s="24"/>
      <c r="G285" s="24"/>
      <c r="H285" s="24"/>
      <c r="I285" s="24"/>
      <c r="J285" s="24"/>
      <c r="K285" s="24"/>
      <c r="L285" s="24"/>
      <c r="M285" s="24"/>
      <c r="N285" s="24"/>
      <c r="O285" s="24"/>
      <c r="P285" s="24"/>
      <c r="Q285" s="24"/>
      <c r="R285" s="24"/>
      <c r="S285" s="25">
        <f t="shared" si="16"/>
        <v>0</v>
      </c>
      <c r="T285" s="25">
        <f>COUNTIF($V$4:V285,V285)</f>
        <v>142</v>
      </c>
      <c r="U285" s="25" t="str">
        <f>IF(T285=1,COUNTIF($T$4:T285,1),"")</f>
        <v/>
      </c>
      <c r="V285" s="26" t="str">
        <f>'施設状況(要更新)'!$E285&amp;'施設状況(要更新)'!$C285</f>
        <v/>
      </c>
      <c r="W285" s="26">
        <f>'施設状況(要更新)'!$F285</f>
        <v>0</v>
      </c>
      <c r="X285" s="27"/>
      <c r="Y285" s="26"/>
    </row>
    <row r="286" spans="1:25">
      <c r="A286" s="30"/>
      <c r="B286" s="24"/>
      <c r="C286" s="39"/>
      <c r="D286" s="24"/>
      <c r="E286" s="24"/>
      <c r="F286" s="24"/>
      <c r="G286" s="24"/>
      <c r="H286" s="24"/>
      <c r="I286" s="24"/>
      <c r="J286" s="24"/>
      <c r="K286" s="24"/>
      <c r="L286" s="24"/>
      <c r="M286" s="24"/>
      <c r="N286" s="24"/>
      <c r="O286" s="24"/>
      <c r="P286" s="24"/>
      <c r="Q286" s="24"/>
      <c r="R286" s="24"/>
      <c r="S286" s="25">
        <f t="shared" si="16"/>
        <v>0</v>
      </c>
      <c r="T286" s="25">
        <f>COUNTIF($V$4:V286,V286)</f>
        <v>143</v>
      </c>
      <c r="U286" s="25" t="str">
        <f>IF(T286=1,COUNTIF($T$4:T286,1),"")</f>
        <v/>
      </c>
      <c r="V286" s="26" t="str">
        <f>'施設状況(要更新)'!$E286&amp;'施設状況(要更新)'!$C286</f>
        <v/>
      </c>
      <c r="W286" s="26">
        <f>'施設状況(要更新)'!$F286</f>
        <v>0</v>
      </c>
      <c r="X286" s="27"/>
      <c r="Y286" s="26"/>
    </row>
    <row r="287" spans="1:25">
      <c r="A287" s="30"/>
      <c r="B287" s="24"/>
      <c r="C287" s="39"/>
      <c r="D287" s="24"/>
      <c r="E287" s="24"/>
      <c r="F287" s="24"/>
      <c r="G287" s="24"/>
      <c r="H287" s="24"/>
      <c r="I287" s="24"/>
      <c r="J287" s="24"/>
      <c r="K287" s="24"/>
      <c r="L287" s="24"/>
      <c r="M287" s="24"/>
      <c r="N287" s="24"/>
      <c r="O287" s="24"/>
      <c r="P287" s="24"/>
      <c r="Q287" s="24"/>
      <c r="R287" s="24"/>
      <c r="S287" s="25">
        <f t="shared" si="16"/>
        <v>0</v>
      </c>
      <c r="T287" s="25">
        <f>COUNTIF($V$4:V287,V287)</f>
        <v>144</v>
      </c>
      <c r="U287" s="25" t="str">
        <f>IF(T287=1,COUNTIF($T$4:T287,1),"")</f>
        <v/>
      </c>
      <c r="V287" s="26" t="str">
        <f>'施設状況(要更新)'!$E287&amp;'施設状況(要更新)'!$C287</f>
        <v/>
      </c>
      <c r="W287" s="26">
        <f>'施設状況(要更新)'!$F287</f>
        <v>0</v>
      </c>
      <c r="X287" s="27"/>
      <c r="Y287" s="26"/>
    </row>
    <row r="288" spans="1:25">
      <c r="A288" s="30"/>
      <c r="B288" s="24"/>
      <c r="C288" s="39"/>
      <c r="D288" s="24"/>
      <c r="E288" s="24"/>
      <c r="F288" s="24"/>
      <c r="G288" s="24"/>
      <c r="H288" s="24"/>
      <c r="I288" s="24"/>
      <c r="J288" s="24"/>
      <c r="K288" s="24"/>
      <c r="L288" s="24"/>
      <c r="M288" s="24"/>
      <c r="N288" s="24"/>
      <c r="O288" s="24"/>
      <c r="P288" s="24"/>
      <c r="Q288" s="24"/>
      <c r="R288" s="24"/>
      <c r="S288" s="25">
        <f t="shared" si="16"/>
        <v>0</v>
      </c>
      <c r="T288" s="25">
        <f>COUNTIF($V$4:V288,V288)</f>
        <v>145</v>
      </c>
      <c r="U288" s="25" t="str">
        <f>IF(T288=1,COUNTIF($T$4:T288,1),"")</f>
        <v/>
      </c>
      <c r="V288" s="26" t="str">
        <f>'施設状況(要更新)'!$E288&amp;'施設状況(要更新)'!$C288</f>
        <v/>
      </c>
      <c r="W288" s="26">
        <f>'施設状況(要更新)'!$F288</f>
        <v>0</v>
      </c>
      <c r="X288" s="27"/>
      <c r="Y288" s="26"/>
    </row>
    <row r="289" spans="1:25">
      <c r="A289" s="30"/>
      <c r="B289" s="24"/>
      <c r="C289" s="39"/>
      <c r="D289" s="24"/>
      <c r="E289" s="24"/>
      <c r="F289" s="24"/>
      <c r="G289" s="24"/>
      <c r="H289" s="24"/>
      <c r="I289" s="24"/>
      <c r="J289" s="24"/>
      <c r="K289" s="24"/>
      <c r="L289" s="24"/>
      <c r="M289" s="24"/>
      <c r="N289" s="24"/>
      <c r="O289" s="24"/>
      <c r="P289" s="24"/>
      <c r="Q289" s="24"/>
      <c r="R289" s="24"/>
      <c r="S289" s="25">
        <f t="shared" si="16"/>
        <v>0</v>
      </c>
      <c r="T289" s="25">
        <f>COUNTIF($V$4:V289,V289)</f>
        <v>146</v>
      </c>
      <c r="U289" s="25" t="str">
        <f>IF(T289=1,COUNTIF($T$4:T289,1),"")</f>
        <v/>
      </c>
      <c r="V289" s="26" t="str">
        <f>'施設状況(要更新)'!$E289&amp;'施設状況(要更新)'!$C289</f>
        <v/>
      </c>
      <c r="W289" s="26">
        <f>'施設状況(要更新)'!$F289</f>
        <v>0</v>
      </c>
      <c r="X289" s="27"/>
      <c r="Y289" s="26"/>
    </row>
    <row r="290" spans="1:25">
      <c r="A290" s="30"/>
      <c r="B290" s="24"/>
      <c r="C290" s="39"/>
      <c r="D290" s="24"/>
      <c r="E290" s="24"/>
      <c r="F290" s="24"/>
      <c r="G290" s="24"/>
      <c r="H290" s="24"/>
      <c r="I290" s="24"/>
      <c r="J290" s="24"/>
      <c r="K290" s="24"/>
      <c r="L290" s="24"/>
      <c r="M290" s="24"/>
      <c r="N290" s="24"/>
      <c r="O290" s="24"/>
      <c r="P290" s="24"/>
      <c r="Q290" s="24"/>
      <c r="R290" s="24"/>
      <c r="S290" s="25">
        <f t="shared" si="16"/>
        <v>0</v>
      </c>
      <c r="T290" s="25">
        <f>COUNTIF($V$4:V290,V290)</f>
        <v>147</v>
      </c>
      <c r="U290" s="25" t="str">
        <f>IF(T290=1,COUNTIF($T$4:T290,1),"")</f>
        <v/>
      </c>
      <c r="V290" s="26" t="str">
        <f>'施設状況(要更新)'!$E290&amp;'施設状況(要更新)'!$C290</f>
        <v/>
      </c>
      <c r="W290" s="26">
        <f>'施設状況(要更新)'!$F290</f>
        <v>0</v>
      </c>
      <c r="X290" s="27"/>
      <c r="Y290" s="26"/>
    </row>
    <row r="291" spans="1:25">
      <c r="A291" s="30"/>
      <c r="B291" s="24"/>
      <c r="C291" s="39"/>
      <c r="D291" s="24"/>
      <c r="E291" s="24"/>
      <c r="F291" s="24"/>
      <c r="G291" s="24"/>
      <c r="H291" s="24"/>
      <c r="I291" s="24"/>
      <c r="J291" s="24"/>
      <c r="K291" s="24"/>
      <c r="L291" s="24"/>
      <c r="M291" s="24"/>
      <c r="N291" s="24"/>
      <c r="O291" s="24"/>
      <c r="P291" s="24"/>
      <c r="Q291" s="24"/>
      <c r="R291" s="24"/>
      <c r="S291" s="25">
        <f t="shared" si="16"/>
        <v>0</v>
      </c>
      <c r="T291" s="25">
        <f>COUNTIF($V$4:V291,V291)</f>
        <v>148</v>
      </c>
      <c r="U291" s="25" t="str">
        <f>IF(T291=1,COUNTIF($T$4:T291,1),"")</f>
        <v/>
      </c>
      <c r="V291" s="26" t="str">
        <f>'施設状況(要更新)'!$E291&amp;'施設状況(要更新)'!$C291</f>
        <v/>
      </c>
      <c r="W291" s="26">
        <f>'施設状況(要更新)'!$F291</f>
        <v>0</v>
      </c>
      <c r="X291" s="27"/>
      <c r="Y291" s="26"/>
    </row>
    <row r="292" spans="1:25">
      <c r="A292" s="30"/>
      <c r="B292" s="24"/>
      <c r="C292" s="39"/>
      <c r="D292" s="24"/>
      <c r="E292" s="24"/>
      <c r="F292" s="24"/>
      <c r="G292" s="24"/>
      <c r="H292" s="24"/>
      <c r="I292" s="24"/>
      <c r="J292" s="24"/>
      <c r="K292" s="24"/>
      <c r="L292" s="24"/>
      <c r="M292" s="24"/>
      <c r="N292" s="24"/>
      <c r="O292" s="24"/>
      <c r="P292" s="24"/>
      <c r="Q292" s="24"/>
      <c r="R292" s="24"/>
      <c r="S292" s="25">
        <f t="shared" si="16"/>
        <v>0</v>
      </c>
      <c r="T292" s="25">
        <f>COUNTIF($V$4:V292,V292)</f>
        <v>149</v>
      </c>
      <c r="U292" s="25" t="str">
        <f>IF(T292=1,COUNTIF($T$4:T292,1),"")</f>
        <v/>
      </c>
      <c r="V292" s="26" t="str">
        <f>'施設状況(要更新)'!$E292&amp;'施設状況(要更新)'!$C292</f>
        <v/>
      </c>
      <c r="W292" s="26">
        <f>'施設状況(要更新)'!$F292</f>
        <v>0</v>
      </c>
      <c r="X292" s="27"/>
      <c r="Y292" s="26"/>
    </row>
    <row r="293" spans="1:25">
      <c r="A293" s="30"/>
      <c r="B293" s="24"/>
      <c r="C293" s="39"/>
      <c r="D293" s="24"/>
      <c r="E293" s="24"/>
      <c r="F293" s="24"/>
      <c r="G293" s="24"/>
      <c r="H293" s="24"/>
      <c r="I293" s="24"/>
      <c r="J293" s="24"/>
      <c r="K293" s="24"/>
      <c r="L293" s="24"/>
      <c r="M293" s="24"/>
      <c r="N293" s="24"/>
      <c r="O293" s="24"/>
      <c r="P293" s="24"/>
      <c r="Q293" s="24"/>
      <c r="R293" s="24"/>
      <c r="S293" s="25">
        <f t="shared" si="16"/>
        <v>0</v>
      </c>
      <c r="T293" s="25">
        <f>COUNTIF($V$4:V293,V293)</f>
        <v>150</v>
      </c>
      <c r="U293" s="25" t="str">
        <f>IF(T293=1,COUNTIF($T$4:T293,1),"")</f>
        <v/>
      </c>
      <c r="V293" s="26" t="str">
        <f>'施設状況(要更新)'!$E293&amp;'施設状況(要更新)'!$C293</f>
        <v/>
      </c>
      <c r="W293" s="26">
        <f>'施設状況(要更新)'!$F293</f>
        <v>0</v>
      </c>
      <c r="X293" s="27"/>
      <c r="Y293" s="26"/>
    </row>
    <row r="294" spans="1:25">
      <c r="A294" s="30"/>
      <c r="B294" s="24"/>
      <c r="C294" s="24"/>
      <c r="D294" s="24"/>
      <c r="E294" s="24"/>
      <c r="F294" s="24"/>
      <c r="G294" s="24"/>
      <c r="H294" s="24"/>
      <c r="I294" s="24"/>
      <c r="J294" s="24"/>
      <c r="K294" s="24"/>
      <c r="L294" s="24"/>
      <c r="M294" s="24"/>
      <c r="N294" s="24"/>
      <c r="O294" s="24"/>
      <c r="P294" s="24"/>
      <c r="Q294" s="24"/>
      <c r="R294" s="24"/>
      <c r="S294" s="25">
        <f t="shared" si="16"/>
        <v>0</v>
      </c>
      <c r="T294" s="25">
        <f>COUNTIF($V$4:V294,V294)</f>
        <v>151</v>
      </c>
      <c r="U294" s="25" t="str">
        <f>IF(T294=1,COUNTIF($T$4:T294,1),"")</f>
        <v/>
      </c>
      <c r="V294" s="26" t="str">
        <f>'施設状況(要更新)'!$E294&amp;'施設状況(要更新)'!$C294</f>
        <v/>
      </c>
      <c r="W294" s="26">
        <f>'施設状況(要更新)'!$F294</f>
        <v>0</v>
      </c>
      <c r="X294" s="27"/>
      <c r="Y294" s="26"/>
    </row>
    <row r="295" spans="1:25">
      <c r="A295" s="30"/>
      <c r="B295" s="24"/>
      <c r="C295" s="24"/>
      <c r="D295" s="24"/>
      <c r="E295" s="24"/>
      <c r="F295" s="24"/>
      <c r="G295" s="24"/>
      <c r="H295" s="24"/>
      <c r="I295" s="24"/>
      <c r="J295" s="24"/>
      <c r="K295" s="24"/>
      <c r="L295" s="24"/>
      <c r="M295" s="24"/>
      <c r="N295" s="24"/>
      <c r="O295" s="24"/>
      <c r="P295" s="24"/>
      <c r="Q295" s="24"/>
      <c r="R295" s="24"/>
      <c r="S295" s="25">
        <f t="shared" si="16"/>
        <v>0</v>
      </c>
      <c r="T295" s="25">
        <f>COUNTIF($V$4:V295,V295)</f>
        <v>152</v>
      </c>
      <c r="U295" s="25" t="str">
        <f>IF(T295=1,COUNTIF($T$4:T295,1),"")</f>
        <v/>
      </c>
      <c r="V295" s="26" t="str">
        <f>'施設状況(要更新)'!$E295&amp;'施設状況(要更新)'!$C295</f>
        <v/>
      </c>
      <c r="W295" s="26">
        <f>'施設状況(要更新)'!$F295</f>
        <v>0</v>
      </c>
      <c r="X295" s="27"/>
      <c r="Y295" s="26"/>
    </row>
    <row r="296" spans="1:25">
      <c r="A296" s="30"/>
      <c r="B296" s="24"/>
      <c r="C296" s="24"/>
      <c r="D296" s="24"/>
      <c r="E296" s="24"/>
      <c r="F296" s="24"/>
      <c r="G296" s="24"/>
      <c r="H296" s="24"/>
      <c r="I296" s="24"/>
      <c r="J296" s="24"/>
      <c r="K296" s="24"/>
      <c r="L296" s="24"/>
      <c r="M296" s="24"/>
      <c r="N296" s="24"/>
      <c r="O296" s="24"/>
      <c r="P296" s="24"/>
      <c r="Q296" s="24"/>
      <c r="R296" s="24"/>
      <c r="S296" s="25">
        <f t="shared" si="16"/>
        <v>0</v>
      </c>
      <c r="T296" s="25">
        <f>COUNTIF($V$4:V296,V296)</f>
        <v>153</v>
      </c>
      <c r="U296" s="25" t="str">
        <f>IF(T296=1,COUNTIF($T$4:T296,1),"")</f>
        <v/>
      </c>
      <c r="V296" s="26" t="str">
        <f>'施設状況(要更新)'!$E296&amp;'施設状況(要更新)'!$C296</f>
        <v/>
      </c>
      <c r="W296" s="26">
        <f>'施設状況(要更新)'!$F296</f>
        <v>0</v>
      </c>
      <c r="X296" s="27"/>
      <c r="Y296" s="26"/>
    </row>
    <row r="297" spans="1:25">
      <c r="A297" s="30"/>
      <c r="B297" s="24"/>
      <c r="C297" s="24"/>
      <c r="D297" s="24"/>
      <c r="E297" s="24"/>
      <c r="F297" s="24"/>
      <c r="G297" s="24"/>
      <c r="H297" s="24"/>
      <c r="I297" s="24"/>
      <c r="J297" s="24"/>
      <c r="K297" s="24"/>
      <c r="L297" s="24"/>
      <c r="M297" s="24"/>
      <c r="N297" s="24"/>
      <c r="O297" s="24"/>
      <c r="P297" s="24"/>
      <c r="Q297" s="24"/>
      <c r="R297" s="24"/>
      <c r="S297" s="25">
        <f t="shared" si="16"/>
        <v>0</v>
      </c>
      <c r="T297" s="25">
        <f>COUNTIF($V$4:V297,V297)</f>
        <v>154</v>
      </c>
      <c r="U297" s="25" t="str">
        <f>IF(T297=1,COUNTIF($T$4:T297,1),"")</f>
        <v/>
      </c>
      <c r="V297" s="26" t="str">
        <f>'施設状況(要更新)'!$E297&amp;'施設状況(要更新)'!$C297</f>
        <v/>
      </c>
      <c r="W297" s="26">
        <f>'施設状況(要更新)'!$F297</f>
        <v>0</v>
      </c>
      <c r="X297" s="27"/>
      <c r="Y297" s="26"/>
    </row>
    <row r="298" spans="1:25">
      <c r="A298" s="30"/>
      <c r="B298" s="24"/>
      <c r="C298" s="39"/>
      <c r="D298" s="24"/>
      <c r="E298" s="24"/>
      <c r="F298" s="24"/>
      <c r="G298" s="24"/>
      <c r="H298" s="24"/>
      <c r="I298" s="24"/>
      <c r="J298" s="24"/>
      <c r="K298" s="24"/>
      <c r="L298" s="24"/>
      <c r="M298" s="24"/>
      <c r="N298" s="24"/>
      <c r="O298" s="24"/>
      <c r="P298" s="24"/>
      <c r="Q298" s="24"/>
      <c r="R298" s="24"/>
      <c r="S298" s="25">
        <f t="shared" si="16"/>
        <v>0</v>
      </c>
      <c r="T298" s="25">
        <f>COUNTIF($V$4:V298,V298)</f>
        <v>155</v>
      </c>
      <c r="U298" s="25" t="str">
        <f>IF(T298=1,COUNTIF($T$4:T298,1),"")</f>
        <v/>
      </c>
      <c r="V298" s="26" t="str">
        <f>'施設状況(要更新)'!$E298&amp;'施設状況(要更新)'!$C298</f>
        <v/>
      </c>
      <c r="W298" s="26">
        <f>'施設状況(要更新)'!$F298</f>
        <v>0</v>
      </c>
      <c r="X298" s="27"/>
      <c r="Y298" s="26"/>
    </row>
    <row r="299" spans="1:25">
      <c r="A299" s="30"/>
      <c r="B299" s="24"/>
      <c r="C299" s="39"/>
      <c r="D299" s="24"/>
      <c r="E299" s="24"/>
      <c r="F299" s="24"/>
      <c r="G299" s="24"/>
      <c r="H299" s="24"/>
      <c r="I299" s="24"/>
      <c r="J299" s="24"/>
      <c r="K299" s="24"/>
      <c r="L299" s="24"/>
      <c r="M299" s="24"/>
      <c r="N299" s="24"/>
      <c r="O299" s="24"/>
      <c r="P299" s="24"/>
      <c r="Q299" s="24"/>
      <c r="R299" s="24"/>
      <c r="S299" s="25">
        <f t="shared" si="16"/>
        <v>0</v>
      </c>
      <c r="T299" s="25">
        <f>COUNTIF($V$4:V299,V299)</f>
        <v>156</v>
      </c>
      <c r="U299" s="25" t="str">
        <f>IF(T299=1,COUNTIF($T$4:T299,1),"")</f>
        <v/>
      </c>
      <c r="V299" s="26" t="str">
        <f>'施設状況(要更新)'!$E299&amp;'施設状況(要更新)'!$C299</f>
        <v/>
      </c>
      <c r="W299" s="26">
        <f>'施設状況(要更新)'!$F299</f>
        <v>0</v>
      </c>
      <c r="X299" s="27"/>
      <c r="Y299" s="26"/>
    </row>
    <row r="300" spans="1:25">
      <c r="A300" s="30"/>
      <c r="B300" s="24"/>
      <c r="C300" s="39"/>
      <c r="D300" s="24"/>
      <c r="E300" s="24"/>
      <c r="F300" s="24"/>
      <c r="G300" s="24"/>
      <c r="H300" s="24"/>
      <c r="I300" s="24"/>
      <c r="J300" s="24"/>
      <c r="K300" s="24"/>
      <c r="L300" s="24"/>
      <c r="M300" s="24"/>
      <c r="N300" s="24"/>
      <c r="O300" s="24"/>
      <c r="P300" s="24"/>
      <c r="Q300" s="24"/>
      <c r="R300" s="24"/>
      <c r="S300" s="25">
        <f t="shared" si="16"/>
        <v>0</v>
      </c>
      <c r="T300" s="25">
        <f>COUNTIF($V$4:V300,V300)</f>
        <v>157</v>
      </c>
      <c r="U300" s="25" t="str">
        <f>IF(T300=1,COUNTIF($T$4:T300,1),"")</f>
        <v/>
      </c>
      <c r="V300" s="26" t="str">
        <f>'施設状況(要更新)'!$E300&amp;'施設状況(要更新)'!$C300</f>
        <v/>
      </c>
      <c r="W300" s="26">
        <f>'施設状況(要更新)'!$F300</f>
        <v>0</v>
      </c>
      <c r="X300" s="27"/>
      <c r="Y300" s="26"/>
    </row>
    <row r="301" spans="1:25">
      <c r="A301" s="30"/>
      <c r="B301" s="24"/>
      <c r="C301" s="39"/>
      <c r="D301" s="24"/>
      <c r="E301" s="24"/>
      <c r="F301" s="24"/>
      <c r="G301" s="24"/>
      <c r="H301" s="24"/>
      <c r="I301" s="24"/>
      <c r="J301" s="24"/>
      <c r="K301" s="24"/>
      <c r="L301" s="24"/>
      <c r="M301" s="24"/>
      <c r="N301" s="24"/>
      <c r="O301" s="24"/>
      <c r="P301" s="24"/>
      <c r="Q301" s="24"/>
      <c r="R301" s="24"/>
      <c r="S301" s="25">
        <f t="shared" si="16"/>
        <v>0</v>
      </c>
      <c r="T301" s="25">
        <f>COUNTIF($V$4:V301,V301)</f>
        <v>158</v>
      </c>
      <c r="U301" s="25" t="str">
        <f>IF(T301=1,COUNTIF($T$4:T301,1),"")</f>
        <v/>
      </c>
      <c r="V301" s="26" t="str">
        <f>'施設状況(要更新)'!$E301&amp;'施設状況(要更新)'!$C301</f>
        <v/>
      </c>
      <c r="W301" s="26">
        <f>'施設状況(要更新)'!$F301</f>
        <v>0</v>
      </c>
      <c r="X301" s="27"/>
      <c r="Y301" s="26"/>
    </row>
    <row r="302" spans="1:25">
      <c r="A302" s="30"/>
      <c r="B302" s="24"/>
      <c r="C302" s="39"/>
      <c r="D302" s="24"/>
      <c r="E302" s="24"/>
      <c r="F302" s="24"/>
      <c r="G302" s="24"/>
      <c r="H302" s="24"/>
      <c r="I302" s="24"/>
      <c r="J302" s="24"/>
      <c r="K302" s="24"/>
      <c r="L302" s="24"/>
      <c r="M302" s="24"/>
      <c r="N302" s="24"/>
      <c r="O302" s="24"/>
      <c r="P302" s="24"/>
      <c r="Q302" s="24"/>
      <c r="R302" s="24"/>
      <c r="S302" s="25">
        <f t="shared" si="16"/>
        <v>0</v>
      </c>
      <c r="T302" s="25">
        <f>COUNTIF($V$4:V302,V302)</f>
        <v>159</v>
      </c>
      <c r="U302" s="25" t="str">
        <f>IF(T302=1,COUNTIF($T$4:T302,1),"")</f>
        <v/>
      </c>
      <c r="V302" s="26" t="str">
        <f>'施設状況(要更新)'!$E302&amp;'施設状況(要更新)'!$C302</f>
        <v/>
      </c>
      <c r="W302" s="26">
        <f>'施設状況(要更新)'!$F302</f>
        <v>0</v>
      </c>
      <c r="X302" s="27"/>
      <c r="Y302" s="26"/>
    </row>
    <row r="303" spans="1:25">
      <c r="A303" s="30"/>
      <c r="B303" s="24"/>
      <c r="C303" s="39"/>
      <c r="D303" s="24"/>
      <c r="E303" s="24"/>
      <c r="F303" s="24"/>
      <c r="G303" s="24"/>
      <c r="H303" s="24"/>
      <c r="I303" s="24"/>
      <c r="J303" s="24"/>
      <c r="K303" s="24"/>
      <c r="L303" s="24"/>
      <c r="M303" s="24"/>
      <c r="N303" s="24"/>
      <c r="O303" s="24"/>
      <c r="P303" s="24"/>
      <c r="Q303" s="24"/>
      <c r="R303" s="24"/>
      <c r="S303" s="25">
        <f t="shared" si="16"/>
        <v>0</v>
      </c>
      <c r="T303" s="25">
        <f>COUNTIF($V$4:V303,V303)</f>
        <v>160</v>
      </c>
      <c r="U303" s="25" t="str">
        <f>IF(T303=1,COUNTIF($T$4:T303,1),"")</f>
        <v/>
      </c>
      <c r="V303" s="26" t="str">
        <f>'施設状況(要更新)'!$E303&amp;'施設状況(要更新)'!$C303</f>
        <v/>
      </c>
      <c r="W303" s="26">
        <f>'施設状況(要更新)'!$F303</f>
        <v>0</v>
      </c>
      <c r="X303" s="27"/>
      <c r="Y303" s="26"/>
    </row>
    <row r="304" spans="1:25">
      <c r="A304" s="30"/>
      <c r="B304" s="24"/>
      <c r="C304" s="39"/>
      <c r="D304" s="24"/>
      <c r="E304" s="24"/>
      <c r="F304" s="24"/>
      <c r="G304" s="24"/>
      <c r="H304" s="24"/>
      <c r="I304" s="24"/>
      <c r="J304" s="24"/>
      <c r="K304" s="24"/>
      <c r="L304" s="24"/>
      <c r="M304" s="24"/>
      <c r="N304" s="24"/>
      <c r="O304" s="24"/>
      <c r="P304" s="24"/>
      <c r="Q304" s="24"/>
      <c r="R304" s="24"/>
      <c r="S304" s="25">
        <f t="shared" si="16"/>
        <v>0</v>
      </c>
      <c r="T304" s="25">
        <f>COUNTIF($V$4:V304,V304)</f>
        <v>161</v>
      </c>
      <c r="U304" s="25" t="str">
        <f>IF(T304=1,COUNTIF($T$4:T304,1),"")</f>
        <v/>
      </c>
      <c r="V304" s="26" t="str">
        <f>'施設状況(要更新)'!$E304&amp;'施設状況(要更新)'!$C304</f>
        <v/>
      </c>
      <c r="W304" s="26">
        <f>'施設状況(要更新)'!$F304</f>
        <v>0</v>
      </c>
      <c r="X304" s="27"/>
      <c r="Y304" s="26"/>
    </row>
    <row r="305" spans="1:25">
      <c r="A305" s="30"/>
      <c r="B305" s="24"/>
      <c r="C305" s="39"/>
      <c r="D305" s="24"/>
      <c r="E305" s="24"/>
      <c r="F305" s="24"/>
      <c r="G305" s="24"/>
      <c r="H305" s="24"/>
      <c r="I305" s="24"/>
      <c r="J305" s="24"/>
      <c r="K305" s="24"/>
      <c r="L305" s="24"/>
      <c r="M305" s="24"/>
      <c r="N305" s="24"/>
      <c r="O305" s="24"/>
      <c r="P305" s="24"/>
      <c r="Q305" s="24"/>
      <c r="R305" s="24"/>
      <c r="S305" s="25">
        <f t="shared" si="16"/>
        <v>0</v>
      </c>
      <c r="T305" s="25">
        <f>COUNTIF($V$4:V305,V305)</f>
        <v>162</v>
      </c>
      <c r="U305" s="25" t="str">
        <f>IF(T305=1,COUNTIF($T$4:T305,1),"")</f>
        <v/>
      </c>
      <c r="V305" s="26" t="str">
        <f>'施設状況(要更新)'!$E305&amp;'施設状況(要更新)'!$C305</f>
        <v/>
      </c>
      <c r="W305" s="26">
        <f>'施設状況(要更新)'!$F305</f>
        <v>0</v>
      </c>
      <c r="X305" s="27"/>
      <c r="Y305" s="26"/>
    </row>
    <row r="306" spans="1:25">
      <c r="A306" s="30"/>
      <c r="B306" s="24"/>
      <c r="C306" s="39"/>
      <c r="D306" s="24"/>
      <c r="E306" s="24"/>
      <c r="F306" s="24"/>
      <c r="G306" s="24"/>
      <c r="H306" s="24"/>
      <c r="I306" s="24"/>
      <c r="J306" s="24"/>
      <c r="K306" s="24"/>
      <c r="L306" s="24"/>
      <c r="M306" s="24"/>
      <c r="N306" s="24"/>
      <c r="O306" s="24"/>
      <c r="P306" s="24"/>
      <c r="Q306" s="24"/>
      <c r="R306" s="24"/>
      <c r="S306" s="25">
        <f t="shared" si="16"/>
        <v>0</v>
      </c>
      <c r="T306" s="25">
        <f>COUNTIF($V$4:V306,V306)</f>
        <v>163</v>
      </c>
      <c r="U306" s="25" t="str">
        <f>IF(T306=1,COUNTIF($T$4:T306,1),"")</f>
        <v/>
      </c>
      <c r="V306" s="26" t="str">
        <f>'施設状況(要更新)'!$E306&amp;'施設状況(要更新)'!$C306</f>
        <v/>
      </c>
      <c r="W306" s="26">
        <f>'施設状況(要更新)'!$F306</f>
        <v>0</v>
      </c>
      <c r="X306" s="27"/>
      <c r="Y306" s="26"/>
    </row>
    <row r="307" spans="1:25">
      <c r="A307" s="30"/>
      <c r="B307" s="24"/>
      <c r="C307" s="39"/>
      <c r="D307" s="24"/>
      <c r="E307" s="24"/>
      <c r="F307" s="24"/>
      <c r="G307" s="24"/>
      <c r="H307" s="24"/>
      <c r="I307" s="24"/>
      <c r="J307" s="24"/>
      <c r="K307" s="24"/>
      <c r="L307" s="24"/>
      <c r="M307" s="24"/>
      <c r="N307" s="24"/>
      <c r="O307" s="24"/>
      <c r="P307" s="24"/>
      <c r="Q307" s="24"/>
      <c r="R307" s="24"/>
      <c r="S307" s="25">
        <f t="shared" si="16"/>
        <v>0</v>
      </c>
      <c r="T307" s="25">
        <f>COUNTIF($V$4:V307,V307)</f>
        <v>164</v>
      </c>
      <c r="U307" s="25" t="str">
        <f>IF(T307=1,COUNTIF($T$4:T307,1),"")</f>
        <v/>
      </c>
      <c r="V307" s="26" t="str">
        <f>'施設状況(要更新)'!$E307&amp;'施設状況(要更新)'!$C307</f>
        <v/>
      </c>
      <c r="W307" s="26">
        <f>'施設状況(要更新)'!$F307</f>
        <v>0</v>
      </c>
      <c r="X307" s="27"/>
      <c r="Y307" s="26"/>
    </row>
    <row r="308" spans="1:25">
      <c r="A308" s="30"/>
      <c r="B308" s="24"/>
      <c r="C308" s="39"/>
      <c r="D308" s="24"/>
      <c r="E308" s="24"/>
      <c r="F308" s="24"/>
      <c r="G308" s="24"/>
      <c r="H308" s="24"/>
      <c r="I308" s="24"/>
      <c r="J308" s="24"/>
      <c r="K308" s="24"/>
      <c r="L308" s="24"/>
      <c r="M308" s="24"/>
      <c r="N308" s="24"/>
      <c r="O308" s="24"/>
      <c r="P308" s="24"/>
      <c r="Q308" s="24"/>
      <c r="R308" s="24"/>
      <c r="S308" s="25">
        <f t="shared" si="16"/>
        <v>0</v>
      </c>
      <c r="T308" s="25">
        <f>COUNTIF($V$4:V308,V308)</f>
        <v>165</v>
      </c>
      <c r="U308" s="25" t="str">
        <f>IF(T308=1,COUNTIF($T$4:T308,1),"")</f>
        <v/>
      </c>
      <c r="V308" s="26" t="str">
        <f>'施設状況(要更新)'!$E308&amp;'施設状況(要更新)'!$C308</f>
        <v/>
      </c>
      <c r="W308" s="26">
        <f>'施設状況(要更新)'!$F308</f>
        <v>0</v>
      </c>
      <c r="X308" s="27"/>
      <c r="Y308" s="26"/>
    </row>
    <row r="309" spans="1:25">
      <c r="A309" s="30"/>
      <c r="B309" s="24"/>
      <c r="C309" s="39"/>
      <c r="D309" s="24"/>
      <c r="E309" s="24"/>
      <c r="F309" s="24"/>
      <c r="G309" s="24"/>
      <c r="H309" s="24"/>
      <c r="I309" s="24"/>
      <c r="J309" s="24"/>
      <c r="K309" s="24"/>
      <c r="L309" s="24"/>
      <c r="M309" s="24"/>
      <c r="N309" s="24"/>
      <c r="O309" s="24"/>
      <c r="P309" s="24"/>
      <c r="Q309" s="24"/>
      <c r="R309" s="24"/>
      <c r="S309" s="25">
        <f t="shared" si="16"/>
        <v>0</v>
      </c>
      <c r="T309" s="25">
        <f>COUNTIF($V$4:V309,V309)</f>
        <v>166</v>
      </c>
      <c r="U309" s="25" t="str">
        <f>IF(T309=1,COUNTIF($T$4:T309,1),"")</f>
        <v/>
      </c>
      <c r="V309" s="26" t="str">
        <f>'施設状況(要更新)'!$E309&amp;'施設状況(要更新)'!$C309</f>
        <v/>
      </c>
      <c r="W309" s="26">
        <f>'施設状況(要更新)'!$F309</f>
        <v>0</v>
      </c>
      <c r="X309" s="27"/>
      <c r="Y309" s="26"/>
    </row>
    <row r="310" spans="1:25">
      <c r="A310" s="30"/>
      <c r="B310" s="24"/>
      <c r="C310" s="39"/>
      <c r="D310" s="24"/>
      <c r="E310" s="24"/>
      <c r="F310" s="24"/>
      <c r="G310" s="24"/>
      <c r="H310" s="24"/>
      <c r="I310" s="24"/>
      <c r="J310" s="24"/>
      <c r="K310" s="24"/>
      <c r="L310" s="24"/>
      <c r="M310" s="24"/>
      <c r="N310" s="24"/>
      <c r="O310" s="24"/>
      <c r="P310" s="24"/>
      <c r="Q310" s="24"/>
      <c r="R310" s="24"/>
      <c r="S310" s="25">
        <f t="shared" si="16"/>
        <v>0</v>
      </c>
      <c r="T310" s="25">
        <f>COUNTIF($V$4:V310,V310)</f>
        <v>167</v>
      </c>
      <c r="U310" s="25" t="str">
        <f>IF(T310=1,COUNTIF($T$4:T310,1),"")</f>
        <v/>
      </c>
      <c r="V310" s="26" t="str">
        <f>'施設状況(要更新)'!$E310&amp;'施設状況(要更新)'!$C310</f>
        <v/>
      </c>
      <c r="W310" s="26">
        <f>'施設状況(要更新)'!$F310</f>
        <v>0</v>
      </c>
      <c r="X310" s="27"/>
      <c r="Y310" s="26"/>
    </row>
    <row r="311" spans="1:25">
      <c r="A311" s="30"/>
      <c r="B311" s="24"/>
      <c r="C311" s="39"/>
      <c r="D311" s="24"/>
      <c r="E311" s="24"/>
      <c r="F311" s="24"/>
      <c r="G311" s="24"/>
      <c r="H311" s="24"/>
      <c r="I311" s="24"/>
      <c r="J311" s="24"/>
      <c r="K311" s="24"/>
      <c r="L311" s="24"/>
      <c r="M311" s="24"/>
      <c r="N311" s="24"/>
      <c r="O311" s="24"/>
      <c r="P311" s="24"/>
      <c r="Q311" s="24"/>
      <c r="R311" s="24"/>
      <c r="S311" s="25">
        <f t="shared" si="16"/>
        <v>0</v>
      </c>
      <c r="T311" s="25">
        <f>COUNTIF($V$4:V311,V311)</f>
        <v>168</v>
      </c>
      <c r="U311" s="25" t="str">
        <f>IF(T311=1,COUNTIF($T$4:T311,1),"")</f>
        <v/>
      </c>
      <c r="V311" s="26" t="str">
        <f>'施設状況(要更新)'!$E311&amp;'施設状況(要更新)'!$C311</f>
        <v/>
      </c>
      <c r="W311" s="26">
        <f>'施設状況(要更新)'!$F311</f>
        <v>0</v>
      </c>
      <c r="X311" s="27"/>
      <c r="Y311" s="26"/>
    </row>
    <row r="312" spans="1:25">
      <c r="A312" s="30"/>
      <c r="B312" s="24"/>
      <c r="C312" s="39"/>
      <c r="D312" s="24"/>
      <c r="E312" s="24"/>
      <c r="F312" s="24"/>
      <c r="G312" s="24"/>
      <c r="H312" s="24"/>
      <c r="I312" s="24"/>
      <c r="J312" s="24"/>
      <c r="K312" s="24"/>
      <c r="L312" s="24"/>
      <c r="M312" s="24"/>
      <c r="N312" s="24"/>
      <c r="O312" s="24"/>
      <c r="P312" s="24"/>
      <c r="Q312" s="24"/>
      <c r="R312" s="24"/>
      <c r="S312" s="25">
        <f t="shared" si="16"/>
        <v>0</v>
      </c>
      <c r="T312" s="25">
        <f>COUNTIF($V$4:V312,V312)</f>
        <v>169</v>
      </c>
      <c r="U312" s="25" t="str">
        <f>IF(T312=1,COUNTIF($T$4:T312,1),"")</f>
        <v/>
      </c>
      <c r="V312" s="26" t="str">
        <f>'施設状況(要更新)'!$E312&amp;'施設状況(要更新)'!$C312</f>
        <v/>
      </c>
      <c r="W312" s="26">
        <f>'施設状況(要更新)'!$F312</f>
        <v>0</v>
      </c>
      <c r="X312" s="27"/>
      <c r="Y312" s="26"/>
    </row>
    <row r="313" spans="1:25">
      <c r="A313" s="30"/>
      <c r="B313" s="24"/>
      <c r="C313" s="39"/>
      <c r="D313" s="24"/>
      <c r="E313" s="24"/>
      <c r="F313" s="24"/>
      <c r="G313" s="24"/>
      <c r="H313" s="24"/>
      <c r="I313" s="24"/>
      <c r="J313" s="24"/>
      <c r="K313" s="24"/>
      <c r="L313" s="24"/>
      <c r="M313" s="24"/>
      <c r="N313" s="24"/>
      <c r="O313" s="24"/>
      <c r="P313" s="24"/>
      <c r="Q313" s="24"/>
      <c r="R313" s="24"/>
      <c r="S313" s="25">
        <f t="shared" si="16"/>
        <v>0</v>
      </c>
      <c r="T313" s="25">
        <f>COUNTIF($V$4:V313,V313)</f>
        <v>170</v>
      </c>
      <c r="U313" s="25" t="str">
        <f>IF(T313=1,COUNTIF($T$4:T313,1),"")</f>
        <v/>
      </c>
      <c r="V313" s="26" t="str">
        <f>'施設状況(要更新)'!$E313&amp;'施設状況(要更新)'!$C313</f>
        <v/>
      </c>
      <c r="W313" s="26">
        <f>'施設状況(要更新)'!$F313</f>
        <v>0</v>
      </c>
      <c r="X313" s="27"/>
      <c r="Y313" s="26"/>
    </row>
    <row r="314" spans="1:25">
      <c r="A314" s="30"/>
      <c r="B314" s="24"/>
      <c r="C314" s="39"/>
      <c r="D314" s="24"/>
      <c r="E314" s="24"/>
      <c r="F314" s="24"/>
      <c r="G314" s="24"/>
      <c r="H314" s="24"/>
      <c r="I314" s="24"/>
      <c r="J314" s="24"/>
      <c r="K314" s="24"/>
      <c r="L314" s="24"/>
      <c r="M314" s="24"/>
      <c r="N314" s="24"/>
      <c r="O314" s="24"/>
      <c r="P314" s="24"/>
      <c r="Q314" s="24"/>
      <c r="R314" s="24"/>
      <c r="S314" s="25">
        <f t="shared" si="16"/>
        <v>0</v>
      </c>
      <c r="T314" s="25">
        <f>COUNTIF($V$4:V314,V314)</f>
        <v>171</v>
      </c>
      <c r="U314" s="25" t="str">
        <f>IF(T314=1,COUNTIF($T$4:T314,1),"")</f>
        <v/>
      </c>
      <c r="V314" s="26" t="str">
        <f>'施設状況(要更新)'!$E314&amp;'施設状況(要更新)'!$C314</f>
        <v/>
      </c>
      <c r="W314" s="26">
        <f>'施設状況(要更新)'!$F314</f>
        <v>0</v>
      </c>
      <c r="X314" s="27"/>
      <c r="Y314" s="26"/>
    </row>
    <row r="315" spans="1:25">
      <c r="A315" s="30"/>
      <c r="B315" s="24"/>
      <c r="C315" s="39"/>
      <c r="D315" s="24"/>
      <c r="E315" s="24"/>
      <c r="F315" s="24"/>
      <c r="G315" s="24"/>
      <c r="H315" s="24"/>
      <c r="I315" s="24"/>
      <c r="J315" s="24"/>
      <c r="K315" s="24"/>
      <c r="L315" s="24"/>
      <c r="M315" s="24"/>
      <c r="N315" s="24"/>
      <c r="O315" s="24"/>
      <c r="P315" s="24"/>
      <c r="Q315" s="24"/>
      <c r="R315" s="24"/>
      <c r="S315" s="25">
        <f t="shared" si="16"/>
        <v>0</v>
      </c>
      <c r="T315" s="25">
        <f>COUNTIF($V$4:V315,V315)</f>
        <v>172</v>
      </c>
      <c r="U315" s="25" t="str">
        <f>IF(T315=1,COUNTIF($T$4:T315,1),"")</f>
        <v/>
      </c>
      <c r="V315" s="26" t="str">
        <f>'施設状況(要更新)'!$E315&amp;'施設状況(要更新)'!$C315</f>
        <v/>
      </c>
      <c r="W315" s="26">
        <f>'施設状況(要更新)'!$F315</f>
        <v>0</v>
      </c>
      <c r="X315" s="27"/>
      <c r="Y315" s="26"/>
    </row>
    <row r="316" spans="1:25">
      <c r="A316" s="30"/>
      <c r="B316" s="24"/>
      <c r="C316" s="39"/>
      <c r="D316" s="24"/>
      <c r="E316" s="24"/>
      <c r="F316" s="24"/>
      <c r="G316" s="24"/>
      <c r="H316" s="24"/>
      <c r="I316" s="24"/>
      <c r="J316" s="24"/>
      <c r="K316" s="24"/>
      <c r="L316" s="24"/>
      <c r="M316" s="24"/>
      <c r="N316" s="24"/>
      <c r="O316" s="24"/>
      <c r="P316" s="24"/>
      <c r="Q316" s="24"/>
      <c r="R316" s="24"/>
      <c r="S316" s="25">
        <f t="shared" si="16"/>
        <v>0</v>
      </c>
      <c r="T316" s="25">
        <f>COUNTIF($V$4:V316,V316)</f>
        <v>173</v>
      </c>
      <c r="U316" s="25" t="str">
        <f>IF(T316=1,COUNTIF($T$4:T316,1),"")</f>
        <v/>
      </c>
      <c r="V316" s="26" t="str">
        <f>'施設状況(要更新)'!$E316&amp;'施設状況(要更新)'!$C316</f>
        <v/>
      </c>
      <c r="W316" s="26">
        <f>'施設状況(要更新)'!$F316</f>
        <v>0</v>
      </c>
      <c r="X316" s="27"/>
      <c r="Y316" s="26"/>
    </row>
    <row r="317" spans="1:25">
      <c r="A317" s="30"/>
      <c r="B317" s="24"/>
      <c r="C317" s="39"/>
      <c r="D317" s="24"/>
      <c r="E317" s="24"/>
      <c r="F317" s="24"/>
      <c r="G317" s="24"/>
      <c r="H317" s="24"/>
      <c r="I317" s="24"/>
      <c r="J317" s="24"/>
      <c r="K317" s="24"/>
      <c r="L317" s="24"/>
      <c r="M317" s="24"/>
      <c r="N317" s="24"/>
      <c r="O317" s="24"/>
      <c r="P317" s="24"/>
      <c r="Q317" s="24"/>
      <c r="R317" s="24"/>
      <c r="S317" s="25">
        <f t="shared" si="16"/>
        <v>0</v>
      </c>
      <c r="T317" s="25">
        <f>COUNTIF($V$4:V317,V317)</f>
        <v>174</v>
      </c>
      <c r="U317" s="25" t="str">
        <f>IF(T317=1,COUNTIF($T$4:T317,1),"")</f>
        <v/>
      </c>
      <c r="V317" s="26" t="str">
        <f>'施設状況(要更新)'!$E317&amp;'施設状況(要更新)'!$C317</f>
        <v/>
      </c>
      <c r="W317" s="26">
        <f>'施設状況(要更新)'!$F317</f>
        <v>0</v>
      </c>
      <c r="X317" s="27"/>
      <c r="Y317" s="26"/>
    </row>
    <row r="318" spans="1:25">
      <c r="A318" s="30"/>
      <c r="B318" s="24"/>
      <c r="C318" s="39"/>
      <c r="D318" s="24"/>
      <c r="E318" s="24"/>
      <c r="F318" s="24"/>
      <c r="G318" s="24"/>
      <c r="H318" s="24"/>
      <c r="I318" s="24"/>
      <c r="J318" s="24"/>
      <c r="K318" s="24"/>
      <c r="L318" s="24"/>
      <c r="M318" s="24"/>
      <c r="N318" s="24"/>
      <c r="O318" s="24"/>
      <c r="P318" s="24"/>
      <c r="Q318" s="24"/>
      <c r="R318" s="24"/>
      <c r="S318" s="25">
        <f t="shared" si="16"/>
        <v>0</v>
      </c>
      <c r="T318" s="25">
        <f>COUNTIF($V$4:V318,V318)</f>
        <v>175</v>
      </c>
      <c r="U318" s="25" t="str">
        <f>IF(T318=1,COUNTIF($T$4:T318,1),"")</f>
        <v/>
      </c>
      <c r="V318" s="26" t="str">
        <f>'施設状況(要更新)'!$E318&amp;'施設状況(要更新)'!$C318</f>
        <v/>
      </c>
      <c r="W318" s="26">
        <f>'施設状況(要更新)'!$F318</f>
        <v>0</v>
      </c>
      <c r="X318" s="27"/>
      <c r="Y318" s="26"/>
    </row>
    <row r="319" spans="1:25">
      <c r="A319" s="30"/>
      <c r="B319" s="24"/>
      <c r="C319" s="39"/>
      <c r="D319" s="24"/>
      <c r="E319" s="24"/>
      <c r="F319" s="24"/>
      <c r="G319" s="24"/>
      <c r="H319" s="24"/>
      <c r="I319" s="24"/>
      <c r="J319" s="24"/>
      <c r="K319" s="24"/>
      <c r="L319" s="24"/>
      <c r="M319" s="24"/>
      <c r="N319" s="24"/>
      <c r="O319" s="24"/>
      <c r="P319" s="24"/>
      <c r="Q319" s="24"/>
      <c r="R319" s="24"/>
      <c r="S319" s="25">
        <f t="shared" si="16"/>
        <v>0</v>
      </c>
      <c r="T319" s="25">
        <f>COUNTIF($V$4:V319,V319)</f>
        <v>176</v>
      </c>
      <c r="U319" s="25" t="str">
        <f>IF(T319=1,COUNTIF($T$4:T319,1),"")</f>
        <v/>
      </c>
      <c r="V319" s="26" t="str">
        <f>'施設状況(要更新)'!$E319&amp;'施設状況(要更新)'!$C319</f>
        <v/>
      </c>
      <c r="W319" s="26">
        <f>'施設状況(要更新)'!$F319</f>
        <v>0</v>
      </c>
      <c r="X319" s="27"/>
      <c r="Y319" s="26"/>
    </row>
    <row r="320" spans="1:25">
      <c r="A320" s="30"/>
      <c r="B320" s="24"/>
      <c r="C320" s="39"/>
      <c r="D320" s="24"/>
      <c r="E320" s="24"/>
      <c r="F320" s="24"/>
      <c r="G320" s="24"/>
      <c r="H320" s="24"/>
      <c r="I320" s="24"/>
      <c r="J320" s="24"/>
      <c r="K320" s="24"/>
      <c r="L320" s="24"/>
      <c r="M320" s="24"/>
      <c r="N320" s="24"/>
      <c r="O320" s="24"/>
      <c r="P320" s="24"/>
      <c r="Q320" s="24"/>
      <c r="R320" s="24"/>
      <c r="S320" s="25">
        <f t="shared" si="16"/>
        <v>0</v>
      </c>
      <c r="T320" s="25">
        <f>COUNTIF($V$4:V320,V320)</f>
        <v>177</v>
      </c>
      <c r="U320" s="25" t="str">
        <f>IF(T320=1,COUNTIF($T$4:T320,1),"")</f>
        <v/>
      </c>
      <c r="V320" s="26" t="str">
        <f>'施設状況(要更新)'!$E320&amp;'施設状況(要更新)'!$C320</f>
        <v/>
      </c>
      <c r="W320" s="26">
        <f>'施設状況(要更新)'!$F320</f>
        <v>0</v>
      </c>
      <c r="X320" s="27"/>
      <c r="Y320" s="26"/>
    </row>
    <row r="321" spans="1:33">
      <c r="A321" s="30"/>
      <c r="B321" s="24"/>
      <c r="C321" s="39"/>
      <c r="D321" s="24"/>
      <c r="E321" s="24"/>
      <c r="F321" s="24"/>
      <c r="G321" s="24"/>
      <c r="H321" s="24"/>
      <c r="I321" s="24"/>
      <c r="J321" s="24"/>
      <c r="K321" s="24"/>
      <c r="L321" s="24"/>
      <c r="M321" s="24"/>
      <c r="N321" s="24"/>
      <c r="O321" s="24"/>
      <c r="P321" s="24"/>
      <c r="Q321" s="24"/>
      <c r="R321" s="24"/>
      <c r="S321" s="25">
        <f t="shared" si="16"/>
        <v>0</v>
      </c>
      <c r="T321" s="25">
        <f>COUNTIF($V$4:V321,V321)</f>
        <v>178</v>
      </c>
      <c r="U321" s="25" t="str">
        <f>IF(T321=1,COUNTIF($T$4:T321,1),"")</f>
        <v/>
      </c>
      <c r="V321" s="26" t="str">
        <f>'施設状況(要更新)'!$E321&amp;'施設状況(要更新)'!$C321</f>
        <v/>
      </c>
      <c r="W321" s="26">
        <f>'施設状況(要更新)'!$F321</f>
        <v>0</v>
      </c>
      <c r="X321" s="27"/>
      <c r="Y321" s="26"/>
    </row>
    <row r="322" spans="1:33">
      <c r="A322" s="30"/>
      <c r="B322" s="24"/>
      <c r="C322" s="39"/>
      <c r="D322" s="24"/>
      <c r="E322" s="24"/>
      <c r="F322" s="24"/>
      <c r="G322" s="24"/>
      <c r="H322" s="24"/>
      <c r="I322" s="24"/>
      <c r="J322" s="24"/>
      <c r="K322" s="24"/>
      <c r="L322" s="24"/>
      <c r="M322" s="24"/>
      <c r="N322" s="24"/>
      <c r="O322" s="24"/>
      <c r="P322" s="24"/>
      <c r="Q322" s="24"/>
      <c r="R322" s="24"/>
      <c r="S322" s="25">
        <f t="shared" si="16"/>
        <v>0</v>
      </c>
      <c r="T322" s="25">
        <f>COUNTIF($V$4:V322,V322)</f>
        <v>179</v>
      </c>
      <c r="U322" s="25" t="str">
        <f>IF(T322=1,COUNTIF($T$4:T322,1),"")</f>
        <v/>
      </c>
      <c r="V322" s="26" t="str">
        <f>'施設状況(要更新)'!$E322&amp;'施設状況(要更新)'!$C322</f>
        <v/>
      </c>
      <c r="W322" s="26">
        <f>'施設状況(要更新)'!$F322</f>
        <v>0</v>
      </c>
      <c r="X322" s="27"/>
      <c r="Y322" s="26"/>
      <c r="Z322" s="26"/>
      <c r="AA322" s="26"/>
      <c r="AB322" s="26"/>
      <c r="AC322" s="26"/>
      <c r="AD322" s="26"/>
      <c r="AE322" s="26"/>
      <c r="AF322" s="26"/>
      <c r="AG322" s="26"/>
    </row>
    <row r="323" spans="1:33">
      <c r="A323" s="30"/>
      <c r="B323" s="24"/>
      <c r="C323" s="39"/>
      <c r="D323" s="24"/>
      <c r="E323" s="24"/>
      <c r="F323" s="24"/>
      <c r="G323" s="24"/>
      <c r="H323" s="24"/>
      <c r="I323" s="24"/>
      <c r="J323" s="24"/>
      <c r="K323" s="24"/>
      <c r="L323" s="24"/>
      <c r="M323" s="24"/>
      <c r="N323" s="24"/>
      <c r="O323" s="24"/>
      <c r="P323" s="24"/>
      <c r="Q323" s="24"/>
      <c r="R323" s="24"/>
      <c r="S323" s="25">
        <f t="shared" si="16"/>
        <v>0</v>
      </c>
      <c r="T323" s="25">
        <f>COUNTIF($V$4:V323,V323)</f>
        <v>180</v>
      </c>
      <c r="U323" s="25" t="str">
        <f>IF(T323=1,COUNTIF($T$4:T323,1),"")</f>
        <v/>
      </c>
      <c r="V323" s="26" t="str">
        <f>'施設状況(要更新)'!$E323&amp;'施設状況(要更新)'!$C323</f>
        <v/>
      </c>
      <c r="W323" s="26">
        <f>'施設状況(要更新)'!$F323</f>
        <v>0</v>
      </c>
      <c r="X323" s="27"/>
      <c r="Y323" s="26"/>
    </row>
    <row r="324" spans="1:33">
      <c r="A324" s="30"/>
      <c r="B324" s="24"/>
      <c r="C324" s="39"/>
      <c r="D324" s="24"/>
      <c r="E324" s="24"/>
      <c r="F324" s="24"/>
      <c r="G324" s="24"/>
      <c r="H324" s="24"/>
      <c r="I324" s="24"/>
      <c r="J324" s="24"/>
      <c r="K324" s="24"/>
      <c r="L324" s="24"/>
      <c r="M324" s="24"/>
      <c r="N324" s="24"/>
      <c r="O324" s="24"/>
      <c r="P324" s="24"/>
      <c r="Q324" s="24"/>
      <c r="R324" s="24"/>
      <c r="S324" s="25">
        <f t="shared" si="16"/>
        <v>0</v>
      </c>
      <c r="T324" s="25">
        <f>COUNTIF($V$4:V324,V324)</f>
        <v>181</v>
      </c>
      <c r="U324" s="25" t="str">
        <f>IF(T324=1,COUNTIF($T$4:T324,1),"")</f>
        <v/>
      </c>
      <c r="V324" s="26" t="str">
        <f>'施設状況(要更新)'!$E324&amp;'施設状況(要更新)'!$C324</f>
        <v/>
      </c>
      <c r="W324" s="26">
        <f>'施設状況(要更新)'!$F324</f>
        <v>0</v>
      </c>
      <c r="X324" s="27"/>
      <c r="Y324" s="26"/>
    </row>
    <row r="325" spans="1:33">
      <c r="A325" s="30"/>
      <c r="B325" s="24"/>
      <c r="C325" s="39"/>
      <c r="D325" s="24"/>
      <c r="E325" s="24"/>
      <c r="F325" s="24"/>
      <c r="G325" s="24"/>
      <c r="H325" s="24"/>
      <c r="I325" s="24"/>
      <c r="J325" s="24"/>
      <c r="K325" s="24"/>
      <c r="L325" s="24"/>
      <c r="M325" s="24"/>
      <c r="N325" s="24"/>
      <c r="O325" s="24"/>
      <c r="P325" s="24"/>
      <c r="Q325" s="24"/>
      <c r="R325" s="24"/>
      <c r="S325" s="25">
        <f t="shared" ref="S325:S388" si="17">A325</f>
        <v>0</v>
      </c>
      <c r="T325" s="25">
        <f>COUNTIF($V$4:V325,V325)</f>
        <v>182</v>
      </c>
      <c r="U325" s="25" t="str">
        <f>IF(T325=1,COUNTIF($T$4:T325,1),"")</f>
        <v/>
      </c>
      <c r="V325" s="26" t="str">
        <f>'施設状況(要更新)'!$E325&amp;'施設状況(要更新)'!$C325</f>
        <v/>
      </c>
      <c r="W325" s="26">
        <f>'施設状況(要更新)'!$F325</f>
        <v>0</v>
      </c>
      <c r="X325" s="27"/>
      <c r="Y325" s="26"/>
    </row>
    <row r="326" spans="1:33">
      <c r="A326" s="30"/>
      <c r="B326" s="24"/>
      <c r="C326" s="39"/>
      <c r="D326" s="24"/>
      <c r="E326" s="24"/>
      <c r="F326" s="24"/>
      <c r="G326" s="24"/>
      <c r="H326" s="24"/>
      <c r="I326" s="24"/>
      <c r="J326" s="24"/>
      <c r="K326" s="24"/>
      <c r="L326" s="24"/>
      <c r="M326" s="24"/>
      <c r="N326" s="24"/>
      <c r="O326" s="24"/>
      <c r="P326" s="24"/>
      <c r="Q326" s="24"/>
      <c r="R326" s="24"/>
      <c r="S326" s="25">
        <f t="shared" si="17"/>
        <v>0</v>
      </c>
      <c r="T326" s="25">
        <f>COUNTIF($V$4:V326,V326)</f>
        <v>183</v>
      </c>
      <c r="U326" s="25" t="str">
        <f>IF(T326=1,COUNTIF($T$4:T326,1),"")</f>
        <v/>
      </c>
      <c r="V326" s="26" t="str">
        <f>'施設状況(要更新)'!$E326&amp;'施設状況(要更新)'!$C326</f>
        <v/>
      </c>
      <c r="W326" s="26">
        <f>'施設状況(要更新)'!$F326</f>
        <v>0</v>
      </c>
      <c r="X326" s="27"/>
      <c r="Y326" s="26"/>
    </row>
    <row r="327" spans="1:33">
      <c r="A327" s="30"/>
      <c r="B327" s="24"/>
      <c r="C327" s="39"/>
      <c r="D327" s="24"/>
      <c r="E327" s="24"/>
      <c r="F327" s="24"/>
      <c r="G327" s="24"/>
      <c r="H327" s="24"/>
      <c r="I327" s="24"/>
      <c r="J327" s="24"/>
      <c r="K327" s="24"/>
      <c r="L327" s="24"/>
      <c r="M327" s="24"/>
      <c r="N327" s="24"/>
      <c r="O327" s="24"/>
      <c r="P327" s="24"/>
      <c r="Q327" s="24"/>
      <c r="R327" s="24"/>
      <c r="S327" s="25">
        <f t="shared" si="17"/>
        <v>0</v>
      </c>
      <c r="T327" s="25">
        <f>COUNTIF($V$4:V327,V327)</f>
        <v>184</v>
      </c>
      <c r="U327" s="25" t="str">
        <f>IF(T327=1,COUNTIF($T$4:T327,1),"")</f>
        <v/>
      </c>
      <c r="V327" s="26" t="str">
        <f>'施設状況(要更新)'!$E327&amp;'施設状況(要更新)'!$C327</f>
        <v/>
      </c>
      <c r="W327" s="26">
        <f>'施設状況(要更新)'!$F327</f>
        <v>0</v>
      </c>
      <c r="X327" s="27"/>
      <c r="Y327" s="26"/>
    </row>
    <row r="328" spans="1:33">
      <c r="A328" s="30"/>
      <c r="B328" s="24"/>
      <c r="C328" s="39"/>
      <c r="D328" s="24"/>
      <c r="E328" s="24"/>
      <c r="F328" s="24"/>
      <c r="G328" s="24"/>
      <c r="H328" s="24"/>
      <c r="I328" s="24"/>
      <c r="J328" s="24"/>
      <c r="K328" s="24"/>
      <c r="L328" s="24"/>
      <c r="M328" s="24"/>
      <c r="N328" s="24"/>
      <c r="O328" s="24"/>
      <c r="P328" s="24"/>
      <c r="Q328" s="24"/>
      <c r="R328" s="24"/>
      <c r="S328" s="25">
        <f t="shared" si="17"/>
        <v>0</v>
      </c>
      <c r="T328" s="25">
        <f>COUNTIF($V$4:V328,V328)</f>
        <v>185</v>
      </c>
      <c r="U328" s="25" t="str">
        <f>IF(T328=1,COUNTIF($T$4:T328,1),"")</f>
        <v/>
      </c>
      <c r="V328" s="26" t="str">
        <f>'施設状況(要更新)'!$E328&amp;'施設状況(要更新)'!$C328</f>
        <v/>
      </c>
      <c r="W328" s="26">
        <f>'施設状況(要更新)'!$F328</f>
        <v>0</v>
      </c>
      <c r="X328" s="27"/>
      <c r="Y328" s="26"/>
    </row>
    <row r="329" spans="1:33">
      <c r="A329" s="30"/>
      <c r="B329" s="24"/>
      <c r="C329" s="39"/>
      <c r="D329" s="24"/>
      <c r="E329" s="24"/>
      <c r="F329" s="24"/>
      <c r="G329" s="24"/>
      <c r="H329" s="24"/>
      <c r="I329" s="24"/>
      <c r="J329" s="24"/>
      <c r="K329" s="24"/>
      <c r="L329" s="24"/>
      <c r="M329" s="24"/>
      <c r="N329" s="24"/>
      <c r="O329" s="24"/>
      <c r="P329" s="24"/>
      <c r="Q329" s="24"/>
      <c r="R329" s="24"/>
      <c r="S329" s="25">
        <f t="shared" si="17"/>
        <v>0</v>
      </c>
      <c r="T329" s="25">
        <f>COUNTIF($V$4:V329,V329)</f>
        <v>186</v>
      </c>
      <c r="U329" s="25" t="str">
        <f>IF(T329=1,COUNTIF($T$4:T329,1),"")</f>
        <v/>
      </c>
      <c r="V329" s="26" t="str">
        <f>'施設状況(要更新)'!$E329&amp;'施設状況(要更新)'!$C329</f>
        <v/>
      </c>
      <c r="W329" s="26">
        <f>'施設状況(要更新)'!$F329</f>
        <v>0</v>
      </c>
      <c r="X329" s="27"/>
      <c r="Y329" s="26"/>
    </row>
    <row r="330" spans="1:33">
      <c r="A330" s="30"/>
      <c r="B330" s="24"/>
      <c r="C330" s="39"/>
      <c r="D330" s="24"/>
      <c r="E330" s="24"/>
      <c r="F330" s="24"/>
      <c r="G330" s="24"/>
      <c r="H330" s="24"/>
      <c r="I330" s="24"/>
      <c r="J330" s="24"/>
      <c r="K330" s="24"/>
      <c r="L330" s="24"/>
      <c r="M330" s="24"/>
      <c r="N330" s="24"/>
      <c r="O330" s="24"/>
      <c r="P330" s="24"/>
      <c r="Q330" s="24"/>
      <c r="R330" s="24"/>
      <c r="S330" s="25">
        <f t="shared" si="17"/>
        <v>0</v>
      </c>
      <c r="T330" s="25">
        <f>COUNTIF($V$4:V330,V330)</f>
        <v>187</v>
      </c>
      <c r="U330" s="25" t="str">
        <f>IF(T330=1,COUNTIF($T$4:T330,1),"")</f>
        <v/>
      </c>
      <c r="V330" s="26" t="str">
        <f>'施設状況(要更新)'!$E330&amp;'施設状況(要更新)'!$C330</f>
        <v/>
      </c>
      <c r="W330" s="26">
        <f>'施設状況(要更新)'!$F330</f>
        <v>0</v>
      </c>
      <c r="X330" s="27"/>
      <c r="Y330" s="26"/>
    </row>
    <row r="331" spans="1:33">
      <c r="A331" s="30"/>
      <c r="B331" s="24"/>
      <c r="C331" s="39"/>
      <c r="D331" s="24"/>
      <c r="E331" s="24"/>
      <c r="F331" s="24"/>
      <c r="G331" s="24"/>
      <c r="H331" s="24"/>
      <c r="I331" s="24"/>
      <c r="J331" s="24"/>
      <c r="K331" s="24"/>
      <c r="L331" s="24"/>
      <c r="M331" s="24"/>
      <c r="N331" s="24"/>
      <c r="O331" s="24"/>
      <c r="P331" s="24"/>
      <c r="Q331" s="24"/>
      <c r="R331" s="24"/>
      <c r="S331" s="25">
        <f t="shared" si="17"/>
        <v>0</v>
      </c>
      <c r="T331" s="25">
        <f>COUNTIF($V$4:V331,V331)</f>
        <v>188</v>
      </c>
      <c r="U331" s="25" t="str">
        <f>IF(T331=1,COUNTIF($T$4:T331,1),"")</f>
        <v/>
      </c>
      <c r="V331" s="26" t="str">
        <f>'施設状況(要更新)'!$E331&amp;'施設状況(要更新)'!$C331</f>
        <v/>
      </c>
      <c r="W331" s="26">
        <f>'施設状況(要更新)'!$F331</f>
        <v>0</v>
      </c>
      <c r="X331" s="27"/>
      <c r="Y331" s="26"/>
    </row>
    <row r="332" spans="1:33">
      <c r="A332" s="30"/>
      <c r="B332" s="24"/>
      <c r="C332" s="39"/>
      <c r="D332" s="24"/>
      <c r="E332" s="24"/>
      <c r="F332" s="24"/>
      <c r="G332" s="24"/>
      <c r="H332" s="24"/>
      <c r="I332" s="24"/>
      <c r="J332" s="24"/>
      <c r="K332" s="24"/>
      <c r="L332" s="24"/>
      <c r="M332" s="24"/>
      <c r="N332" s="24"/>
      <c r="O332" s="24"/>
      <c r="P332" s="24"/>
      <c r="Q332" s="24"/>
      <c r="R332" s="24"/>
      <c r="S332" s="25">
        <f t="shared" si="17"/>
        <v>0</v>
      </c>
      <c r="T332" s="25">
        <f>COUNTIF($V$4:V332,V332)</f>
        <v>189</v>
      </c>
      <c r="U332" s="25" t="str">
        <f>IF(T332=1,COUNTIF($T$4:T332,1),"")</f>
        <v/>
      </c>
      <c r="V332" s="26" t="str">
        <f>'施設状況(要更新)'!$E332&amp;'施設状況(要更新)'!$C332</f>
        <v/>
      </c>
      <c r="W332" s="26">
        <f>'施設状況(要更新)'!$F332</f>
        <v>0</v>
      </c>
      <c r="X332" s="27"/>
      <c r="Y332" s="26"/>
    </row>
    <row r="333" spans="1:33">
      <c r="A333" s="30"/>
      <c r="B333" s="24"/>
      <c r="C333" s="39"/>
      <c r="D333" s="24"/>
      <c r="E333" s="24"/>
      <c r="F333" s="24"/>
      <c r="G333" s="24"/>
      <c r="H333" s="24"/>
      <c r="I333" s="24"/>
      <c r="J333" s="24"/>
      <c r="K333" s="24"/>
      <c r="L333" s="24"/>
      <c r="M333" s="24"/>
      <c r="N333" s="24"/>
      <c r="O333" s="24"/>
      <c r="P333" s="24"/>
      <c r="Q333" s="24"/>
      <c r="R333" s="24"/>
      <c r="S333" s="25">
        <f t="shared" si="17"/>
        <v>0</v>
      </c>
      <c r="T333" s="25">
        <f>COUNTIF($V$4:V333,V333)</f>
        <v>190</v>
      </c>
      <c r="U333" s="25" t="str">
        <f>IF(T333=1,COUNTIF($T$4:T333,1),"")</f>
        <v/>
      </c>
      <c r="V333" s="26" t="str">
        <f>'施設状況(要更新)'!$E333&amp;'施設状況(要更新)'!$C333</f>
        <v/>
      </c>
      <c r="W333" s="26">
        <f>'施設状況(要更新)'!$F333</f>
        <v>0</v>
      </c>
      <c r="X333" s="27"/>
      <c r="Y333" s="26"/>
    </row>
    <row r="334" spans="1:33">
      <c r="A334" s="30"/>
      <c r="B334" s="24"/>
      <c r="C334" s="39"/>
      <c r="D334" s="24"/>
      <c r="E334" s="24"/>
      <c r="F334" s="24"/>
      <c r="G334" s="24"/>
      <c r="H334" s="24"/>
      <c r="I334" s="24"/>
      <c r="J334" s="24"/>
      <c r="K334" s="24"/>
      <c r="L334" s="24"/>
      <c r="M334" s="24"/>
      <c r="N334" s="24"/>
      <c r="O334" s="24"/>
      <c r="P334" s="24"/>
      <c r="Q334" s="24"/>
      <c r="R334" s="24"/>
      <c r="S334" s="25">
        <f t="shared" si="17"/>
        <v>0</v>
      </c>
      <c r="T334" s="25">
        <f>COUNTIF($V$4:V334,V334)</f>
        <v>191</v>
      </c>
      <c r="U334" s="25" t="str">
        <f>IF(T334=1,COUNTIF($T$4:T334,1),"")</f>
        <v/>
      </c>
      <c r="V334" s="26" t="str">
        <f>'施設状況(要更新)'!$E334&amp;'施設状況(要更新)'!$C334</f>
        <v/>
      </c>
      <c r="W334" s="26">
        <f>'施設状況(要更新)'!$F334</f>
        <v>0</v>
      </c>
      <c r="X334" s="27"/>
      <c r="Y334" s="26"/>
    </row>
    <row r="335" spans="1:33">
      <c r="A335" s="30"/>
      <c r="B335" s="24"/>
      <c r="C335" s="24"/>
      <c r="D335" s="24"/>
      <c r="E335" s="24"/>
      <c r="F335" s="24"/>
      <c r="G335" s="24"/>
      <c r="H335" s="24"/>
      <c r="I335" s="24"/>
      <c r="J335" s="24"/>
      <c r="K335" s="24"/>
      <c r="L335" s="24"/>
      <c r="M335" s="24"/>
      <c r="N335" s="24"/>
      <c r="O335" s="24"/>
      <c r="P335" s="24"/>
      <c r="Q335" s="24"/>
      <c r="R335" s="24"/>
      <c r="S335" s="25">
        <f t="shared" si="17"/>
        <v>0</v>
      </c>
      <c r="T335" s="25">
        <f>COUNTIF($V$4:V335,V335)</f>
        <v>192</v>
      </c>
      <c r="U335" s="25" t="str">
        <f>IF(T335=1,COUNTIF($T$4:T335,1),"")</f>
        <v/>
      </c>
      <c r="V335" s="26" t="str">
        <f>'施設状況(要更新)'!$E335&amp;'施設状況(要更新)'!$C335</f>
        <v/>
      </c>
      <c r="W335" s="26">
        <f>'施設状況(要更新)'!$F335</f>
        <v>0</v>
      </c>
      <c r="X335" s="27"/>
      <c r="Y335" s="26"/>
    </row>
    <row r="336" spans="1:33">
      <c r="A336" s="30"/>
      <c r="B336" s="24"/>
      <c r="C336" s="24"/>
      <c r="D336" s="24"/>
      <c r="E336" s="24"/>
      <c r="F336" s="24"/>
      <c r="G336" s="24"/>
      <c r="H336" s="24"/>
      <c r="I336" s="24"/>
      <c r="J336" s="24"/>
      <c r="K336" s="24"/>
      <c r="L336" s="24"/>
      <c r="M336" s="24"/>
      <c r="N336" s="24"/>
      <c r="O336" s="24"/>
      <c r="P336" s="24"/>
      <c r="Q336" s="24"/>
      <c r="R336" s="24"/>
      <c r="S336" s="25">
        <f t="shared" si="17"/>
        <v>0</v>
      </c>
      <c r="T336" s="25">
        <f>COUNTIF($V$4:V336,V336)</f>
        <v>193</v>
      </c>
      <c r="U336" s="25" t="str">
        <f>IF(T336=1,COUNTIF($T$4:T336,1),"")</f>
        <v/>
      </c>
      <c r="V336" s="26" t="str">
        <f>'施設状況(要更新)'!$E336&amp;'施設状況(要更新)'!$C336</f>
        <v/>
      </c>
      <c r="W336" s="26">
        <f>'施設状況(要更新)'!$F336</f>
        <v>0</v>
      </c>
      <c r="X336" s="27"/>
      <c r="Y336" s="26"/>
    </row>
    <row r="337" spans="1:33">
      <c r="A337" s="30"/>
      <c r="B337" s="24"/>
      <c r="C337" s="24"/>
      <c r="D337" s="24"/>
      <c r="E337" s="24"/>
      <c r="F337" s="24"/>
      <c r="G337" s="24"/>
      <c r="H337" s="24"/>
      <c r="I337" s="24"/>
      <c r="J337" s="24"/>
      <c r="K337" s="24"/>
      <c r="L337" s="24"/>
      <c r="M337" s="24"/>
      <c r="N337" s="24"/>
      <c r="O337" s="24"/>
      <c r="P337" s="24"/>
      <c r="Q337" s="24"/>
      <c r="R337" s="24"/>
      <c r="S337" s="25">
        <f t="shared" si="17"/>
        <v>0</v>
      </c>
      <c r="T337" s="25">
        <f>COUNTIF($V$4:V337,V337)</f>
        <v>194</v>
      </c>
      <c r="U337" s="25" t="str">
        <f>IF(T337=1,COUNTIF($T$4:T337,1),"")</f>
        <v/>
      </c>
      <c r="V337" s="26" t="str">
        <f>'施設状況(要更新)'!$E337&amp;'施設状況(要更新)'!$C337</f>
        <v/>
      </c>
      <c r="W337" s="26">
        <f>'施設状況(要更新)'!$F337</f>
        <v>0</v>
      </c>
      <c r="X337" s="27"/>
      <c r="Y337" s="26"/>
    </row>
    <row r="338" spans="1:33">
      <c r="A338" s="30"/>
      <c r="B338" s="24"/>
      <c r="C338" s="24"/>
      <c r="D338" s="24"/>
      <c r="E338" s="24"/>
      <c r="F338" s="24"/>
      <c r="G338" s="24"/>
      <c r="H338" s="24"/>
      <c r="I338" s="24"/>
      <c r="J338" s="24"/>
      <c r="K338" s="24"/>
      <c r="L338" s="24"/>
      <c r="M338" s="24"/>
      <c r="N338" s="24"/>
      <c r="O338" s="24"/>
      <c r="P338" s="24"/>
      <c r="Q338" s="24"/>
      <c r="R338" s="24"/>
      <c r="S338" s="25">
        <f t="shared" si="17"/>
        <v>0</v>
      </c>
      <c r="T338" s="25">
        <f>COUNTIF($V$4:V338,V338)</f>
        <v>195</v>
      </c>
      <c r="U338" s="25" t="str">
        <f>IF(T338=1,COUNTIF($T$4:T338,1),"")</f>
        <v/>
      </c>
      <c r="V338" s="26" t="str">
        <f>'施設状況(要更新)'!$E338&amp;'施設状況(要更新)'!$C338</f>
        <v/>
      </c>
      <c r="W338" s="26">
        <f>'施設状況(要更新)'!$F338</f>
        <v>0</v>
      </c>
      <c r="X338" s="27"/>
      <c r="Y338" s="26"/>
    </row>
    <row r="339" spans="1:33">
      <c r="A339" s="30"/>
      <c r="B339" s="24"/>
      <c r="C339" s="24"/>
      <c r="D339" s="24"/>
      <c r="E339" s="24"/>
      <c r="F339" s="24"/>
      <c r="G339" s="24"/>
      <c r="H339" s="24"/>
      <c r="I339" s="24"/>
      <c r="J339" s="24"/>
      <c r="K339" s="24"/>
      <c r="L339" s="24"/>
      <c r="M339" s="24"/>
      <c r="N339" s="24"/>
      <c r="O339" s="24"/>
      <c r="P339" s="24"/>
      <c r="Q339" s="24"/>
      <c r="R339" s="24"/>
      <c r="S339" s="25">
        <f t="shared" si="17"/>
        <v>0</v>
      </c>
      <c r="T339" s="25">
        <f>COUNTIF($V$4:V339,V339)</f>
        <v>196</v>
      </c>
      <c r="U339" s="25" t="str">
        <f>IF(T339=1,COUNTIF($T$4:T339,1),"")</f>
        <v/>
      </c>
      <c r="V339" s="26" t="str">
        <f>'施設状況(要更新)'!$E339&amp;'施設状況(要更新)'!$C339</f>
        <v/>
      </c>
      <c r="W339" s="26">
        <f>'施設状況(要更新)'!$F339</f>
        <v>0</v>
      </c>
      <c r="X339" s="27"/>
      <c r="Y339" s="26"/>
    </row>
    <row r="340" spans="1:33">
      <c r="A340" s="30"/>
      <c r="B340" s="24"/>
      <c r="C340" s="24"/>
      <c r="D340" s="24"/>
      <c r="E340" s="24"/>
      <c r="F340" s="24"/>
      <c r="G340" s="24"/>
      <c r="H340" s="24"/>
      <c r="I340" s="24"/>
      <c r="J340" s="24"/>
      <c r="K340" s="24"/>
      <c r="L340" s="24"/>
      <c r="M340" s="24"/>
      <c r="N340" s="24"/>
      <c r="O340" s="24"/>
      <c r="P340" s="24"/>
      <c r="Q340" s="24"/>
      <c r="R340" s="24"/>
      <c r="S340" s="25">
        <f t="shared" si="17"/>
        <v>0</v>
      </c>
      <c r="T340" s="25">
        <f>COUNTIF($V$4:V340,V340)</f>
        <v>197</v>
      </c>
      <c r="U340" s="25" t="str">
        <f>IF(T340=1,COUNTIF($T$4:T340,1),"")</f>
        <v/>
      </c>
      <c r="V340" s="26" t="str">
        <f>'施設状況(要更新)'!$E340&amp;'施設状況(要更新)'!$C340</f>
        <v/>
      </c>
      <c r="W340" s="26">
        <f>'施設状況(要更新)'!$F340</f>
        <v>0</v>
      </c>
      <c r="X340" s="27"/>
      <c r="Y340" s="26"/>
    </row>
    <row r="341" spans="1:33">
      <c r="A341" s="30"/>
      <c r="B341" s="24"/>
      <c r="C341" s="24"/>
      <c r="D341" s="24"/>
      <c r="E341" s="24"/>
      <c r="F341" s="24"/>
      <c r="G341" s="24"/>
      <c r="H341" s="24"/>
      <c r="I341" s="24"/>
      <c r="J341" s="24"/>
      <c r="K341" s="24"/>
      <c r="L341" s="24"/>
      <c r="M341" s="24"/>
      <c r="N341" s="24"/>
      <c r="O341" s="24"/>
      <c r="P341" s="24"/>
      <c r="Q341" s="24"/>
      <c r="R341" s="24"/>
      <c r="S341" s="25">
        <f t="shared" si="17"/>
        <v>0</v>
      </c>
      <c r="T341" s="25">
        <f>COUNTIF($V$4:V341,V341)</f>
        <v>198</v>
      </c>
      <c r="U341" s="25" t="str">
        <f>IF(T341=1,COUNTIF($T$4:T341,1),"")</f>
        <v/>
      </c>
      <c r="V341" s="26" t="str">
        <f>'施設状況(要更新)'!$E341&amp;'施設状況(要更新)'!$C341</f>
        <v/>
      </c>
      <c r="W341" s="26">
        <f>'施設状況(要更新)'!$F341</f>
        <v>0</v>
      </c>
      <c r="X341" s="27"/>
      <c r="Y341" s="26"/>
    </row>
    <row r="342" spans="1:33">
      <c r="A342" s="30"/>
      <c r="B342" s="24"/>
      <c r="C342" s="24"/>
      <c r="D342" s="24"/>
      <c r="E342" s="24"/>
      <c r="F342" s="24"/>
      <c r="G342" s="24"/>
      <c r="H342" s="24"/>
      <c r="I342" s="24"/>
      <c r="J342" s="24"/>
      <c r="K342" s="24"/>
      <c r="L342" s="24"/>
      <c r="M342" s="24"/>
      <c r="N342" s="24"/>
      <c r="O342" s="24"/>
      <c r="P342" s="24"/>
      <c r="Q342" s="24"/>
      <c r="R342" s="24"/>
      <c r="S342" s="25">
        <f t="shared" si="17"/>
        <v>0</v>
      </c>
      <c r="T342" s="25">
        <f>COUNTIF($V$4:V342,V342)</f>
        <v>199</v>
      </c>
      <c r="U342" s="25" t="str">
        <f>IF(T342=1,COUNTIF($T$4:T342,1),"")</f>
        <v/>
      </c>
      <c r="V342" s="26" t="str">
        <f>'施設状況(要更新)'!$E342&amp;'施設状況(要更新)'!$C342</f>
        <v/>
      </c>
      <c r="W342" s="26">
        <f>'施設状況(要更新)'!$F342</f>
        <v>0</v>
      </c>
      <c r="X342" s="27"/>
      <c r="Y342" s="26"/>
    </row>
    <row r="343" spans="1:33">
      <c r="A343" s="30"/>
      <c r="B343" s="24"/>
      <c r="C343" s="24"/>
      <c r="D343" s="24"/>
      <c r="E343" s="24"/>
      <c r="F343" s="24"/>
      <c r="G343" s="24"/>
      <c r="H343" s="24"/>
      <c r="I343" s="24"/>
      <c r="J343" s="24"/>
      <c r="K343" s="24"/>
      <c r="L343" s="24"/>
      <c r="M343" s="24"/>
      <c r="N343" s="24"/>
      <c r="O343" s="24"/>
      <c r="P343" s="24"/>
      <c r="Q343" s="24"/>
      <c r="R343" s="24"/>
      <c r="S343" s="25">
        <f t="shared" si="17"/>
        <v>0</v>
      </c>
      <c r="T343" s="25">
        <f>COUNTIF($V$4:V343,V343)</f>
        <v>200</v>
      </c>
      <c r="U343" s="25" t="str">
        <f>IF(T343=1,COUNTIF($T$4:T343,1),"")</f>
        <v/>
      </c>
      <c r="V343" s="26" t="str">
        <f>'施設状況(要更新)'!$E343&amp;'施設状況(要更新)'!$C343</f>
        <v/>
      </c>
      <c r="W343" s="26">
        <f>'施設状況(要更新)'!$F343</f>
        <v>0</v>
      </c>
      <c r="X343" s="27"/>
      <c r="Y343" s="26"/>
    </row>
    <row r="344" spans="1:33">
      <c r="A344" s="30"/>
      <c r="B344" s="24"/>
      <c r="C344" s="24"/>
      <c r="D344" s="24"/>
      <c r="E344" s="24"/>
      <c r="F344" s="24"/>
      <c r="G344" s="24"/>
      <c r="H344" s="24"/>
      <c r="I344" s="24"/>
      <c r="J344" s="24"/>
      <c r="K344" s="24"/>
      <c r="L344" s="24"/>
      <c r="M344" s="24"/>
      <c r="N344" s="24"/>
      <c r="O344" s="24"/>
      <c r="P344" s="24"/>
      <c r="Q344" s="24"/>
      <c r="R344" s="24"/>
      <c r="S344" s="25">
        <f t="shared" si="17"/>
        <v>0</v>
      </c>
      <c r="T344" s="25">
        <f>COUNTIF($V$4:V344,V344)</f>
        <v>201</v>
      </c>
      <c r="U344" s="25" t="str">
        <f>IF(T344=1,COUNTIF($T$4:T344,1),"")</f>
        <v/>
      </c>
      <c r="V344" s="26" t="str">
        <f>'施設状況(要更新)'!$E344&amp;'施設状況(要更新)'!$C344</f>
        <v/>
      </c>
      <c r="W344" s="26">
        <f>'施設状況(要更新)'!$F344</f>
        <v>0</v>
      </c>
      <c r="X344" s="27"/>
      <c r="Y344" s="26"/>
    </row>
    <row r="345" spans="1:33">
      <c r="A345" s="30"/>
      <c r="B345" s="24"/>
      <c r="C345" s="24"/>
      <c r="D345" s="24"/>
      <c r="E345" s="24"/>
      <c r="F345" s="24"/>
      <c r="G345" s="24"/>
      <c r="H345" s="24"/>
      <c r="I345" s="24"/>
      <c r="J345" s="24"/>
      <c r="K345" s="24"/>
      <c r="L345" s="24"/>
      <c r="M345" s="24"/>
      <c r="N345" s="24"/>
      <c r="O345" s="24"/>
      <c r="P345" s="24"/>
      <c r="Q345" s="24"/>
      <c r="R345" s="24"/>
      <c r="S345" s="25">
        <f t="shared" si="17"/>
        <v>0</v>
      </c>
      <c r="T345" s="25">
        <f>COUNTIF($V$4:V345,V345)</f>
        <v>202</v>
      </c>
      <c r="U345" s="25" t="str">
        <f>IF(T345=1,COUNTIF($T$4:T345,1),"")</f>
        <v/>
      </c>
      <c r="V345" s="26" t="str">
        <f>'施設状況(要更新)'!$E345&amp;'施設状況(要更新)'!$C345</f>
        <v/>
      </c>
      <c r="W345" s="26">
        <f>'施設状況(要更新)'!$F345</f>
        <v>0</v>
      </c>
      <c r="X345" s="27"/>
      <c r="Y345" s="26"/>
    </row>
    <row r="346" spans="1:33">
      <c r="A346" s="30"/>
      <c r="B346" s="24"/>
      <c r="C346" s="24"/>
      <c r="D346" s="24"/>
      <c r="E346" s="24"/>
      <c r="F346" s="24"/>
      <c r="G346" s="24"/>
      <c r="H346" s="24"/>
      <c r="I346" s="24"/>
      <c r="J346" s="24"/>
      <c r="K346" s="24"/>
      <c r="L346" s="24"/>
      <c r="M346" s="24"/>
      <c r="N346" s="24"/>
      <c r="O346" s="24"/>
      <c r="P346" s="24"/>
      <c r="Q346" s="24"/>
      <c r="R346" s="24"/>
      <c r="S346" s="25">
        <f t="shared" si="17"/>
        <v>0</v>
      </c>
      <c r="T346" s="25">
        <f>COUNTIF($V$4:V346,V346)</f>
        <v>203</v>
      </c>
      <c r="U346" s="25" t="str">
        <f>IF(T346=1,COUNTIF($T$4:T346,1),"")</f>
        <v/>
      </c>
      <c r="V346" s="26" t="str">
        <f>'施設状況(要更新)'!$E346&amp;'施設状況(要更新)'!$C346</f>
        <v/>
      </c>
      <c r="W346" s="26">
        <f>'施設状況(要更新)'!$F346</f>
        <v>0</v>
      </c>
      <c r="X346" s="27"/>
      <c r="Y346" s="26"/>
    </row>
    <row r="347" spans="1:33">
      <c r="A347" s="30"/>
      <c r="B347" s="24"/>
      <c r="C347" s="24"/>
      <c r="D347" s="24"/>
      <c r="E347" s="24"/>
      <c r="F347" s="24"/>
      <c r="G347" s="24"/>
      <c r="H347" s="24"/>
      <c r="I347" s="24"/>
      <c r="J347" s="24"/>
      <c r="K347" s="24"/>
      <c r="L347" s="24"/>
      <c r="M347" s="24"/>
      <c r="N347" s="24"/>
      <c r="O347" s="24"/>
      <c r="P347" s="24"/>
      <c r="Q347" s="24"/>
      <c r="R347" s="24"/>
      <c r="S347" s="25">
        <f t="shared" si="17"/>
        <v>0</v>
      </c>
      <c r="T347" s="25">
        <f>COUNTIF($V$4:V347,V347)</f>
        <v>204</v>
      </c>
      <c r="U347" s="25" t="str">
        <f>IF(T347=1,COUNTIF($T$4:T347,1),"")</f>
        <v/>
      </c>
      <c r="V347" s="26" t="str">
        <f>'施設状況(要更新)'!$E347&amp;'施設状況(要更新)'!$C347</f>
        <v/>
      </c>
      <c r="W347" s="26">
        <f>'施設状況(要更新)'!$F347</f>
        <v>0</v>
      </c>
      <c r="X347" s="27"/>
      <c r="Y347" s="26"/>
      <c r="Z347" s="26"/>
      <c r="AA347" s="26"/>
      <c r="AB347" s="26"/>
      <c r="AC347" s="26"/>
      <c r="AD347" s="26"/>
      <c r="AE347" s="26"/>
      <c r="AF347" s="26"/>
      <c r="AG347" s="26"/>
    </row>
    <row r="348" spans="1:33">
      <c r="A348" s="30"/>
      <c r="B348" s="24"/>
      <c r="C348" s="24"/>
      <c r="D348" s="24"/>
      <c r="E348" s="24"/>
      <c r="F348" s="24"/>
      <c r="G348" s="24"/>
      <c r="H348" s="24"/>
      <c r="I348" s="24"/>
      <c r="J348" s="24"/>
      <c r="K348" s="24"/>
      <c r="L348" s="24"/>
      <c r="M348" s="24"/>
      <c r="N348" s="24"/>
      <c r="O348" s="24"/>
      <c r="P348" s="24"/>
      <c r="Q348" s="24"/>
      <c r="R348" s="24"/>
      <c r="S348" s="25">
        <f t="shared" si="17"/>
        <v>0</v>
      </c>
      <c r="T348" s="25">
        <f>COUNTIF($V$4:V348,V348)</f>
        <v>205</v>
      </c>
      <c r="U348" s="25" t="str">
        <f>IF(T348=1,COUNTIF($T$4:T348,1),"")</f>
        <v/>
      </c>
      <c r="V348" s="26" t="str">
        <f>'施設状況(要更新)'!$E348&amp;'施設状況(要更新)'!$C348</f>
        <v/>
      </c>
      <c r="W348" s="26">
        <f>'施設状況(要更新)'!$F348</f>
        <v>0</v>
      </c>
      <c r="X348" s="27"/>
      <c r="Y348" s="26"/>
    </row>
    <row r="349" spans="1:33">
      <c r="A349" s="30"/>
      <c r="B349" s="24"/>
      <c r="C349" s="24"/>
      <c r="D349" s="24"/>
      <c r="E349" s="24"/>
      <c r="F349" s="24"/>
      <c r="G349" s="24"/>
      <c r="H349" s="24"/>
      <c r="I349" s="24"/>
      <c r="J349" s="24"/>
      <c r="K349" s="24"/>
      <c r="L349" s="24"/>
      <c r="M349" s="24"/>
      <c r="N349" s="24"/>
      <c r="O349" s="24"/>
      <c r="P349" s="24"/>
      <c r="Q349" s="24"/>
      <c r="R349" s="24"/>
      <c r="S349" s="25">
        <f t="shared" si="17"/>
        <v>0</v>
      </c>
      <c r="T349" s="25">
        <f>COUNTIF($V$4:V349,V349)</f>
        <v>206</v>
      </c>
      <c r="U349" s="25" t="str">
        <f>IF(T349=1,COUNTIF($T$4:T349,1),"")</f>
        <v/>
      </c>
      <c r="V349" s="26" t="str">
        <f>'施設状況(要更新)'!$E349&amp;'施設状況(要更新)'!$C349</f>
        <v/>
      </c>
      <c r="W349" s="26">
        <f>'施設状況(要更新)'!$F349</f>
        <v>0</v>
      </c>
      <c r="X349" s="27"/>
      <c r="Y349" s="26"/>
    </row>
    <row r="350" spans="1:33">
      <c r="A350" s="30"/>
      <c r="B350" s="24"/>
      <c r="C350" s="24"/>
      <c r="D350" s="24"/>
      <c r="E350" s="24"/>
      <c r="F350" s="24"/>
      <c r="G350" s="24"/>
      <c r="H350" s="24"/>
      <c r="I350" s="24"/>
      <c r="J350" s="24"/>
      <c r="K350" s="24"/>
      <c r="L350" s="24"/>
      <c r="M350" s="24"/>
      <c r="N350" s="24"/>
      <c r="O350" s="24"/>
      <c r="P350" s="24"/>
      <c r="Q350" s="24"/>
      <c r="R350" s="24"/>
      <c r="S350" s="25">
        <f t="shared" si="17"/>
        <v>0</v>
      </c>
      <c r="T350" s="25">
        <f>COUNTIF($V$4:V350,V350)</f>
        <v>207</v>
      </c>
      <c r="U350" s="25" t="str">
        <f>IF(T350=1,COUNTIF($T$4:T350,1),"")</f>
        <v/>
      </c>
      <c r="V350" s="26" t="str">
        <f>'施設状況(要更新)'!$E350&amp;'施設状況(要更新)'!$C350</f>
        <v/>
      </c>
      <c r="W350" s="26">
        <f>'施設状況(要更新)'!$F350</f>
        <v>0</v>
      </c>
      <c r="X350" s="27"/>
      <c r="Y350" s="26"/>
      <c r="Z350" s="26"/>
      <c r="AA350" s="26"/>
      <c r="AB350" s="26"/>
      <c r="AC350" s="26"/>
      <c r="AD350" s="26"/>
      <c r="AE350" s="26"/>
      <c r="AF350" s="26"/>
      <c r="AG350" s="26"/>
    </row>
    <row r="351" spans="1:33">
      <c r="A351" s="30"/>
      <c r="B351" s="24"/>
      <c r="C351" s="24"/>
      <c r="D351" s="24"/>
      <c r="E351" s="24"/>
      <c r="F351" s="24"/>
      <c r="G351" s="24"/>
      <c r="H351" s="24"/>
      <c r="I351" s="24"/>
      <c r="J351" s="24"/>
      <c r="K351" s="24"/>
      <c r="L351" s="24"/>
      <c r="M351" s="24"/>
      <c r="N351" s="24"/>
      <c r="O351" s="24"/>
      <c r="P351" s="24"/>
      <c r="Q351" s="24"/>
      <c r="R351" s="24"/>
      <c r="S351" s="25">
        <f t="shared" si="17"/>
        <v>0</v>
      </c>
      <c r="T351" s="25">
        <f>COUNTIF($V$4:V351,V351)</f>
        <v>208</v>
      </c>
      <c r="U351" s="25" t="str">
        <f>IF(T351=1,COUNTIF($T$4:T351,1),"")</f>
        <v/>
      </c>
      <c r="V351" s="26" t="str">
        <f>'施設状況(要更新)'!$E351&amp;'施設状況(要更新)'!$C351</f>
        <v/>
      </c>
      <c r="W351" s="26">
        <f>'施設状況(要更新)'!$F351</f>
        <v>0</v>
      </c>
      <c r="X351" s="27"/>
      <c r="Y351" s="26"/>
    </row>
    <row r="352" spans="1:33">
      <c r="A352" s="30"/>
      <c r="B352" s="24"/>
      <c r="C352" s="24"/>
      <c r="D352" s="24"/>
      <c r="E352" s="24"/>
      <c r="F352" s="24"/>
      <c r="G352" s="24"/>
      <c r="H352" s="24"/>
      <c r="I352" s="24"/>
      <c r="J352" s="24"/>
      <c r="K352" s="24"/>
      <c r="L352" s="24"/>
      <c r="M352" s="24"/>
      <c r="N352" s="24"/>
      <c r="O352" s="24"/>
      <c r="P352" s="24"/>
      <c r="Q352" s="24"/>
      <c r="R352" s="24"/>
      <c r="S352" s="25">
        <f t="shared" si="17"/>
        <v>0</v>
      </c>
      <c r="T352" s="25">
        <f>COUNTIF($V$4:V352,V352)</f>
        <v>209</v>
      </c>
      <c r="U352" s="25" t="str">
        <f>IF(T352=1,COUNTIF($T$4:T352,1),"")</f>
        <v/>
      </c>
      <c r="V352" s="26" t="str">
        <f>'施設状況(要更新)'!$E352&amp;'施設状況(要更新)'!$C352</f>
        <v/>
      </c>
      <c r="W352" s="26">
        <f>'施設状況(要更新)'!$F352</f>
        <v>0</v>
      </c>
      <c r="X352" s="27"/>
      <c r="Y352" s="26"/>
    </row>
    <row r="353" spans="1:33">
      <c r="A353" s="30"/>
      <c r="B353" s="24"/>
      <c r="C353" s="24"/>
      <c r="D353" s="24"/>
      <c r="E353" s="24"/>
      <c r="F353" s="24"/>
      <c r="G353" s="24"/>
      <c r="H353" s="24"/>
      <c r="I353" s="24"/>
      <c r="J353" s="24"/>
      <c r="K353" s="24"/>
      <c r="L353" s="24"/>
      <c r="M353" s="24"/>
      <c r="N353" s="24"/>
      <c r="O353" s="24"/>
      <c r="P353" s="24"/>
      <c r="Q353" s="24"/>
      <c r="R353" s="24"/>
      <c r="S353" s="25">
        <f t="shared" si="17"/>
        <v>0</v>
      </c>
      <c r="T353" s="25">
        <f>COUNTIF($V$4:V353,V353)</f>
        <v>210</v>
      </c>
      <c r="U353" s="25" t="str">
        <f>IF(T353=1,COUNTIF($T$4:T353,1),"")</f>
        <v/>
      </c>
      <c r="V353" s="26" t="str">
        <f>'施設状況(要更新)'!$E353&amp;'施設状況(要更新)'!$C353</f>
        <v/>
      </c>
      <c r="W353" s="26">
        <f>'施設状況(要更新)'!$F353</f>
        <v>0</v>
      </c>
      <c r="X353" s="27"/>
      <c r="Y353" s="26"/>
    </row>
    <row r="354" spans="1:33">
      <c r="A354" s="30"/>
      <c r="B354" s="24"/>
      <c r="C354" s="24"/>
      <c r="D354" s="24"/>
      <c r="E354" s="24"/>
      <c r="F354" s="24"/>
      <c r="G354" s="24"/>
      <c r="H354" s="24"/>
      <c r="I354" s="24"/>
      <c r="J354" s="24"/>
      <c r="K354" s="24"/>
      <c r="L354" s="24"/>
      <c r="M354" s="24"/>
      <c r="N354" s="24"/>
      <c r="O354" s="24"/>
      <c r="P354" s="24"/>
      <c r="Q354" s="24"/>
      <c r="R354" s="24"/>
      <c r="S354" s="25">
        <f t="shared" si="17"/>
        <v>0</v>
      </c>
      <c r="T354" s="25">
        <f>COUNTIF($V$4:V354,V354)</f>
        <v>211</v>
      </c>
      <c r="U354" s="25" t="str">
        <f>IF(T354=1,COUNTIF($T$4:T354,1),"")</f>
        <v/>
      </c>
      <c r="V354" s="26" t="str">
        <f>'施設状況(要更新)'!$E354&amp;'施設状況(要更新)'!$C354</f>
        <v/>
      </c>
      <c r="W354" s="26">
        <f>'施設状況(要更新)'!$F354</f>
        <v>0</v>
      </c>
      <c r="X354" s="27"/>
      <c r="Y354" s="26"/>
    </row>
    <row r="355" spans="1:33">
      <c r="A355" s="30"/>
      <c r="B355" s="24"/>
      <c r="C355" s="24"/>
      <c r="D355" s="24"/>
      <c r="E355" s="24"/>
      <c r="F355" s="24"/>
      <c r="G355" s="24"/>
      <c r="H355" s="24"/>
      <c r="I355" s="24"/>
      <c r="J355" s="24"/>
      <c r="K355" s="24"/>
      <c r="L355" s="24"/>
      <c r="M355" s="24"/>
      <c r="N355" s="24"/>
      <c r="O355" s="24"/>
      <c r="P355" s="24"/>
      <c r="Q355" s="24"/>
      <c r="R355" s="24"/>
      <c r="S355" s="25">
        <f t="shared" si="17"/>
        <v>0</v>
      </c>
      <c r="T355" s="25">
        <f>COUNTIF($V$4:V355,V355)</f>
        <v>212</v>
      </c>
      <c r="U355" s="25" t="str">
        <f>IF(T355=1,COUNTIF($T$4:T355,1),"")</f>
        <v/>
      </c>
      <c r="V355" s="26" t="str">
        <f>'施設状況(要更新)'!$E355&amp;'施設状況(要更新)'!$C355</f>
        <v/>
      </c>
      <c r="W355" s="26">
        <f>'施設状況(要更新)'!$F355</f>
        <v>0</v>
      </c>
      <c r="X355" s="27"/>
      <c r="Y355" s="26"/>
    </row>
    <row r="356" spans="1:33">
      <c r="A356" s="30"/>
      <c r="B356" s="24"/>
      <c r="C356" s="24"/>
      <c r="D356" s="24"/>
      <c r="E356" s="24"/>
      <c r="F356" s="24"/>
      <c r="G356" s="24"/>
      <c r="H356" s="24"/>
      <c r="I356" s="24"/>
      <c r="J356" s="24"/>
      <c r="K356" s="24"/>
      <c r="L356" s="24"/>
      <c r="M356" s="24"/>
      <c r="N356" s="24"/>
      <c r="O356" s="24"/>
      <c r="P356" s="24"/>
      <c r="Q356" s="24"/>
      <c r="R356" s="24"/>
      <c r="S356" s="25">
        <f t="shared" si="17"/>
        <v>0</v>
      </c>
      <c r="T356" s="25">
        <f>COUNTIF($V$4:V356,V356)</f>
        <v>213</v>
      </c>
      <c r="U356" s="25" t="str">
        <f>IF(T356=1,COUNTIF($T$4:T356,1),"")</f>
        <v/>
      </c>
      <c r="V356" s="26" t="str">
        <f>'施設状況(要更新)'!$E356&amp;'施設状況(要更新)'!$C356</f>
        <v/>
      </c>
      <c r="W356" s="26">
        <f>'施設状況(要更新)'!$F356</f>
        <v>0</v>
      </c>
      <c r="X356" s="27"/>
      <c r="Y356" s="26"/>
    </row>
    <row r="357" spans="1:33">
      <c r="A357" s="30"/>
      <c r="B357" s="24"/>
      <c r="C357" s="24"/>
      <c r="D357" s="24"/>
      <c r="E357" s="24"/>
      <c r="F357" s="24"/>
      <c r="G357" s="24"/>
      <c r="H357" s="24"/>
      <c r="I357" s="24"/>
      <c r="J357" s="24"/>
      <c r="K357" s="24"/>
      <c r="L357" s="24"/>
      <c r="M357" s="24"/>
      <c r="N357" s="24"/>
      <c r="O357" s="24"/>
      <c r="P357" s="24"/>
      <c r="Q357" s="24"/>
      <c r="R357" s="24"/>
      <c r="S357" s="25">
        <f t="shared" si="17"/>
        <v>0</v>
      </c>
      <c r="T357" s="25">
        <f>COUNTIF($V$4:V357,V357)</f>
        <v>214</v>
      </c>
      <c r="U357" s="25" t="str">
        <f>IF(T357=1,COUNTIF($T$4:T357,1),"")</f>
        <v/>
      </c>
      <c r="V357" s="26" t="str">
        <f>'施設状況(要更新)'!$E357&amp;'施設状況(要更新)'!$C357</f>
        <v/>
      </c>
      <c r="W357" s="26">
        <f>'施設状況(要更新)'!$F357</f>
        <v>0</v>
      </c>
      <c r="X357" s="27"/>
      <c r="Y357" s="26"/>
    </row>
    <row r="358" spans="1:33">
      <c r="A358" s="30"/>
      <c r="B358" s="24"/>
      <c r="C358" s="24"/>
      <c r="D358" s="24"/>
      <c r="E358" s="24"/>
      <c r="F358" s="24"/>
      <c r="G358" s="24"/>
      <c r="H358" s="24"/>
      <c r="I358" s="24"/>
      <c r="J358" s="24"/>
      <c r="K358" s="24"/>
      <c r="L358" s="24"/>
      <c r="M358" s="24"/>
      <c r="N358" s="24"/>
      <c r="O358" s="24"/>
      <c r="P358" s="24"/>
      <c r="Q358" s="24"/>
      <c r="R358" s="24"/>
      <c r="S358" s="25">
        <f t="shared" si="17"/>
        <v>0</v>
      </c>
      <c r="T358" s="25">
        <f>COUNTIF($V$4:V358,V358)</f>
        <v>215</v>
      </c>
      <c r="U358" s="25" t="str">
        <f>IF(T358=1,COUNTIF($T$4:T358,1),"")</f>
        <v/>
      </c>
      <c r="V358" s="26" t="str">
        <f>'施設状況(要更新)'!$E358&amp;'施設状況(要更新)'!$C358</f>
        <v/>
      </c>
      <c r="W358" s="26">
        <f>'施設状況(要更新)'!$F358</f>
        <v>0</v>
      </c>
      <c r="X358" s="27"/>
      <c r="Y358" s="26"/>
    </row>
    <row r="359" spans="1:33">
      <c r="A359" s="30"/>
      <c r="B359" s="24"/>
      <c r="C359" s="24"/>
      <c r="D359" s="24"/>
      <c r="E359" s="24"/>
      <c r="F359" s="24"/>
      <c r="G359" s="24"/>
      <c r="H359" s="24"/>
      <c r="I359" s="24"/>
      <c r="J359" s="24"/>
      <c r="K359" s="24"/>
      <c r="L359" s="24"/>
      <c r="M359" s="24"/>
      <c r="N359" s="24"/>
      <c r="O359" s="24"/>
      <c r="P359" s="24"/>
      <c r="Q359" s="24"/>
      <c r="R359" s="24"/>
      <c r="S359" s="25">
        <f t="shared" si="17"/>
        <v>0</v>
      </c>
      <c r="T359" s="25">
        <f>COUNTIF($V$4:V359,V359)</f>
        <v>216</v>
      </c>
      <c r="U359" s="25" t="str">
        <f>IF(T359=1,COUNTIF($T$4:T359,1),"")</f>
        <v/>
      </c>
      <c r="V359" s="26" t="str">
        <f>'施設状況(要更新)'!$E359&amp;'施設状況(要更新)'!$C359</f>
        <v/>
      </c>
      <c r="W359" s="26">
        <f>'施設状況(要更新)'!$F359</f>
        <v>0</v>
      </c>
      <c r="X359" s="27"/>
      <c r="Y359" s="26"/>
    </row>
    <row r="360" spans="1:33">
      <c r="A360" s="30"/>
      <c r="B360" s="24"/>
      <c r="C360" s="24"/>
      <c r="D360" s="24"/>
      <c r="E360" s="24"/>
      <c r="F360" s="24"/>
      <c r="G360" s="24"/>
      <c r="H360" s="24"/>
      <c r="I360" s="24"/>
      <c r="J360" s="24"/>
      <c r="K360" s="24"/>
      <c r="L360" s="24"/>
      <c r="M360" s="24"/>
      <c r="N360" s="24"/>
      <c r="O360" s="24"/>
      <c r="P360" s="24"/>
      <c r="Q360" s="24"/>
      <c r="R360" s="24"/>
      <c r="S360" s="25">
        <f t="shared" si="17"/>
        <v>0</v>
      </c>
      <c r="T360" s="25">
        <f>COUNTIF($V$4:V360,V360)</f>
        <v>217</v>
      </c>
      <c r="U360" s="25" t="str">
        <f>IF(T360=1,COUNTIF($T$4:T360,1),"")</f>
        <v/>
      </c>
      <c r="V360" s="26" t="str">
        <f>'施設状況(要更新)'!$E360&amp;'施設状況(要更新)'!$C360</f>
        <v/>
      </c>
      <c r="W360" s="26">
        <f>'施設状況(要更新)'!$F360</f>
        <v>0</v>
      </c>
      <c r="X360" s="27"/>
      <c r="Y360" s="26"/>
    </row>
    <row r="361" spans="1:33">
      <c r="A361" s="30"/>
      <c r="B361" s="24"/>
      <c r="C361" s="24"/>
      <c r="D361" s="24"/>
      <c r="E361" s="24"/>
      <c r="F361" s="24"/>
      <c r="G361" s="24"/>
      <c r="H361" s="24"/>
      <c r="I361" s="24"/>
      <c r="J361" s="24"/>
      <c r="K361" s="24"/>
      <c r="L361" s="24"/>
      <c r="M361" s="24"/>
      <c r="N361" s="24"/>
      <c r="O361" s="24"/>
      <c r="P361" s="24"/>
      <c r="Q361" s="24"/>
      <c r="R361" s="24"/>
      <c r="S361" s="25">
        <f t="shared" si="17"/>
        <v>0</v>
      </c>
      <c r="T361" s="25">
        <f>COUNTIF($V$4:V361,V361)</f>
        <v>218</v>
      </c>
      <c r="U361" s="25" t="str">
        <f>IF(T361=1,COUNTIF($T$4:T361,1),"")</f>
        <v/>
      </c>
      <c r="V361" s="26" t="str">
        <f>'施設状況(要更新)'!$E361&amp;'施設状況(要更新)'!$C361</f>
        <v/>
      </c>
      <c r="W361" s="26">
        <f>'施設状況(要更新)'!$F361</f>
        <v>0</v>
      </c>
      <c r="X361" s="27"/>
      <c r="Y361" s="26"/>
    </row>
    <row r="362" spans="1:33">
      <c r="A362" s="30"/>
      <c r="B362" s="24"/>
      <c r="C362" s="24"/>
      <c r="D362" s="24"/>
      <c r="E362" s="24"/>
      <c r="F362" s="24"/>
      <c r="G362" s="24"/>
      <c r="H362" s="24"/>
      <c r="I362" s="24"/>
      <c r="J362" s="24"/>
      <c r="K362" s="24"/>
      <c r="L362" s="24"/>
      <c r="M362" s="24"/>
      <c r="N362" s="24"/>
      <c r="O362" s="24"/>
      <c r="P362" s="24"/>
      <c r="Q362" s="24"/>
      <c r="R362" s="24"/>
      <c r="S362" s="25">
        <f t="shared" si="17"/>
        <v>0</v>
      </c>
      <c r="T362" s="25">
        <f>COUNTIF($V$4:V362,V362)</f>
        <v>219</v>
      </c>
      <c r="U362" s="25" t="str">
        <f>IF(T362=1,COUNTIF($T$4:T362,1),"")</f>
        <v/>
      </c>
      <c r="V362" s="26" t="str">
        <f>'施設状況(要更新)'!$E362&amp;'施設状況(要更新)'!$C362</f>
        <v/>
      </c>
      <c r="W362" s="26">
        <f>'施設状況(要更新)'!$F362</f>
        <v>0</v>
      </c>
      <c r="X362" s="27"/>
      <c r="Y362" s="26"/>
    </row>
    <row r="363" spans="1:33">
      <c r="A363" s="30"/>
      <c r="B363" s="24"/>
      <c r="C363" s="24"/>
      <c r="D363" s="24"/>
      <c r="E363" s="24"/>
      <c r="F363" s="24"/>
      <c r="G363" s="24"/>
      <c r="H363" s="24"/>
      <c r="I363" s="24"/>
      <c r="J363" s="24"/>
      <c r="K363" s="24"/>
      <c r="L363" s="24"/>
      <c r="M363" s="24"/>
      <c r="N363" s="24"/>
      <c r="O363" s="24"/>
      <c r="P363" s="24"/>
      <c r="Q363" s="24"/>
      <c r="R363" s="24"/>
      <c r="S363" s="25">
        <f t="shared" si="17"/>
        <v>0</v>
      </c>
      <c r="T363" s="25">
        <f>COUNTIF($V$4:V363,V363)</f>
        <v>220</v>
      </c>
      <c r="U363" s="25" t="str">
        <f>IF(T363=1,COUNTIF($T$4:T363,1),"")</f>
        <v/>
      </c>
      <c r="V363" s="26" t="str">
        <f>'施設状況(要更新)'!$E363&amp;'施設状況(要更新)'!$C363</f>
        <v/>
      </c>
      <c r="W363" s="26">
        <f>'施設状況(要更新)'!$F363</f>
        <v>0</v>
      </c>
      <c r="X363" s="27"/>
      <c r="Y363" s="26"/>
    </row>
    <row r="364" spans="1:33">
      <c r="A364" s="30"/>
      <c r="B364" s="24"/>
      <c r="C364" s="24"/>
      <c r="D364" s="24"/>
      <c r="E364" s="24"/>
      <c r="F364" s="24"/>
      <c r="G364" s="24"/>
      <c r="H364" s="24"/>
      <c r="I364" s="24"/>
      <c r="J364" s="24"/>
      <c r="K364" s="24"/>
      <c r="L364" s="24"/>
      <c r="M364" s="24"/>
      <c r="N364" s="24"/>
      <c r="O364" s="24"/>
      <c r="P364" s="24"/>
      <c r="Q364" s="24"/>
      <c r="R364" s="24"/>
      <c r="S364" s="25">
        <f t="shared" si="17"/>
        <v>0</v>
      </c>
      <c r="T364" s="25">
        <f>COUNTIF($V$4:V364,V364)</f>
        <v>221</v>
      </c>
      <c r="U364" s="25" t="str">
        <f>IF(T364=1,COUNTIF($T$4:T364,1),"")</f>
        <v/>
      </c>
      <c r="V364" s="26" t="str">
        <f>'施設状況(要更新)'!$E364&amp;'施設状況(要更新)'!$C364</f>
        <v/>
      </c>
      <c r="W364" s="26">
        <f>'施設状況(要更新)'!$F364</f>
        <v>0</v>
      </c>
      <c r="X364" s="27"/>
      <c r="Y364" s="26"/>
    </row>
    <row r="365" spans="1:33">
      <c r="A365" s="30"/>
      <c r="B365" s="24"/>
      <c r="C365" s="24"/>
      <c r="D365" s="24"/>
      <c r="E365" s="24"/>
      <c r="F365" s="24"/>
      <c r="G365" s="24"/>
      <c r="H365" s="24"/>
      <c r="I365" s="24"/>
      <c r="J365" s="24"/>
      <c r="K365" s="24"/>
      <c r="L365" s="24"/>
      <c r="M365" s="24"/>
      <c r="N365" s="24"/>
      <c r="O365" s="24"/>
      <c r="P365" s="24"/>
      <c r="Q365" s="24"/>
      <c r="R365" s="24"/>
      <c r="S365" s="25">
        <f t="shared" si="17"/>
        <v>0</v>
      </c>
      <c r="T365" s="25">
        <f>COUNTIF($V$4:V365,V365)</f>
        <v>222</v>
      </c>
      <c r="U365" s="25" t="str">
        <f>IF(T365=1,COUNTIF($T$4:T365,1),"")</f>
        <v/>
      </c>
      <c r="V365" s="26" t="str">
        <f>'施設状況(要更新)'!$E365&amp;'施設状況(要更新)'!$C365</f>
        <v/>
      </c>
      <c r="W365" s="26">
        <f>'施設状況(要更新)'!$F365</f>
        <v>0</v>
      </c>
      <c r="X365" s="27"/>
      <c r="Y365" s="26"/>
      <c r="Z365" s="26"/>
      <c r="AA365" s="26"/>
      <c r="AB365" s="26"/>
      <c r="AC365" s="26"/>
      <c r="AD365" s="26"/>
      <c r="AE365" s="26"/>
      <c r="AF365" s="26"/>
      <c r="AG365" s="26"/>
    </row>
    <row r="366" spans="1:33">
      <c r="A366" s="30"/>
      <c r="B366" s="24"/>
      <c r="C366" s="24"/>
      <c r="D366" s="24"/>
      <c r="E366" s="24"/>
      <c r="F366" s="24"/>
      <c r="G366" s="24"/>
      <c r="H366" s="24"/>
      <c r="I366" s="24"/>
      <c r="J366" s="24"/>
      <c r="K366" s="24"/>
      <c r="L366" s="24"/>
      <c r="M366" s="24"/>
      <c r="N366" s="24"/>
      <c r="O366" s="24"/>
      <c r="P366" s="24"/>
      <c r="Q366" s="24"/>
      <c r="R366" s="24"/>
      <c r="S366" s="25">
        <f t="shared" si="17"/>
        <v>0</v>
      </c>
      <c r="T366" s="25">
        <f>COUNTIF($V$4:V366,V366)</f>
        <v>223</v>
      </c>
      <c r="U366" s="25" t="str">
        <f>IF(T366=1,COUNTIF($T$4:T366,1),"")</f>
        <v/>
      </c>
      <c r="V366" s="26" t="str">
        <f>'施設状況(要更新)'!$E366&amp;'施設状況(要更新)'!$C366</f>
        <v/>
      </c>
      <c r="W366" s="26">
        <f>'施設状況(要更新)'!$F366</f>
        <v>0</v>
      </c>
      <c r="X366" s="27"/>
      <c r="Y366" s="26"/>
    </row>
    <row r="367" spans="1:33">
      <c r="A367" s="30"/>
      <c r="B367" s="24"/>
      <c r="C367" s="24"/>
      <c r="D367" s="24"/>
      <c r="E367" s="24"/>
      <c r="F367" s="24"/>
      <c r="G367" s="24"/>
      <c r="H367" s="24"/>
      <c r="I367" s="24"/>
      <c r="J367" s="24"/>
      <c r="K367" s="24"/>
      <c r="L367" s="24"/>
      <c r="M367" s="24"/>
      <c r="N367" s="24"/>
      <c r="O367" s="24"/>
      <c r="P367" s="24"/>
      <c r="Q367" s="24"/>
      <c r="R367" s="24"/>
      <c r="S367" s="25">
        <f t="shared" si="17"/>
        <v>0</v>
      </c>
      <c r="T367" s="25">
        <f>COUNTIF($V$4:V367,V367)</f>
        <v>224</v>
      </c>
      <c r="U367" s="25" t="str">
        <f>IF(T367=1,COUNTIF($T$4:T367,1),"")</f>
        <v/>
      </c>
      <c r="V367" s="26" t="str">
        <f>'施設状況(要更新)'!$E367&amp;'施設状況(要更新)'!$C367</f>
        <v/>
      </c>
      <c r="W367" s="26">
        <f>'施設状況(要更新)'!$F367</f>
        <v>0</v>
      </c>
      <c r="X367" s="27"/>
      <c r="Y367" s="26"/>
    </row>
    <row r="368" spans="1:33">
      <c r="A368" s="30"/>
      <c r="B368" s="24"/>
      <c r="C368" s="24"/>
      <c r="D368" s="24"/>
      <c r="E368" s="24"/>
      <c r="F368" s="24"/>
      <c r="G368" s="24"/>
      <c r="H368" s="24"/>
      <c r="I368" s="24"/>
      <c r="J368" s="24"/>
      <c r="K368" s="24"/>
      <c r="L368" s="24"/>
      <c r="M368" s="24"/>
      <c r="N368" s="24"/>
      <c r="O368" s="24"/>
      <c r="P368" s="24"/>
      <c r="Q368" s="24"/>
      <c r="R368" s="24"/>
      <c r="S368" s="25">
        <f t="shared" si="17"/>
        <v>0</v>
      </c>
      <c r="T368" s="25">
        <f>COUNTIF($V$4:V368,V368)</f>
        <v>225</v>
      </c>
      <c r="U368" s="25" t="str">
        <f>IF(T368=1,COUNTIF($T$4:T368,1),"")</f>
        <v/>
      </c>
      <c r="V368" s="26" t="str">
        <f>'施設状況(要更新)'!$E368&amp;'施設状況(要更新)'!$C368</f>
        <v/>
      </c>
      <c r="W368" s="26">
        <f>'施設状況(要更新)'!$F368</f>
        <v>0</v>
      </c>
      <c r="X368" s="27"/>
      <c r="Y368" s="26"/>
    </row>
    <row r="369" spans="1:25">
      <c r="A369" s="30"/>
      <c r="B369" s="24"/>
      <c r="C369" s="24"/>
      <c r="D369" s="24"/>
      <c r="E369" s="24"/>
      <c r="F369" s="24"/>
      <c r="G369" s="24"/>
      <c r="H369" s="24"/>
      <c r="I369" s="24"/>
      <c r="J369" s="24"/>
      <c r="K369" s="24"/>
      <c r="L369" s="24"/>
      <c r="M369" s="24"/>
      <c r="N369" s="24"/>
      <c r="O369" s="24"/>
      <c r="P369" s="24"/>
      <c r="Q369" s="24"/>
      <c r="R369" s="24"/>
      <c r="S369" s="25">
        <f t="shared" si="17"/>
        <v>0</v>
      </c>
      <c r="T369" s="25">
        <f>COUNTIF($V$4:V369,V369)</f>
        <v>226</v>
      </c>
      <c r="U369" s="25" t="str">
        <f>IF(T369=1,COUNTIF($T$4:T369,1),"")</f>
        <v/>
      </c>
      <c r="V369" s="26" t="str">
        <f>'施設状況(要更新)'!$E369&amp;'施設状況(要更新)'!$C369</f>
        <v/>
      </c>
      <c r="W369" s="26">
        <f>'施設状況(要更新)'!$F369</f>
        <v>0</v>
      </c>
      <c r="X369" s="27"/>
      <c r="Y369" s="26"/>
    </row>
    <row r="370" spans="1:25">
      <c r="A370" s="30"/>
      <c r="B370" s="24"/>
      <c r="C370" s="24"/>
      <c r="D370" s="24"/>
      <c r="E370" s="24"/>
      <c r="F370" s="24"/>
      <c r="G370" s="24"/>
      <c r="H370" s="24"/>
      <c r="I370" s="24"/>
      <c r="J370" s="24"/>
      <c r="K370" s="24"/>
      <c r="L370" s="24"/>
      <c r="M370" s="24"/>
      <c r="N370" s="24"/>
      <c r="O370" s="24"/>
      <c r="P370" s="24"/>
      <c r="Q370" s="24"/>
      <c r="R370" s="24"/>
      <c r="S370" s="25">
        <f t="shared" si="17"/>
        <v>0</v>
      </c>
      <c r="T370" s="25">
        <f>COUNTIF($V$4:V370,V370)</f>
        <v>227</v>
      </c>
      <c r="U370" s="25" t="str">
        <f>IF(T370=1,COUNTIF($T$4:T370,1),"")</f>
        <v/>
      </c>
      <c r="V370" s="26" t="str">
        <f>'施設状況(要更新)'!$E370&amp;'施設状況(要更新)'!$C370</f>
        <v/>
      </c>
      <c r="W370" s="26">
        <f>'施設状況(要更新)'!$F370</f>
        <v>0</v>
      </c>
      <c r="X370" s="27"/>
      <c r="Y370" s="26"/>
    </row>
    <row r="371" spans="1:25">
      <c r="A371" s="30"/>
      <c r="B371" s="24"/>
      <c r="C371" s="24"/>
      <c r="D371" s="24"/>
      <c r="E371" s="24"/>
      <c r="F371" s="24"/>
      <c r="G371" s="24"/>
      <c r="H371" s="24"/>
      <c r="I371" s="24"/>
      <c r="J371" s="24"/>
      <c r="K371" s="24"/>
      <c r="L371" s="24"/>
      <c r="M371" s="24"/>
      <c r="N371" s="24"/>
      <c r="O371" s="24"/>
      <c r="P371" s="24"/>
      <c r="Q371" s="24"/>
      <c r="R371" s="24"/>
      <c r="S371" s="25">
        <f t="shared" si="17"/>
        <v>0</v>
      </c>
      <c r="T371" s="25">
        <f>COUNTIF($V$4:V371,V371)</f>
        <v>228</v>
      </c>
      <c r="U371" s="25" t="str">
        <f>IF(T371=1,COUNTIF($T$4:T371,1),"")</f>
        <v/>
      </c>
      <c r="V371" s="26" t="str">
        <f>'施設状況(要更新)'!$E371&amp;'施設状況(要更新)'!$C371</f>
        <v/>
      </c>
      <c r="W371" s="26">
        <f>'施設状況(要更新)'!$F371</f>
        <v>0</v>
      </c>
      <c r="X371" s="27"/>
      <c r="Y371" s="26"/>
    </row>
    <row r="372" spans="1:25">
      <c r="A372" s="30"/>
      <c r="B372" s="24"/>
      <c r="C372" s="24"/>
      <c r="D372" s="24"/>
      <c r="E372" s="24"/>
      <c r="F372" s="24"/>
      <c r="G372" s="24"/>
      <c r="H372" s="24"/>
      <c r="I372" s="24"/>
      <c r="J372" s="24"/>
      <c r="K372" s="24"/>
      <c r="L372" s="24"/>
      <c r="M372" s="24"/>
      <c r="N372" s="24"/>
      <c r="O372" s="24"/>
      <c r="P372" s="24"/>
      <c r="Q372" s="24"/>
      <c r="R372" s="24"/>
      <c r="S372" s="25">
        <f t="shared" si="17"/>
        <v>0</v>
      </c>
      <c r="T372" s="25">
        <f>COUNTIF($V$4:V372,V372)</f>
        <v>229</v>
      </c>
      <c r="U372" s="25" t="str">
        <f>IF(T372=1,COUNTIF($T$4:T372,1),"")</f>
        <v/>
      </c>
      <c r="V372" s="26" t="str">
        <f>'施設状況(要更新)'!$E372&amp;'施設状況(要更新)'!$C372</f>
        <v/>
      </c>
      <c r="W372" s="26">
        <f>'施設状況(要更新)'!$F372</f>
        <v>0</v>
      </c>
      <c r="X372" s="27"/>
      <c r="Y372" s="26"/>
    </row>
    <row r="373" spans="1:25">
      <c r="A373" s="30"/>
      <c r="B373" s="24"/>
      <c r="C373" s="24"/>
      <c r="D373" s="24"/>
      <c r="E373" s="24"/>
      <c r="F373" s="24"/>
      <c r="G373" s="24"/>
      <c r="H373" s="24"/>
      <c r="I373" s="24"/>
      <c r="J373" s="24"/>
      <c r="K373" s="24"/>
      <c r="L373" s="24"/>
      <c r="M373" s="24"/>
      <c r="N373" s="24"/>
      <c r="O373" s="24"/>
      <c r="P373" s="24"/>
      <c r="Q373" s="24"/>
      <c r="R373" s="24"/>
      <c r="S373" s="25">
        <f t="shared" si="17"/>
        <v>0</v>
      </c>
      <c r="T373" s="25">
        <f>COUNTIF($V$4:V373,V373)</f>
        <v>230</v>
      </c>
      <c r="U373" s="25" t="str">
        <f>IF(T373=1,COUNTIF($T$4:T373,1),"")</f>
        <v/>
      </c>
      <c r="V373" s="26" t="str">
        <f>'施設状況(要更新)'!$E373&amp;'施設状況(要更新)'!$C373</f>
        <v/>
      </c>
      <c r="W373" s="26">
        <f>'施設状況(要更新)'!$F373</f>
        <v>0</v>
      </c>
      <c r="X373" s="27"/>
      <c r="Y373" s="26"/>
    </row>
    <row r="374" spans="1:25">
      <c r="A374" s="30"/>
      <c r="B374" s="24"/>
      <c r="C374" s="24"/>
      <c r="D374" s="24"/>
      <c r="E374" s="24"/>
      <c r="F374" s="24"/>
      <c r="G374" s="24"/>
      <c r="H374" s="24"/>
      <c r="I374" s="24"/>
      <c r="J374" s="24"/>
      <c r="K374" s="24"/>
      <c r="L374" s="24"/>
      <c r="M374" s="24"/>
      <c r="N374" s="24"/>
      <c r="O374" s="24"/>
      <c r="P374" s="24"/>
      <c r="Q374" s="24"/>
      <c r="R374" s="24"/>
      <c r="S374" s="25">
        <f t="shared" si="17"/>
        <v>0</v>
      </c>
      <c r="T374" s="25">
        <f>COUNTIF($V$4:V374,V374)</f>
        <v>231</v>
      </c>
      <c r="U374" s="25" t="str">
        <f>IF(T374=1,COUNTIF($T$4:T374,1),"")</f>
        <v/>
      </c>
      <c r="V374" s="26" t="str">
        <f>'施設状況(要更新)'!$E374&amp;'施設状況(要更新)'!$C374</f>
        <v/>
      </c>
      <c r="W374" s="26">
        <f>'施設状況(要更新)'!$F374</f>
        <v>0</v>
      </c>
      <c r="X374" s="27"/>
      <c r="Y374" s="26"/>
    </row>
    <row r="375" spans="1:25">
      <c r="A375" s="30"/>
      <c r="B375" s="24"/>
      <c r="C375" s="24"/>
      <c r="D375" s="24"/>
      <c r="E375" s="24"/>
      <c r="F375" s="24"/>
      <c r="G375" s="24"/>
      <c r="H375" s="24"/>
      <c r="I375" s="24"/>
      <c r="J375" s="24"/>
      <c r="K375" s="24"/>
      <c r="L375" s="24"/>
      <c r="M375" s="24"/>
      <c r="N375" s="24"/>
      <c r="O375" s="24"/>
      <c r="P375" s="24"/>
      <c r="Q375" s="24"/>
      <c r="R375" s="24"/>
      <c r="S375" s="25">
        <f t="shared" si="17"/>
        <v>0</v>
      </c>
      <c r="T375" s="25">
        <f>COUNTIF($V$4:V375,V375)</f>
        <v>232</v>
      </c>
      <c r="U375" s="25" t="str">
        <f>IF(T375=1,COUNTIF($T$4:T375,1),"")</f>
        <v/>
      </c>
      <c r="V375" s="26" t="str">
        <f>'施設状況(要更新)'!$E375&amp;'施設状況(要更新)'!$C375</f>
        <v/>
      </c>
      <c r="W375" s="26">
        <f>'施設状況(要更新)'!$F375</f>
        <v>0</v>
      </c>
      <c r="X375" s="27"/>
      <c r="Y375" s="26"/>
    </row>
    <row r="376" spans="1:25">
      <c r="A376" s="30"/>
      <c r="B376" s="24"/>
      <c r="C376" s="24"/>
      <c r="D376" s="24"/>
      <c r="E376" s="24"/>
      <c r="F376" s="24"/>
      <c r="G376" s="24"/>
      <c r="H376" s="24"/>
      <c r="I376" s="24"/>
      <c r="J376" s="24"/>
      <c r="K376" s="24"/>
      <c r="L376" s="24"/>
      <c r="M376" s="24"/>
      <c r="N376" s="24"/>
      <c r="O376" s="24"/>
      <c r="P376" s="24"/>
      <c r="Q376" s="24"/>
      <c r="R376" s="24"/>
      <c r="S376" s="25">
        <f t="shared" si="17"/>
        <v>0</v>
      </c>
      <c r="T376" s="25">
        <f>COUNTIF($V$4:V376,V376)</f>
        <v>233</v>
      </c>
      <c r="U376" s="25" t="str">
        <f>IF(T376=1,COUNTIF($T$4:T376,1),"")</f>
        <v/>
      </c>
      <c r="V376" s="26" t="str">
        <f>'施設状況(要更新)'!$E376&amp;'施設状況(要更新)'!$C376</f>
        <v/>
      </c>
      <c r="W376" s="26">
        <f>'施設状況(要更新)'!$F376</f>
        <v>0</v>
      </c>
      <c r="X376" s="27"/>
      <c r="Y376" s="26"/>
    </row>
    <row r="377" spans="1:25">
      <c r="A377" s="30"/>
      <c r="B377" s="24"/>
      <c r="C377" s="24"/>
      <c r="D377" s="24"/>
      <c r="E377" s="24"/>
      <c r="F377" s="24"/>
      <c r="G377" s="24"/>
      <c r="H377" s="24"/>
      <c r="I377" s="24"/>
      <c r="J377" s="24"/>
      <c r="K377" s="24"/>
      <c r="L377" s="24"/>
      <c r="M377" s="24"/>
      <c r="N377" s="24"/>
      <c r="O377" s="24"/>
      <c r="P377" s="24"/>
      <c r="Q377" s="24"/>
      <c r="R377" s="24"/>
      <c r="S377" s="25">
        <f t="shared" si="17"/>
        <v>0</v>
      </c>
      <c r="T377" s="25">
        <f>COUNTIF($V$4:V377,V377)</f>
        <v>234</v>
      </c>
      <c r="U377" s="25" t="str">
        <f>IF(T377=1,COUNTIF($T$4:T377,1),"")</f>
        <v/>
      </c>
      <c r="V377" s="26" t="str">
        <f>'施設状況(要更新)'!$E377&amp;'施設状況(要更新)'!$C377</f>
        <v/>
      </c>
      <c r="W377" s="26">
        <f>'施設状況(要更新)'!$F377</f>
        <v>0</v>
      </c>
      <c r="X377" s="27"/>
      <c r="Y377" s="26"/>
    </row>
    <row r="378" spans="1:25">
      <c r="A378" s="30"/>
      <c r="B378" s="24"/>
      <c r="C378" s="24"/>
      <c r="D378" s="24"/>
      <c r="E378" s="24"/>
      <c r="F378" s="24"/>
      <c r="G378" s="24"/>
      <c r="H378" s="24"/>
      <c r="I378" s="24"/>
      <c r="J378" s="24"/>
      <c r="K378" s="24"/>
      <c r="L378" s="24"/>
      <c r="M378" s="24"/>
      <c r="N378" s="24"/>
      <c r="O378" s="24"/>
      <c r="P378" s="24"/>
      <c r="Q378" s="24"/>
      <c r="R378" s="24"/>
      <c r="S378" s="25">
        <f t="shared" si="17"/>
        <v>0</v>
      </c>
      <c r="T378" s="25">
        <f>COUNTIF($V$4:V378,V378)</f>
        <v>235</v>
      </c>
      <c r="U378" s="25" t="str">
        <f>IF(T378=1,COUNTIF($T$4:T378,1),"")</f>
        <v/>
      </c>
      <c r="V378" s="26" t="str">
        <f>'施設状況(要更新)'!$E378&amp;'施設状況(要更新)'!$C378</f>
        <v/>
      </c>
      <c r="W378" s="26">
        <f>'施設状況(要更新)'!$F378</f>
        <v>0</v>
      </c>
      <c r="X378" s="27"/>
      <c r="Y378" s="26"/>
    </row>
    <row r="379" spans="1:25">
      <c r="A379" s="30"/>
      <c r="B379" s="24"/>
      <c r="C379" s="24"/>
      <c r="D379" s="24"/>
      <c r="E379" s="24"/>
      <c r="F379" s="24"/>
      <c r="G379" s="24"/>
      <c r="H379" s="24"/>
      <c r="I379" s="24"/>
      <c r="J379" s="24"/>
      <c r="K379" s="24"/>
      <c r="L379" s="24"/>
      <c r="M379" s="24"/>
      <c r="N379" s="24"/>
      <c r="O379" s="24"/>
      <c r="P379" s="24"/>
      <c r="Q379" s="24"/>
      <c r="R379" s="24"/>
      <c r="S379" s="25">
        <f t="shared" si="17"/>
        <v>0</v>
      </c>
      <c r="T379" s="25">
        <f>COUNTIF($V$4:V379,V379)</f>
        <v>236</v>
      </c>
      <c r="U379" s="25" t="str">
        <f>IF(T379=1,COUNTIF($T$4:T379,1),"")</f>
        <v/>
      </c>
      <c r="V379" s="26" t="str">
        <f>'施設状況(要更新)'!$E379&amp;'施設状況(要更新)'!$C379</f>
        <v/>
      </c>
      <c r="W379" s="26">
        <f>'施設状況(要更新)'!$F379</f>
        <v>0</v>
      </c>
      <c r="X379" s="27"/>
      <c r="Y379" s="26"/>
    </row>
    <row r="380" spans="1:25">
      <c r="A380" s="30"/>
      <c r="B380" s="24"/>
      <c r="C380" s="24"/>
      <c r="D380" s="24"/>
      <c r="E380" s="24"/>
      <c r="F380" s="24"/>
      <c r="G380" s="24"/>
      <c r="H380" s="24"/>
      <c r="I380" s="24"/>
      <c r="J380" s="24"/>
      <c r="K380" s="24"/>
      <c r="L380" s="24"/>
      <c r="M380" s="24"/>
      <c r="N380" s="24"/>
      <c r="O380" s="24"/>
      <c r="P380" s="24"/>
      <c r="Q380" s="24"/>
      <c r="R380" s="24"/>
      <c r="S380" s="25">
        <f t="shared" si="17"/>
        <v>0</v>
      </c>
      <c r="T380" s="25">
        <f>COUNTIF($V$4:V380,V380)</f>
        <v>237</v>
      </c>
      <c r="U380" s="25" t="str">
        <f>IF(T380=1,COUNTIF($T$4:T380,1),"")</f>
        <v/>
      </c>
      <c r="V380" s="26" t="str">
        <f>'施設状況(要更新)'!$E380&amp;'施設状況(要更新)'!$C380</f>
        <v/>
      </c>
      <c r="W380" s="26">
        <f>'施設状況(要更新)'!$F380</f>
        <v>0</v>
      </c>
      <c r="X380" s="27"/>
      <c r="Y380" s="26"/>
    </row>
    <row r="381" spans="1:25">
      <c r="A381" s="30"/>
      <c r="B381" s="24"/>
      <c r="C381" s="24"/>
      <c r="D381" s="24"/>
      <c r="E381" s="24"/>
      <c r="F381" s="24"/>
      <c r="G381" s="24"/>
      <c r="H381" s="24"/>
      <c r="I381" s="24"/>
      <c r="J381" s="24"/>
      <c r="K381" s="24"/>
      <c r="L381" s="24"/>
      <c r="M381" s="24"/>
      <c r="N381" s="24"/>
      <c r="O381" s="24"/>
      <c r="P381" s="24"/>
      <c r="Q381" s="24"/>
      <c r="R381" s="24"/>
      <c r="S381" s="25">
        <f t="shared" si="17"/>
        <v>0</v>
      </c>
      <c r="T381" s="25">
        <f>COUNTIF($V$4:V381,V381)</f>
        <v>238</v>
      </c>
      <c r="U381" s="25" t="str">
        <f>IF(T381=1,COUNTIF($T$4:T381,1),"")</f>
        <v/>
      </c>
      <c r="V381" s="26" t="str">
        <f>'施設状況(要更新)'!$E381&amp;'施設状況(要更新)'!$C381</f>
        <v/>
      </c>
      <c r="W381" s="26">
        <f>'施設状況(要更新)'!$F381</f>
        <v>0</v>
      </c>
      <c r="X381" s="27"/>
      <c r="Y381" s="26"/>
    </row>
    <row r="382" spans="1:25">
      <c r="A382" s="30"/>
      <c r="B382" s="24"/>
      <c r="C382" s="24"/>
      <c r="D382" s="24"/>
      <c r="E382" s="24"/>
      <c r="F382" s="24"/>
      <c r="G382" s="24"/>
      <c r="H382" s="24"/>
      <c r="I382" s="24"/>
      <c r="J382" s="24"/>
      <c r="K382" s="24"/>
      <c r="L382" s="24"/>
      <c r="M382" s="24"/>
      <c r="N382" s="24"/>
      <c r="O382" s="24"/>
      <c r="P382" s="24"/>
      <c r="Q382" s="24"/>
      <c r="R382" s="24"/>
      <c r="S382" s="25">
        <f t="shared" si="17"/>
        <v>0</v>
      </c>
      <c r="T382" s="25">
        <f>COUNTIF($V$4:V382,V382)</f>
        <v>239</v>
      </c>
      <c r="U382" s="25" t="str">
        <f>IF(T382=1,COUNTIF($T$4:T382,1),"")</f>
        <v/>
      </c>
      <c r="V382" s="26" t="str">
        <f>'施設状況(要更新)'!$E382&amp;'施設状況(要更新)'!$C382</f>
        <v/>
      </c>
      <c r="W382" s="26">
        <f>'施設状況(要更新)'!$F382</f>
        <v>0</v>
      </c>
      <c r="X382" s="27"/>
      <c r="Y382" s="26"/>
    </row>
    <row r="383" spans="1:25">
      <c r="A383" s="30"/>
      <c r="B383" s="24"/>
      <c r="C383" s="24"/>
      <c r="D383" s="24"/>
      <c r="E383" s="24"/>
      <c r="F383" s="24"/>
      <c r="G383" s="24"/>
      <c r="H383" s="24"/>
      <c r="I383" s="24"/>
      <c r="J383" s="24"/>
      <c r="K383" s="24"/>
      <c r="L383" s="24"/>
      <c r="M383" s="24"/>
      <c r="N383" s="24"/>
      <c r="O383" s="24"/>
      <c r="P383" s="24"/>
      <c r="Q383" s="24"/>
      <c r="R383" s="24"/>
      <c r="S383" s="25">
        <f t="shared" si="17"/>
        <v>0</v>
      </c>
      <c r="T383" s="25">
        <f>COUNTIF($V$4:V383,V383)</f>
        <v>240</v>
      </c>
      <c r="U383" s="25" t="str">
        <f>IF(T383=1,COUNTIF($T$4:T383,1),"")</f>
        <v/>
      </c>
      <c r="V383" s="26" t="str">
        <f>'施設状況(要更新)'!$E383&amp;'施設状況(要更新)'!$C383</f>
        <v/>
      </c>
      <c r="W383" s="26">
        <f>'施設状況(要更新)'!$F383</f>
        <v>0</v>
      </c>
      <c r="X383" s="27"/>
      <c r="Y383" s="26"/>
    </row>
    <row r="384" spans="1:25">
      <c r="A384" s="30"/>
      <c r="B384" s="24"/>
      <c r="C384" s="24"/>
      <c r="D384" s="24"/>
      <c r="E384" s="24"/>
      <c r="F384" s="24"/>
      <c r="G384" s="24"/>
      <c r="H384" s="24"/>
      <c r="I384" s="24"/>
      <c r="J384" s="24"/>
      <c r="K384" s="24"/>
      <c r="L384" s="24"/>
      <c r="M384" s="24"/>
      <c r="N384" s="24"/>
      <c r="O384" s="24"/>
      <c r="P384" s="24"/>
      <c r="Q384" s="24"/>
      <c r="R384" s="24"/>
      <c r="S384" s="25">
        <f t="shared" si="17"/>
        <v>0</v>
      </c>
      <c r="T384" s="25">
        <f>COUNTIF($V$4:V384,V384)</f>
        <v>241</v>
      </c>
      <c r="U384" s="25" t="str">
        <f>IF(T384=1,COUNTIF($T$4:T384,1),"")</f>
        <v/>
      </c>
      <c r="V384" s="26" t="str">
        <f>'施設状況(要更新)'!$E384&amp;'施設状況(要更新)'!$C384</f>
        <v/>
      </c>
      <c r="W384" s="26">
        <f>'施設状況(要更新)'!$F384</f>
        <v>0</v>
      </c>
      <c r="X384" s="27"/>
      <c r="Y384" s="26"/>
    </row>
    <row r="385" spans="1:33">
      <c r="A385" s="30"/>
      <c r="B385" s="24"/>
      <c r="C385" s="24"/>
      <c r="D385" s="24"/>
      <c r="E385" s="24"/>
      <c r="F385" s="24"/>
      <c r="G385" s="24"/>
      <c r="H385" s="24"/>
      <c r="I385" s="24"/>
      <c r="J385" s="24"/>
      <c r="K385" s="24"/>
      <c r="L385" s="24"/>
      <c r="M385" s="24"/>
      <c r="N385" s="24"/>
      <c r="O385" s="24"/>
      <c r="P385" s="24"/>
      <c r="Q385" s="24"/>
      <c r="R385" s="24"/>
      <c r="S385" s="25">
        <f t="shared" si="17"/>
        <v>0</v>
      </c>
      <c r="T385" s="25">
        <f>COUNTIF($V$4:V385,V385)</f>
        <v>242</v>
      </c>
      <c r="U385" s="25" t="str">
        <f>IF(T385=1,COUNTIF($T$4:T385,1),"")</f>
        <v/>
      </c>
      <c r="V385" s="26" t="str">
        <f>'施設状況(要更新)'!$E385&amp;'施設状況(要更新)'!$C385</f>
        <v/>
      </c>
      <c r="W385" s="26">
        <f>'施設状況(要更新)'!$F385</f>
        <v>0</v>
      </c>
      <c r="X385" s="27"/>
      <c r="Y385" s="26"/>
    </row>
    <row r="386" spans="1:33">
      <c r="A386" s="30"/>
      <c r="B386" s="24"/>
      <c r="C386" s="24"/>
      <c r="D386" s="24"/>
      <c r="E386" s="24"/>
      <c r="F386" s="24"/>
      <c r="G386" s="24"/>
      <c r="H386" s="24"/>
      <c r="I386" s="24"/>
      <c r="J386" s="24"/>
      <c r="K386" s="24"/>
      <c r="L386" s="24"/>
      <c r="M386" s="24"/>
      <c r="N386" s="24"/>
      <c r="O386" s="24"/>
      <c r="P386" s="24"/>
      <c r="Q386" s="24"/>
      <c r="R386" s="24"/>
      <c r="S386" s="25">
        <f t="shared" si="17"/>
        <v>0</v>
      </c>
      <c r="T386" s="25">
        <f>COUNTIF($V$4:V386,V386)</f>
        <v>243</v>
      </c>
      <c r="U386" s="25" t="str">
        <f>IF(T386=1,COUNTIF($T$4:T386,1),"")</f>
        <v/>
      </c>
      <c r="V386" s="26" t="str">
        <f>'施設状況(要更新)'!$E386&amp;'施設状況(要更新)'!$C386</f>
        <v/>
      </c>
      <c r="W386" s="26">
        <f>'施設状況(要更新)'!$F386</f>
        <v>0</v>
      </c>
      <c r="X386" s="27"/>
      <c r="Y386" s="26"/>
    </row>
    <row r="387" spans="1:33">
      <c r="A387" s="30"/>
      <c r="B387" s="24"/>
      <c r="C387" s="24"/>
      <c r="D387" s="24"/>
      <c r="E387" s="24"/>
      <c r="F387" s="24"/>
      <c r="G387" s="24"/>
      <c r="H387" s="24"/>
      <c r="I387" s="24"/>
      <c r="J387" s="24"/>
      <c r="K387" s="24"/>
      <c r="L387" s="24"/>
      <c r="M387" s="24"/>
      <c r="N387" s="24"/>
      <c r="O387" s="24"/>
      <c r="P387" s="24"/>
      <c r="Q387" s="24"/>
      <c r="R387" s="24"/>
      <c r="S387" s="25">
        <f t="shared" si="17"/>
        <v>0</v>
      </c>
      <c r="T387" s="25">
        <f>COUNTIF($V$4:V387,V387)</f>
        <v>244</v>
      </c>
      <c r="U387" s="25" t="str">
        <f>IF(T387=1,COUNTIF($T$4:T387,1),"")</f>
        <v/>
      </c>
      <c r="V387" s="26" t="str">
        <f>'施設状況(要更新)'!$E387&amp;'施設状況(要更新)'!$C387</f>
        <v/>
      </c>
      <c r="W387" s="26">
        <f>'施設状況(要更新)'!$F387</f>
        <v>0</v>
      </c>
      <c r="X387" s="27"/>
      <c r="Y387" s="26"/>
    </row>
    <row r="388" spans="1:33">
      <c r="A388" s="30"/>
      <c r="B388" s="24"/>
      <c r="C388" s="24"/>
      <c r="D388" s="24"/>
      <c r="E388" s="24"/>
      <c r="F388" s="24"/>
      <c r="G388" s="24"/>
      <c r="H388" s="24"/>
      <c r="I388" s="24"/>
      <c r="J388" s="24"/>
      <c r="K388" s="24"/>
      <c r="L388" s="24"/>
      <c r="M388" s="24"/>
      <c r="N388" s="24"/>
      <c r="O388" s="24"/>
      <c r="P388" s="24"/>
      <c r="Q388" s="24"/>
      <c r="R388" s="24"/>
      <c r="S388" s="25">
        <f t="shared" si="17"/>
        <v>0</v>
      </c>
      <c r="T388" s="25">
        <f>COUNTIF($V$4:V388,V388)</f>
        <v>245</v>
      </c>
      <c r="U388" s="25" t="str">
        <f>IF(T388=1,COUNTIF($T$4:T388,1),"")</f>
        <v/>
      </c>
      <c r="V388" s="26" t="str">
        <f>'施設状況(要更新)'!$E388&amp;'施設状況(要更新)'!$C388</f>
        <v/>
      </c>
      <c r="W388" s="26">
        <f>'施設状況(要更新)'!$F388</f>
        <v>0</v>
      </c>
      <c r="X388" s="27"/>
      <c r="Y388" s="26"/>
    </row>
    <row r="389" spans="1:33">
      <c r="A389" s="30"/>
      <c r="B389" s="24"/>
      <c r="C389" s="24"/>
      <c r="D389" s="24"/>
      <c r="E389" s="24"/>
      <c r="F389" s="24"/>
      <c r="G389" s="24"/>
      <c r="H389" s="24"/>
      <c r="I389" s="24"/>
      <c r="J389" s="24"/>
      <c r="K389" s="24"/>
      <c r="L389" s="24"/>
      <c r="M389" s="24"/>
      <c r="N389" s="24"/>
      <c r="O389" s="24"/>
      <c r="P389" s="24"/>
      <c r="Q389" s="24"/>
      <c r="R389" s="24"/>
      <c r="S389" s="25">
        <f t="shared" ref="S389:S452" si="18">A389</f>
        <v>0</v>
      </c>
      <c r="T389" s="25">
        <f>COUNTIF($V$4:V389,V389)</f>
        <v>246</v>
      </c>
      <c r="U389" s="25" t="str">
        <f>IF(T389=1,COUNTIF($T$4:T389,1),"")</f>
        <v/>
      </c>
      <c r="V389" s="26" t="str">
        <f>'施設状況(要更新)'!$E389&amp;'施設状況(要更新)'!$C389</f>
        <v/>
      </c>
      <c r="W389" s="26">
        <f>'施設状況(要更新)'!$F389</f>
        <v>0</v>
      </c>
      <c r="X389" s="27"/>
      <c r="Y389" s="26"/>
    </row>
    <row r="390" spans="1:33">
      <c r="A390" s="30"/>
      <c r="B390" s="24"/>
      <c r="C390" s="24"/>
      <c r="D390" s="24"/>
      <c r="E390" s="24"/>
      <c r="F390" s="24"/>
      <c r="G390" s="24"/>
      <c r="H390" s="24"/>
      <c r="I390" s="24"/>
      <c r="J390" s="24"/>
      <c r="K390" s="24"/>
      <c r="L390" s="24"/>
      <c r="M390" s="24"/>
      <c r="N390" s="24"/>
      <c r="O390" s="24"/>
      <c r="P390" s="24"/>
      <c r="Q390" s="24"/>
      <c r="R390" s="24"/>
      <c r="S390" s="25">
        <f t="shared" si="18"/>
        <v>0</v>
      </c>
      <c r="T390" s="25">
        <f>COUNTIF($V$4:V390,V390)</f>
        <v>247</v>
      </c>
      <c r="U390" s="25" t="str">
        <f>IF(T390=1,COUNTIF($T$4:T390,1),"")</f>
        <v/>
      </c>
      <c r="V390" s="26" t="str">
        <f>'施設状況(要更新)'!$E390&amp;'施設状況(要更新)'!$C390</f>
        <v/>
      </c>
      <c r="W390" s="26">
        <f>'施設状況(要更新)'!$F390</f>
        <v>0</v>
      </c>
      <c r="X390" s="27"/>
      <c r="Y390" s="26"/>
    </row>
    <row r="391" spans="1:33">
      <c r="A391" s="30"/>
      <c r="B391" s="24"/>
      <c r="C391" s="24"/>
      <c r="D391" s="24"/>
      <c r="E391" s="24"/>
      <c r="F391" s="24"/>
      <c r="G391" s="24"/>
      <c r="H391" s="24"/>
      <c r="I391" s="24"/>
      <c r="J391" s="24"/>
      <c r="K391" s="24"/>
      <c r="L391" s="24"/>
      <c r="M391" s="24"/>
      <c r="N391" s="24"/>
      <c r="O391" s="24"/>
      <c r="P391" s="24"/>
      <c r="Q391" s="24"/>
      <c r="R391" s="24"/>
      <c r="S391" s="25">
        <f t="shared" si="18"/>
        <v>0</v>
      </c>
      <c r="T391" s="25">
        <f>COUNTIF($V$4:V391,V391)</f>
        <v>248</v>
      </c>
      <c r="U391" s="25" t="str">
        <f>IF(T391=1,COUNTIF($T$4:T391,1),"")</f>
        <v/>
      </c>
      <c r="V391" s="26" t="str">
        <f>'施設状況(要更新)'!$E391&amp;'施設状況(要更新)'!$C391</f>
        <v/>
      </c>
      <c r="W391" s="26">
        <f>'施設状況(要更新)'!$F391</f>
        <v>0</v>
      </c>
      <c r="X391" s="27"/>
      <c r="Y391" s="26"/>
    </row>
    <row r="392" spans="1:33">
      <c r="A392" s="30"/>
      <c r="B392" s="24"/>
      <c r="C392" s="24"/>
      <c r="D392" s="24"/>
      <c r="E392" s="24"/>
      <c r="F392" s="24"/>
      <c r="G392" s="24"/>
      <c r="H392" s="24"/>
      <c r="I392" s="24"/>
      <c r="J392" s="24"/>
      <c r="K392" s="24"/>
      <c r="L392" s="24"/>
      <c r="M392" s="24"/>
      <c r="N392" s="24"/>
      <c r="O392" s="24"/>
      <c r="P392" s="24"/>
      <c r="Q392" s="24"/>
      <c r="R392" s="24"/>
      <c r="S392" s="25">
        <f t="shared" si="18"/>
        <v>0</v>
      </c>
      <c r="T392" s="25">
        <f>COUNTIF($V$4:V392,V392)</f>
        <v>249</v>
      </c>
      <c r="U392" s="25" t="str">
        <f>IF(T392=1,COUNTIF($T$4:T392,1),"")</f>
        <v/>
      </c>
      <c r="V392" s="26" t="str">
        <f>'施設状況(要更新)'!$E392&amp;'施設状況(要更新)'!$C392</f>
        <v/>
      </c>
      <c r="W392" s="26">
        <f>'施設状況(要更新)'!$F392</f>
        <v>0</v>
      </c>
      <c r="X392" s="27"/>
      <c r="Y392" s="26"/>
    </row>
    <row r="393" spans="1:33">
      <c r="A393" s="30"/>
      <c r="B393" s="24"/>
      <c r="C393" s="24"/>
      <c r="D393" s="24"/>
      <c r="E393" s="24"/>
      <c r="F393" s="24"/>
      <c r="G393" s="24"/>
      <c r="H393" s="24"/>
      <c r="I393" s="24"/>
      <c r="J393" s="24"/>
      <c r="K393" s="24"/>
      <c r="L393" s="24"/>
      <c r="M393" s="24"/>
      <c r="N393" s="24"/>
      <c r="O393" s="24"/>
      <c r="P393" s="24"/>
      <c r="Q393" s="24"/>
      <c r="R393" s="24"/>
      <c r="S393" s="25">
        <f t="shared" si="18"/>
        <v>0</v>
      </c>
      <c r="T393" s="25">
        <f>COUNTIF($V$4:V393,V393)</f>
        <v>250</v>
      </c>
      <c r="U393" s="25" t="str">
        <f>IF(T393=1,COUNTIF($T$4:T393,1),"")</f>
        <v/>
      </c>
      <c r="V393" s="26" t="str">
        <f>'施設状況(要更新)'!$E393&amp;'施設状況(要更新)'!$C393</f>
        <v/>
      </c>
      <c r="W393" s="26">
        <f>'施設状況(要更新)'!$F393</f>
        <v>0</v>
      </c>
      <c r="X393" s="27"/>
      <c r="Y393" s="26"/>
    </row>
    <row r="394" spans="1:33">
      <c r="A394" s="30"/>
      <c r="B394" s="24"/>
      <c r="C394" s="24"/>
      <c r="D394" s="24"/>
      <c r="E394" s="24"/>
      <c r="F394" s="24"/>
      <c r="G394" s="24"/>
      <c r="H394" s="24"/>
      <c r="I394" s="24"/>
      <c r="J394" s="24"/>
      <c r="K394" s="24"/>
      <c r="L394" s="24"/>
      <c r="M394" s="24"/>
      <c r="N394" s="24"/>
      <c r="O394" s="24"/>
      <c r="P394" s="24"/>
      <c r="Q394" s="24"/>
      <c r="R394" s="24"/>
      <c r="S394" s="25">
        <f t="shared" si="18"/>
        <v>0</v>
      </c>
      <c r="T394" s="25">
        <f>COUNTIF($V$4:V394,V394)</f>
        <v>251</v>
      </c>
      <c r="U394" s="25" t="str">
        <f>IF(T394=1,COUNTIF($T$4:T394,1),"")</f>
        <v/>
      </c>
      <c r="V394" s="26" t="str">
        <f>'施設状況(要更新)'!$E394&amp;'施設状況(要更新)'!$C394</f>
        <v/>
      </c>
      <c r="W394" s="26">
        <f>'施設状況(要更新)'!$F394</f>
        <v>0</v>
      </c>
      <c r="X394" s="27"/>
      <c r="Y394" s="26"/>
    </row>
    <row r="395" spans="1:33">
      <c r="A395" s="30"/>
      <c r="B395" s="24"/>
      <c r="C395" s="24"/>
      <c r="D395" s="24"/>
      <c r="E395" s="24"/>
      <c r="F395" s="24"/>
      <c r="G395" s="24"/>
      <c r="H395" s="24"/>
      <c r="I395" s="24"/>
      <c r="J395" s="24"/>
      <c r="K395" s="24"/>
      <c r="L395" s="24"/>
      <c r="M395" s="24"/>
      <c r="N395" s="24"/>
      <c r="O395" s="24"/>
      <c r="P395" s="24"/>
      <c r="Q395" s="24"/>
      <c r="R395" s="24"/>
      <c r="S395" s="25">
        <f t="shared" si="18"/>
        <v>0</v>
      </c>
      <c r="T395" s="25">
        <f>COUNTIF($V$4:V395,V395)</f>
        <v>252</v>
      </c>
      <c r="U395" s="25" t="str">
        <f>IF(T395=1,COUNTIF($T$4:T395,1),"")</f>
        <v/>
      </c>
      <c r="V395" s="26" t="str">
        <f>'施設状況(要更新)'!$E395&amp;'施設状況(要更新)'!$C395</f>
        <v/>
      </c>
      <c r="W395" s="26">
        <f>'施設状況(要更新)'!$F395</f>
        <v>0</v>
      </c>
      <c r="X395" s="27"/>
      <c r="Y395" s="26"/>
    </row>
    <row r="396" spans="1:33">
      <c r="A396" s="30"/>
      <c r="B396" s="24"/>
      <c r="C396" s="24"/>
      <c r="D396" s="24"/>
      <c r="E396" s="24"/>
      <c r="F396" s="24"/>
      <c r="G396" s="24"/>
      <c r="H396" s="24"/>
      <c r="I396" s="24"/>
      <c r="J396" s="24"/>
      <c r="K396" s="24"/>
      <c r="L396" s="24"/>
      <c r="M396" s="24"/>
      <c r="N396" s="24"/>
      <c r="O396" s="24"/>
      <c r="P396" s="24"/>
      <c r="Q396" s="24"/>
      <c r="R396" s="24"/>
      <c r="S396" s="25">
        <f t="shared" si="18"/>
        <v>0</v>
      </c>
      <c r="T396" s="25">
        <f>COUNTIF($V$4:V396,V396)</f>
        <v>253</v>
      </c>
      <c r="U396" s="25" t="str">
        <f>IF(T396=1,COUNTIF($T$4:T396,1),"")</f>
        <v/>
      </c>
      <c r="V396" s="26" t="str">
        <f>'施設状況(要更新)'!$E396&amp;'施設状況(要更新)'!$C396</f>
        <v/>
      </c>
      <c r="W396" s="26">
        <f>'施設状況(要更新)'!$F396</f>
        <v>0</v>
      </c>
      <c r="X396" s="27"/>
      <c r="Y396" s="26"/>
    </row>
    <row r="397" spans="1:33">
      <c r="A397" s="30"/>
      <c r="B397" s="24"/>
      <c r="C397" s="24"/>
      <c r="D397" s="24"/>
      <c r="E397" s="24"/>
      <c r="F397" s="24"/>
      <c r="G397" s="24"/>
      <c r="H397" s="24"/>
      <c r="I397" s="24"/>
      <c r="J397" s="24"/>
      <c r="K397" s="24"/>
      <c r="L397" s="24"/>
      <c r="M397" s="24"/>
      <c r="N397" s="24"/>
      <c r="O397" s="24"/>
      <c r="P397" s="24"/>
      <c r="Q397" s="24"/>
      <c r="R397" s="24"/>
      <c r="S397" s="25">
        <f t="shared" si="18"/>
        <v>0</v>
      </c>
      <c r="T397" s="25">
        <f>COUNTIF($V$4:V397,V397)</f>
        <v>254</v>
      </c>
      <c r="U397" s="25" t="str">
        <f>IF(T397=1,COUNTIF($T$4:T397,1),"")</f>
        <v/>
      </c>
      <c r="V397" s="26" t="str">
        <f>'施設状況(要更新)'!$E397&amp;'施設状況(要更新)'!$C397</f>
        <v/>
      </c>
      <c r="W397" s="26">
        <f>'施設状況(要更新)'!$F397</f>
        <v>0</v>
      </c>
      <c r="X397" s="27"/>
      <c r="Y397" s="26"/>
      <c r="Z397" s="26"/>
      <c r="AA397" s="26"/>
      <c r="AB397" s="26"/>
      <c r="AC397" s="26"/>
      <c r="AD397" s="26"/>
      <c r="AE397" s="26"/>
      <c r="AF397" s="26"/>
      <c r="AG397" s="26"/>
    </row>
    <row r="398" spans="1:33">
      <c r="A398" s="30"/>
      <c r="B398" s="24"/>
      <c r="C398" s="24"/>
      <c r="D398" s="24"/>
      <c r="E398" s="24"/>
      <c r="F398" s="24"/>
      <c r="G398" s="24"/>
      <c r="H398" s="24"/>
      <c r="I398" s="24"/>
      <c r="J398" s="24"/>
      <c r="K398" s="24"/>
      <c r="L398" s="24"/>
      <c r="M398" s="24"/>
      <c r="N398" s="24"/>
      <c r="O398" s="24"/>
      <c r="P398" s="24"/>
      <c r="Q398" s="24"/>
      <c r="R398" s="24"/>
      <c r="S398" s="25">
        <f t="shared" si="18"/>
        <v>0</v>
      </c>
      <c r="T398" s="25">
        <f>COUNTIF($V$4:V398,V398)</f>
        <v>255</v>
      </c>
      <c r="U398" s="25" t="str">
        <f>IF(T398=1,COUNTIF($T$4:T398,1),"")</f>
        <v/>
      </c>
      <c r="V398" s="26" t="str">
        <f>'施設状況(要更新)'!$E398&amp;'施設状況(要更新)'!$C398</f>
        <v/>
      </c>
      <c r="W398" s="26">
        <f>'施設状況(要更新)'!$F398</f>
        <v>0</v>
      </c>
      <c r="X398" s="27"/>
      <c r="Y398" s="26"/>
    </row>
    <row r="399" spans="1:33">
      <c r="A399" s="30"/>
      <c r="B399" s="24"/>
      <c r="C399" s="24"/>
      <c r="D399" s="24"/>
      <c r="E399" s="24"/>
      <c r="F399" s="24"/>
      <c r="G399" s="24"/>
      <c r="H399" s="24"/>
      <c r="I399" s="24"/>
      <c r="J399" s="24"/>
      <c r="K399" s="24"/>
      <c r="L399" s="24"/>
      <c r="M399" s="24"/>
      <c r="N399" s="24"/>
      <c r="O399" s="24"/>
      <c r="P399" s="24"/>
      <c r="Q399" s="24"/>
      <c r="R399" s="24"/>
      <c r="S399" s="25">
        <f t="shared" si="18"/>
        <v>0</v>
      </c>
      <c r="T399" s="25">
        <f>COUNTIF($V$4:V399,V399)</f>
        <v>256</v>
      </c>
      <c r="U399" s="25" t="str">
        <f>IF(T399=1,COUNTIF($T$4:T399,1),"")</f>
        <v/>
      </c>
      <c r="V399" s="26" t="str">
        <f>'施設状況(要更新)'!$E399&amp;'施設状況(要更新)'!$C399</f>
        <v/>
      </c>
      <c r="W399" s="26">
        <f>'施設状況(要更新)'!$F399</f>
        <v>0</v>
      </c>
      <c r="X399" s="27"/>
      <c r="Y399" s="26"/>
    </row>
    <row r="400" spans="1:33">
      <c r="A400" s="30"/>
      <c r="B400" s="24"/>
      <c r="C400" s="24"/>
      <c r="D400" s="24"/>
      <c r="E400" s="24"/>
      <c r="F400" s="24"/>
      <c r="G400" s="24"/>
      <c r="H400" s="24"/>
      <c r="I400" s="24"/>
      <c r="J400" s="24"/>
      <c r="K400" s="24"/>
      <c r="L400" s="24"/>
      <c r="M400" s="24"/>
      <c r="N400" s="24"/>
      <c r="O400" s="24"/>
      <c r="P400" s="24"/>
      <c r="Q400" s="24"/>
      <c r="R400" s="24"/>
      <c r="S400" s="25">
        <f t="shared" si="18"/>
        <v>0</v>
      </c>
      <c r="T400" s="25">
        <f>COUNTIF($V$4:V400,V400)</f>
        <v>257</v>
      </c>
      <c r="U400" s="25" t="str">
        <f>IF(T400=1,COUNTIF($T$4:T400,1),"")</f>
        <v/>
      </c>
      <c r="V400" s="26" t="str">
        <f>'施設状況(要更新)'!$E400&amp;'施設状況(要更新)'!$C400</f>
        <v/>
      </c>
      <c r="W400" s="26">
        <f>'施設状況(要更新)'!$F400</f>
        <v>0</v>
      </c>
      <c r="X400" s="27"/>
      <c r="Y400" s="26"/>
    </row>
    <row r="401" spans="1:25">
      <c r="A401" s="30"/>
      <c r="B401" s="24"/>
      <c r="C401" s="24"/>
      <c r="D401" s="24"/>
      <c r="E401" s="24"/>
      <c r="F401" s="24"/>
      <c r="G401" s="24"/>
      <c r="H401" s="24"/>
      <c r="I401" s="24"/>
      <c r="J401" s="24"/>
      <c r="K401" s="24"/>
      <c r="L401" s="24"/>
      <c r="M401" s="24"/>
      <c r="N401" s="24"/>
      <c r="O401" s="24"/>
      <c r="P401" s="24"/>
      <c r="Q401" s="24"/>
      <c r="R401" s="24"/>
      <c r="S401" s="25">
        <f t="shared" si="18"/>
        <v>0</v>
      </c>
      <c r="T401" s="25">
        <f>COUNTIF($V$4:V401,V401)</f>
        <v>258</v>
      </c>
      <c r="U401" s="25" t="str">
        <f>IF(T401=1,COUNTIF($T$4:T401,1),"")</f>
        <v/>
      </c>
      <c r="V401" s="26" t="str">
        <f>'施設状況(要更新)'!$E401&amp;'施設状況(要更新)'!$C401</f>
        <v/>
      </c>
      <c r="W401" s="26">
        <f>'施設状況(要更新)'!$F401</f>
        <v>0</v>
      </c>
      <c r="X401" s="27"/>
      <c r="Y401" s="26"/>
    </row>
    <row r="402" spans="1:25">
      <c r="A402" s="30"/>
      <c r="B402" s="24"/>
      <c r="C402" s="24"/>
      <c r="D402" s="24"/>
      <c r="E402" s="24"/>
      <c r="F402" s="24"/>
      <c r="G402" s="24"/>
      <c r="H402" s="24"/>
      <c r="I402" s="24"/>
      <c r="J402" s="24"/>
      <c r="K402" s="24"/>
      <c r="L402" s="24"/>
      <c r="M402" s="24"/>
      <c r="N402" s="24"/>
      <c r="O402" s="24"/>
      <c r="P402" s="24"/>
      <c r="Q402" s="24"/>
      <c r="R402" s="24"/>
      <c r="S402" s="25">
        <f t="shared" si="18"/>
        <v>0</v>
      </c>
      <c r="T402" s="25">
        <f>COUNTIF($V$4:V402,V402)</f>
        <v>259</v>
      </c>
      <c r="U402" s="25" t="str">
        <f>IF(T402=1,COUNTIF($T$4:T402,1),"")</f>
        <v/>
      </c>
      <c r="V402" s="26" t="str">
        <f>'施設状況(要更新)'!$E402&amp;'施設状況(要更新)'!$C402</f>
        <v/>
      </c>
      <c r="W402" s="26">
        <f>'施設状況(要更新)'!$F402</f>
        <v>0</v>
      </c>
      <c r="X402" s="27"/>
      <c r="Y402" s="26"/>
    </row>
    <row r="403" spans="1:25">
      <c r="A403" s="30"/>
      <c r="B403" s="24"/>
      <c r="C403" s="24"/>
      <c r="D403" s="24"/>
      <c r="E403" s="24"/>
      <c r="F403" s="24"/>
      <c r="G403" s="24"/>
      <c r="H403" s="24"/>
      <c r="I403" s="24"/>
      <c r="J403" s="24"/>
      <c r="K403" s="24"/>
      <c r="L403" s="24"/>
      <c r="M403" s="24"/>
      <c r="N403" s="24"/>
      <c r="O403" s="24"/>
      <c r="P403" s="24"/>
      <c r="Q403" s="24"/>
      <c r="R403" s="24"/>
      <c r="S403" s="25">
        <f t="shared" si="18"/>
        <v>0</v>
      </c>
      <c r="T403" s="25">
        <f>COUNTIF($V$4:V403,V403)</f>
        <v>260</v>
      </c>
      <c r="U403" s="25" t="str">
        <f>IF(T403=1,COUNTIF($T$4:T403,1),"")</f>
        <v/>
      </c>
      <c r="V403" s="26" t="str">
        <f>'施設状況(要更新)'!$E403&amp;'施設状況(要更新)'!$C403</f>
        <v/>
      </c>
      <c r="W403" s="26">
        <f>'施設状況(要更新)'!$F403</f>
        <v>0</v>
      </c>
      <c r="X403" s="27"/>
      <c r="Y403" s="26"/>
    </row>
    <row r="404" spans="1:25">
      <c r="A404" s="18"/>
      <c r="B404" s="40"/>
      <c r="C404" s="40"/>
      <c r="D404" s="40"/>
      <c r="E404" s="40"/>
      <c r="F404" s="41"/>
      <c r="G404" s="41"/>
      <c r="H404" s="41"/>
      <c r="I404" s="41"/>
      <c r="J404" s="40"/>
      <c r="K404" s="41"/>
      <c r="L404" s="41"/>
      <c r="M404" s="41"/>
      <c r="N404" s="41"/>
      <c r="O404" s="41"/>
      <c r="P404" s="41"/>
      <c r="Q404" s="41"/>
      <c r="R404" s="40"/>
      <c r="S404" s="25">
        <f t="shared" si="18"/>
        <v>0</v>
      </c>
      <c r="T404" s="25">
        <f>COUNTIF($V$4:V404,V404)</f>
        <v>261</v>
      </c>
      <c r="U404" s="25" t="str">
        <f>IF(T404=1,COUNTIF($T$4:T404,1),"")</f>
        <v/>
      </c>
      <c r="V404" s="26" t="str">
        <f>'施設状況(要更新)'!$E404&amp;'施設状況(要更新)'!$C404</f>
        <v/>
      </c>
      <c r="W404" s="26">
        <f>'施設状況(要更新)'!$F404</f>
        <v>0</v>
      </c>
      <c r="X404" s="27"/>
      <c r="Y404" s="26"/>
    </row>
    <row r="405" spans="1:25">
      <c r="A405" s="18"/>
      <c r="B405" s="40"/>
      <c r="C405" s="40"/>
      <c r="D405" s="40"/>
      <c r="E405" s="40"/>
      <c r="F405" s="41"/>
      <c r="G405" s="41"/>
      <c r="H405" s="41"/>
      <c r="I405" s="41"/>
      <c r="J405" s="40"/>
      <c r="K405" s="41"/>
      <c r="L405" s="41"/>
      <c r="M405" s="41"/>
      <c r="N405" s="41"/>
      <c r="O405" s="41"/>
      <c r="P405" s="41"/>
      <c r="Q405" s="41"/>
      <c r="R405" s="40"/>
      <c r="S405" s="25">
        <f t="shared" si="18"/>
        <v>0</v>
      </c>
      <c r="T405" s="25">
        <f>COUNTIF($V$4:V405,V405)</f>
        <v>262</v>
      </c>
      <c r="U405" s="25" t="str">
        <f>IF(T405=1,COUNTIF($T$4:T405,1),"")</f>
        <v/>
      </c>
      <c r="V405" s="26" t="str">
        <f>'施設状況(要更新)'!$E405&amp;'施設状況(要更新)'!$C405</f>
        <v/>
      </c>
      <c r="W405" s="26">
        <f>'施設状況(要更新)'!$F405</f>
        <v>0</v>
      </c>
      <c r="X405" s="27"/>
      <c r="Y405" s="26"/>
    </row>
    <row r="406" spans="1:25">
      <c r="A406" s="18"/>
      <c r="B406" s="40"/>
      <c r="C406" s="40"/>
      <c r="D406" s="40"/>
      <c r="E406" s="40"/>
      <c r="F406" s="41"/>
      <c r="G406" s="41"/>
      <c r="H406" s="41"/>
      <c r="I406" s="41"/>
      <c r="J406" s="40"/>
      <c r="K406" s="41"/>
      <c r="L406" s="41"/>
      <c r="M406" s="41"/>
      <c r="N406" s="41"/>
      <c r="O406" s="41"/>
      <c r="P406" s="41"/>
      <c r="Q406" s="41"/>
      <c r="R406" s="40"/>
      <c r="S406" s="25">
        <f t="shared" si="18"/>
        <v>0</v>
      </c>
      <c r="T406" s="25">
        <f>COUNTIF($V$4:V406,V406)</f>
        <v>263</v>
      </c>
      <c r="U406" s="25" t="str">
        <f>IF(T406=1,COUNTIF($T$4:T406,1),"")</f>
        <v/>
      </c>
      <c r="V406" s="26" t="str">
        <f>'施設状況(要更新)'!$E406&amp;'施設状況(要更新)'!$C406</f>
        <v/>
      </c>
      <c r="W406" s="26">
        <f>'施設状況(要更新)'!$F406</f>
        <v>0</v>
      </c>
      <c r="X406" s="27"/>
      <c r="Y406" s="26"/>
    </row>
    <row r="407" spans="1:25">
      <c r="A407" s="18"/>
      <c r="B407" s="40"/>
      <c r="C407" s="40"/>
      <c r="D407" s="40"/>
      <c r="E407" s="40"/>
      <c r="F407" s="41"/>
      <c r="G407" s="41"/>
      <c r="H407" s="41"/>
      <c r="I407" s="41"/>
      <c r="J407" s="40"/>
      <c r="K407" s="41"/>
      <c r="L407" s="41"/>
      <c r="M407" s="41"/>
      <c r="N407" s="41"/>
      <c r="O407" s="41"/>
      <c r="P407" s="41"/>
      <c r="Q407" s="41"/>
      <c r="R407" s="40"/>
      <c r="S407" s="25">
        <f t="shared" si="18"/>
        <v>0</v>
      </c>
      <c r="T407" s="25">
        <f>COUNTIF($V$4:V407,V407)</f>
        <v>264</v>
      </c>
      <c r="U407" s="25" t="str">
        <f>IF(T407=1,COUNTIF($T$4:T407,1),"")</f>
        <v/>
      </c>
      <c r="V407" s="26" t="str">
        <f>'施設状況(要更新)'!$E407&amp;'施設状況(要更新)'!$C407</f>
        <v/>
      </c>
      <c r="W407" s="26">
        <f>'施設状況(要更新)'!$F407</f>
        <v>0</v>
      </c>
      <c r="X407" s="27"/>
      <c r="Y407" s="26"/>
    </row>
    <row r="408" spans="1:25">
      <c r="A408" s="18"/>
      <c r="B408" s="40"/>
      <c r="C408" s="40"/>
      <c r="D408" s="40"/>
      <c r="E408" s="40"/>
      <c r="F408" s="41"/>
      <c r="G408" s="41"/>
      <c r="H408" s="41"/>
      <c r="I408" s="41"/>
      <c r="J408" s="40"/>
      <c r="K408" s="41"/>
      <c r="L408" s="41"/>
      <c r="M408" s="41"/>
      <c r="N408" s="41"/>
      <c r="O408" s="41"/>
      <c r="P408" s="41"/>
      <c r="Q408" s="41"/>
      <c r="R408" s="40"/>
      <c r="S408" s="25">
        <f t="shared" si="18"/>
        <v>0</v>
      </c>
      <c r="T408" s="25">
        <f>COUNTIF($V$4:V408,V408)</f>
        <v>265</v>
      </c>
      <c r="U408" s="25" t="str">
        <f>IF(T408=1,COUNTIF($T$4:T408,1),"")</f>
        <v/>
      </c>
      <c r="V408" s="26" t="str">
        <f>'施設状況(要更新)'!$E408&amp;'施設状況(要更新)'!$C408</f>
        <v/>
      </c>
      <c r="W408" s="26">
        <f>'施設状況(要更新)'!$F408</f>
        <v>0</v>
      </c>
      <c r="X408" s="27"/>
      <c r="Y408" s="26"/>
    </row>
    <row r="409" spans="1:25">
      <c r="A409" s="18"/>
      <c r="B409" s="40"/>
      <c r="C409" s="40"/>
      <c r="D409" s="40"/>
      <c r="E409" s="40"/>
      <c r="F409" s="41"/>
      <c r="G409" s="41"/>
      <c r="H409" s="41"/>
      <c r="I409" s="41"/>
      <c r="J409" s="40"/>
      <c r="K409" s="41"/>
      <c r="L409" s="41"/>
      <c r="M409" s="41"/>
      <c r="N409" s="41"/>
      <c r="O409" s="41"/>
      <c r="P409" s="41"/>
      <c r="Q409" s="41"/>
      <c r="R409" s="40"/>
      <c r="S409" s="25">
        <f t="shared" si="18"/>
        <v>0</v>
      </c>
      <c r="T409" s="25">
        <f>COUNTIF($V$4:V409,V409)</f>
        <v>266</v>
      </c>
      <c r="U409" s="25" t="str">
        <f>IF(T409=1,COUNTIF($T$4:T409,1),"")</f>
        <v/>
      </c>
      <c r="V409" s="26" t="str">
        <f>'施設状況(要更新)'!$E409&amp;'施設状況(要更新)'!$C409</f>
        <v/>
      </c>
      <c r="W409" s="26">
        <f>'施設状況(要更新)'!$F409</f>
        <v>0</v>
      </c>
      <c r="X409" s="27"/>
      <c r="Y409" s="26"/>
    </row>
    <row r="410" spans="1:25">
      <c r="A410" s="18"/>
      <c r="B410" s="40"/>
      <c r="C410" s="40"/>
      <c r="D410" s="40"/>
      <c r="E410" s="40"/>
      <c r="F410" s="41"/>
      <c r="G410" s="41"/>
      <c r="H410" s="41"/>
      <c r="I410" s="41"/>
      <c r="J410" s="40"/>
      <c r="K410" s="41"/>
      <c r="L410" s="41"/>
      <c r="M410" s="41"/>
      <c r="N410" s="41"/>
      <c r="O410" s="41"/>
      <c r="P410" s="41"/>
      <c r="Q410" s="41"/>
      <c r="R410" s="40"/>
      <c r="S410" s="25">
        <f t="shared" si="18"/>
        <v>0</v>
      </c>
      <c r="T410" s="25">
        <f>COUNTIF($V$4:V410,V410)</f>
        <v>267</v>
      </c>
      <c r="U410" s="25" t="str">
        <f>IF(T410=1,COUNTIF($T$4:T410,1),"")</f>
        <v/>
      </c>
      <c r="V410" s="26" t="str">
        <f>'施設状況(要更新)'!$E410&amp;'施設状況(要更新)'!$C410</f>
        <v/>
      </c>
      <c r="W410" s="26">
        <f>'施設状況(要更新)'!$F410</f>
        <v>0</v>
      </c>
      <c r="X410" s="27"/>
      <c r="Y410" s="26"/>
    </row>
    <row r="411" spans="1:25">
      <c r="A411" s="18"/>
      <c r="B411" s="40"/>
      <c r="C411" s="40"/>
      <c r="D411" s="40"/>
      <c r="E411" s="40"/>
      <c r="F411" s="41"/>
      <c r="G411" s="41"/>
      <c r="H411" s="41"/>
      <c r="I411" s="41"/>
      <c r="J411" s="40"/>
      <c r="K411" s="41"/>
      <c r="L411" s="41"/>
      <c r="M411" s="41"/>
      <c r="N411" s="41"/>
      <c r="O411" s="41"/>
      <c r="P411" s="41"/>
      <c r="Q411" s="41"/>
      <c r="R411" s="40"/>
      <c r="S411" s="25">
        <f t="shared" si="18"/>
        <v>0</v>
      </c>
      <c r="T411" s="25">
        <f>COUNTIF($V$4:V411,V411)</f>
        <v>268</v>
      </c>
      <c r="U411" s="25" t="str">
        <f>IF(T411=1,COUNTIF($T$4:T411,1),"")</f>
        <v/>
      </c>
      <c r="V411" s="26" t="str">
        <f>'施設状況(要更新)'!$E411&amp;'施設状況(要更新)'!$C411</f>
        <v/>
      </c>
      <c r="W411" s="26">
        <f>'施設状況(要更新)'!$F411</f>
        <v>0</v>
      </c>
      <c r="X411" s="27"/>
      <c r="Y411" s="26"/>
    </row>
    <row r="412" spans="1:25">
      <c r="A412" s="18"/>
      <c r="B412" s="40"/>
      <c r="C412" s="40"/>
      <c r="D412" s="40"/>
      <c r="E412" s="40"/>
      <c r="F412" s="41"/>
      <c r="G412" s="41"/>
      <c r="H412" s="41"/>
      <c r="I412" s="41"/>
      <c r="J412" s="40"/>
      <c r="K412" s="41"/>
      <c r="L412" s="41"/>
      <c r="M412" s="41"/>
      <c r="N412" s="41"/>
      <c r="O412" s="41"/>
      <c r="P412" s="41"/>
      <c r="Q412" s="41"/>
      <c r="R412" s="40"/>
      <c r="S412" s="25">
        <f t="shared" si="18"/>
        <v>0</v>
      </c>
      <c r="T412" s="25">
        <f>COUNTIF($V$4:V412,V412)</f>
        <v>269</v>
      </c>
      <c r="U412" s="25" t="str">
        <f>IF(T412=1,COUNTIF($T$4:T412,1),"")</f>
        <v/>
      </c>
      <c r="V412" s="26" t="str">
        <f>'施設状況(要更新)'!$E412&amp;'施設状況(要更新)'!$C412</f>
        <v/>
      </c>
      <c r="W412" s="26">
        <f>'施設状況(要更新)'!$F412</f>
        <v>0</v>
      </c>
      <c r="X412" s="27"/>
      <c r="Y412" s="26"/>
    </row>
    <row r="413" spans="1:25">
      <c r="A413" s="18"/>
      <c r="B413" s="40"/>
      <c r="C413" s="40"/>
      <c r="D413" s="40"/>
      <c r="E413" s="40"/>
      <c r="F413" s="41"/>
      <c r="G413" s="41"/>
      <c r="H413" s="41"/>
      <c r="I413" s="41"/>
      <c r="J413" s="40"/>
      <c r="K413" s="41"/>
      <c r="L413" s="41"/>
      <c r="M413" s="41"/>
      <c r="N413" s="41"/>
      <c r="O413" s="41"/>
      <c r="P413" s="41"/>
      <c r="Q413" s="41"/>
      <c r="R413" s="40"/>
      <c r="S413" s="25">
        <f t="shared" si="18"/>
        <v>0</v>
      </c>
      <c r="T413" s="25">
        <f>COUNTIF($V$4:V413,V413)</f>
        <v>270</v>
      </c>
      <c r="U413" s="25" t="str">
        <f>IF(T413=1,COUNTIF($T$4:T413,1),"")</f>
        <v/>
      </c>
      <c r="V413" s="26" t="str">
        <f>'施設状況(要更新)'!$E413&amp;'施設状況(要更新)'!$C413</f>
        <v/>
      </c>
      <c r="W413" s="26">
        <f>'施設状況(要更新)'!$F413</f>
        <v>0</v>
      </c>
      <c r="X413" s="27"/>
      <c r="Y413" s="26"/>
    </row>
    <row r="414" spans="1:25">
      <c r="A414" s="18"/>
      <c r="B414" s="40"/>
      <c r="C414" s="40"/>
      <c r="D414" s="40"/>
      <c r="E414" s="40"/>
      <c r="F414" s="41"/>
      <c r="G414" s="41"/>
      <c r="H414" s="41"/>
      <c r="I414" s="41"/>
      <c r="J414" s="40"/>
      <c r="K414" s="41"/>
      <c r="L414" s="41"/>
      <c r="M414" s="41"/>
      <c r="N414" s="41"/>
      <c r="O414" s="41"/>
      <c r="P414" s="41"/>
      <c r="Q414" s="41"/>
      <c r="R414" s="40"/>
      <c r="S414" s="25">
        <f t="shared" si="18"/>
        <v>0</v>
      </c>
      <c r="T414" s="25">
        <f>COUNTIF($V$4:V414,V414)</f>
        <v>271</v>
      </c>
      <c r="U414" s="25" t="str">
        <f>IF(T414=1,COUNTIF($T$4:T414,1),"")</f>
        <v/>
      </c>
      <c r="V414" s="26" t="str">
        <f>'施設状況(要更新)'!$E414&amp;'施設状況(要更新)'!$C414</f>
        <v/>
      </c>
      <c r="W414" s="26">
        <f>'施設状況(要更新)'!$F414</f>
        <v>0</v>
      </c>
      <c r="X414" s="27"/>
      <c r="Y414" s="26"/>
    </row>
    <row r="415" spans="1:25">
      <c r="A415" s="18"/>
      <c r="B415" s="40"/>
      <c r="C415" s="40"/>
      <c r="D415" s="40"/>
      <c r="E415" s="40"/>
      <c r="F415" s="41"/>
      <c r="G415" s="41"/>
      <c r="H415" s="41"/>
      <c r="I415" s="41"/>
      <c r="J415" s="40"/>
      <c r="K415" s="41"/>
      <c r="L415" s="41"/>
      <c r="M415" s="41"/>
      <c r="N415" s="41"/>
      <c r="O415" s="41"/>
      <c r="P415" s="41"/>
      <c r="Q415" s="41"/>
      <c r="R415" s="40"/>
      <c r="S415" s="25">
        <f t="shared" si="18"/>
        <v>0</v>
      </c>
      <c r="T415" s="25">
        <f>COUNTIF($V$4:V415,V415)</f>
        <v>272</v>
      </c>
      <c r="U415" s="25" t="str">
        <f>IF(T415=1,COUNTIF($T$4:T415,1),"")</f>
        <v/>
      </c>
      <c r="V415" s="26" t="str">
        <f>'施設状況(要更新)'!$E415&amp;'施設状況(要更新)'!$C415</f>
        <v/>
      </c>
      <c r="W415" s="26">
        <f>'施設状況(要更新)'!$F415</f>
        <v>0</v>
      </c>
      <c r="X415" s="27"/>
      <c r="Y415" s="26"/>
    </row>
    <row r="416" spans="1:25">
      <c r="A416" s="18"/>
      <c r="B416" s="40"/>
      <c r="C416" s="40"/>
      <c r="D416" s="40"/>
      <c r="E416" s="40"/>
      <c r="F416" s="41"/>
      <c r="G416" s="41"/>
      <c r="H416" s="41"/>
      <c r="I416" s="41"/>
      <c r="J416" s="40"/>
      <c r="K416" s="41"/>
      <c r="L416" s="41"/>
      <c r="M416" s="41"/>
      <c r="N416" s="41"/>
      <c r="O416" s="41"/>
      <c r="P416" s="41"/>
      <c r="Q416" s="41"/>
      <c r="R416" s="40"/>
      <c r="S416" s="25">
        <f t="shared" si="18"/>
        <v>0</v>
      </c>
      <c r="T416" s="25">
        <f>COUNTIF($V$4:V416,V416)</f>
        <v>273</v>
      </c>
      <c r="U416" s="25" t="str">
        <f>IF(T416=1,COUNTIF($T$4:T416,1),"")</f>
        <v/>
      </c>
      <c r="V416" s="26" t="str">
        <f>'施設状況(要更新)'!$E416&amp;'施設状況(要更新)'!$C416</f>
        <v/>
      </c>
      <c r="W416" s="26">
        <f>'施設状況(要更新)'!$F416</f>
        <v>0</v>
      </c>
      <c r="X416" s="27"/>
      <c r="Y416" s="26"/>
    </row>
    <row r="417" spans="1:25">
      <c r="A417" s="18"/>
      <c r="B417" s="40"/>
      <c r="C417" s="40"/>
      <c r="D417" s="40"/>
      <c r="E417" s="40"/>
      <c r="F417" s="41"/>
      <c r="G417" s="41"/>
      <c r="H417" s="41"/>
      <c r="I417" s="41"/>
      <c r="J417" s="40"/>
      <c r="K417" s="41"/>
      <c r="L417" s="41"/>
      <c r="M417" s="41"/>
      <c r="N417" s="41"/>
      <c r="O417" s="41"/>
      <c r="P417" s="41"/>
      <c r="Q417" s="41"/>
      <c r="R417" s="40"/>
      <c r="S417" s="25">
        <f t="shared" si="18"/>
        <v>0</v>
      </c>
      <c r="T417" s="25">
        <f>COUNTIF($V$4:V417,V417)</f>
        <v>274</v>
      </c>
      <c r="U417" s="25" t="str">
        <f>IF(T417=1,COUNTIF($T$4:T417,1),"")</f>
        <v/>
      </c>
      <c r="V417" s="26" t="str">
        <f>'施設状況(要更新)'!$E417&amp;'施設状況(要更新)'!$C417</f>
        <v/>
      </c>
      <c r="W417" s="26">
        <f>'施設状況(要更新)'!$F417</f>
        <v>0</v>
      </c>
      <c r="X417" s="27"/>
      <c r="Y417" s="26"/>
    </row>
    <row r="418" spans="1:25">
      <c r="A418" s="18"/>
      <c r="B418" s="40"/>
      <c r="C418" s="40"/>
      <c r="D418" s="40"/>
      <c r="E418" s="40"/>
      <c r="F418" s="41"/>
      <c r="G418" s="41"/>
      <c r="H418" s="41"/>
      <c r="I418" s="41"/>
      <c r="J418" s="40"/>
      <c r="K418" s="41"/>
      <c r="L418" s="41"/>
      <c r="M418" s="41"/>
      <c r="N418" s="41"/>
      <c r="O418" s="41"/>
      <c r="P418" s="41"/>
      <c r="Q418" s="41"/>
      <c r="R418" s="40"/>
      <c r="S418" s="25">
        <f t="shared" si="18"/>
        <v>0</v>
      </c>
      <c r="T418" s="25">
        <f>COUNTIF($V$4:V418,V418)</f>
        <v>275</v>
      </c>
      <c r="U418" s="25" t="str">
        <f>IF(T418=1,COUNTIF($T$4:T418,1),"")</f>
        <v/>
      </c>
      <c r="V418" s="26" t="str">
        <f>'施設状況(要更新)'!$E418&amp;'施設状況(要更新)'!$C418</f>
        <v/>
      </c>
      <c r="W418" s="26">
        <f>'施設状況(要更新)'!$F418</f>
        <v>0</v>
      </c>
      <c r="X418" s="27"/>
      <c r="Y418" s="26"/>
    </row>
    <row r="419" spans="1:25">
      <c r="A419" s="18"/>
      <c r="B419" s="40"/>
      <c r="C419" s="40"/>
      <c r="D419" s="40"/>
      <c r="E419" s="40"/>
      <c r="F419" s="42"/>
      <c r="G419" s="41"/>
      <c r="H419" s="41"/>
      <c r="I419" s="41"/>
      <c r="J419" s="40"/>
      <c r="K419" s="41"/>
      <c r="L419" s="41"/>
      <c r="M419" s="41"/>
      <c r="N419" s="41"/>
      <c r="O419" s="41"/>
      <c r="P419" s="41"/>
      <c r="Q419" s="41"/>
      <c r="R419" s="40"/>
      <c r="S419" s="25">
        <f t="shared" si="18"/>
        <v>0</v>
      </c>
      <c r="T419" s="25">
        <f>COUNTIF($V$4:V419,V419)</f>
        <v>276</v>
      </c>
      <c r="U419" s="25" t="str">
        <f>IF(T419=1,COUNTIF($T$4:T419,1),"")</f>
        <v/>
      </c>
      <c r="V419" s="26" t="str">
        <f>'施設状況(要更新)'!$E419&amp;'施設状況(要更新)'!$C419</f>
        <v/>
      </c>
      <c r="W419" s="26">
        <f>'施設状況(要更新)'!$F419</f>
        <v>0</v>
      </c>
      <c r="X419" s="27"/>
      <c r="Y419" s="26"/>
    </row>
    <row r="420" spans="1:25">
      <c r="A420" s="18"/>
      <c r="B420" s="40"/>
      <c r="C420" s="40"/>
      <c r="D420" s="40"/>
      <c r="E420" s="40"/>
      <c r="F420" s="41"/>
      <c r="G420" s="41"/>
      <c r="H420" s="41"/>
      <c r="I420" s="41"/>
      <c r="J420" s="40"/>
      <c r="K420" s="41"/>
      <c r="L420" s="41"/>
      <c r="M420" s="41"/>
      <c r="N420" s="41"/>
      <c r="O420" s="41"/>
      <c r="P420" s="41"/>
      <c r="Q420" s="41"/>
      <c r="R420" s="40"/>
      <c r="S420" s="25">
        <f t="shared" si="18"/>
        <v>0</v>
      </c>
      <c r="T420" s="25">
        <f>COUNTIF($V$4:V420,V420)</f>
        <v>277</v>
      </c>
      <c r="U420" s="25" t="str">
        <f>IF(T420=1,COUNTIF($T$4:T420,1),"")</f>
        <v/>
      </c>
      <c r="V420" s="26" t="str">
        <f>'施設状況(要更新)'!$E420&amp;'施設状況(要更新)'!$C420</f>
        <v/>
      </c>
      <c r="W420" s="26">
        <f>'施設状況(要更新)'!$F420</f>
        <v>0</v>
      </c>
      <c r="X420" s="27"/>
      <c r="Y420" s="26"/>
    </row>
    <row r="421" spans="1:25">
      <c r="A421" s="18"/>
      <c r="B421" s="40"/>
      <c r="C421" s="40"/>
      <c r="D421" s="40"/>
      <c r="E421" s="40"/>
      <c r="F421" s="41"/>
      <c r="G421" s="41"/>
      <c r="H421" s="41"/>
      <c r="I421" s="41"/>
      <c r="J421" s="40"/>
      <c r="K421" s="41"/>
      <c r="L421" s="41"/>
      <c r="M421" s="43"/>
      <c r="N421" s="43"/>
      <c r="O421" s="43"/>
      <c r="P421" s="41"/>
      <c r="Q421" s="41"/>
      <c r="R421" s="40"/>
      <c r="S421" s="25">
        <f t="shared" si="18"/>
        <v>0</v>
      </c>
      <c r="T421" s="25">
        <f>COUNTIF($V$4:V421,V421)</f>
        <v>278</v>
      </c>
      <c r="U421" s="25" t="str">
        <f>IF(T421=1,COUNTIF($T$4:T421,1),"")</f>
        <v/>
      </c>
      <c r="V421" s="26" t="str">
        <f>'施設状況(要更新)'!$E421&amp;'施設状況(要更新)'!$C421</f>
        <v/>
      </c>
      <c r="W421" s="26">
        <f>'施設状況(要更新)'!$F421</f>
        <v>0</v>
      </c>
      <c r="X421" s="27"/>
      <c r="Y421" s="26"/>
    </row>
    <row r="422" spans="1:25">
      <c r="A422" s="18"/>
      <c r="B422" s="40"/>
      <c r="C422" s="40"/>
      <c r="D422" s="40"/>
      <c r="E422" s="40"/>
      <c r="F422" s="41"/>
      <c r="G422" s="41"/>
      <c r="H422" s="41"/>
      <c r="I422" s="41"/>
      <c r="J422" s="40"/>
      <c r="K422" s="41"/>
      <c r="L422" s="41"/>
      <c r="M422" s="43"/>
      <c r="N422" s="43"/>
      <c r="O422" s="43"/>
      <c r="P422" s="41"/>
      <c r="Q422" s="41"/>
      <c r="R422" s="40"/>
      <c r="S422" s="25">
        <f t="shared" si="18"/>
        <v>0</v>
      </c>
      <c r="T422" s="25">
        <f>COUNTIF($V$4:V422,V422)</f>
        <v>279</v>
      </c>
      <c r="U422" s="25" t="str">
        <f>IF(T422=1,COUNTIF($T$4:T422,1),"")</f>
        <v/>
      </c>
      <c r="V422" s="26" t="str">
        <f>'施設状況(要更新)'!$E422&amp;'施設状況(要更新)'!$C422</f>
        <v/>
      </c>
      <c r="W422" s="26">
        <f>'施設状況(要更新)'!$F422</f>
        <v>0</v>
      </c>
      <c r="X422" s="27"/>
      <c r="Y422" s="26"/>
    </row>
    <row r="423" spans="1:25">
      <c r="A423" s="18"/>
      <c r="B423" s="40"/>
      <c r="C423" s="40"/>
      <c r="D423" s="40"/>
      <c r="E423" s="40"/>
      <c r="F423" s="41"/>
      <c r="G423" s="41"/>
      <c r="H423" s="41"/>
      <c r="I423" s="41"/>
      <c r="J423" s="40"/>
      <c r="K423" s="41"/>
      <c r="L423" s="41"/>
      <c r="M423" s="43"/>
      <c r="N423" s="43"/>
      <c r="O423" s="43"/>
      <c r="P423" s="41"/>
      <c r="Q423" s="41"/>
      <c r="R423" s="40"/>
      <c r="S423" s="25">
        <f t="shared" si="18"/>
        <v>0</v>
      </c>
      <c r="T423" s="25">
        <f>COUNTIF($V$4:V423,V423)</f>
        <v>280</v>
      </c>
      <c r="U423" s="25" t="str">
        <f>IF(T423=1,COUNTIF($T$4:T423,1),"")</f>
        <v/>
      </c>
      <c r="V423" s="26" t="str">
        <f>'施設状況(要更新)'!$E423&amp;'施設状況(要更新)'!$C423</f>
        <v/>
      </c>
      <c r="W423" s="26">
        <f>'施設状況(要更新)'!$F423</f>
        <v>0</v>
      </c>
      <c r="X423" s="27"/>
      <c r="Y423" s="26"/>
    </row>
    <row r="424" spans="1:25">
      <c r="A424" s="18"/>
      <c r="B424" s="40"/>
      <c r="C424" s="40"/>
      <c r="D424" s="40"/>
      <c r="E424" s="40"/>
      <c r="F424" s="41"/>
      <c r="G424" s="41"/>
      <c r="H424" s="41"/>
      <c r="I424" s="41"/>
      <c r="J424" s="40"/>
      <c r="K424" s="41"/>
      <c r="L424" s="41"/>
      <c r="M424" s="43"/>
      <c r="N424" s="43"/>
      <c r="O424" s="43"/>
      <c r="P424" s="41"/>
      <c r="Q424" s="41"/>
      <c r="R424" s="40"/>
      <c r="S424" s="25">
        <f t="shared" si="18"/>
        <v>0</v>
      </c>
      <c r="T424" s="25">
        <f>COUNTIF($V$4:V424,V424)</f>
        <v>281</v>
      </c>
      <c r="U424" s="25" t="str">
        <f>IF(T424=1,COUNTIF($T$4:T424,1),"")</f>
        <v/>
      </c>
      <c r="V424" s="26" t="str">
        <f>'施設状況(要更新)'!$E424&amp;'施設状況(要更新)'!$C424</f>
        <v/>
      </c>
      <c r="W424" s="26">
        <f>'施設状況(要更新)'!$F424</f>
        <v>0</v>
      </c>
      <c r="X424" s="27"/>
      <c r="Y424" s="26"/>
    </row>
    <row r="425" spans="1:25">
      <c r="A425" s="18"/>
      <c r="B425" s="40"/>
      <c r="C425" s="40"/>
      <c r="D425" s="40"/>
      <c r="E425" s="40"/>
      <c r="F425" s="41"/>
      <c r="G425" s="41"/>
      <c r="H425" s="41"/>
      <c r="I425" s="41"/>
      <c r="J425" s="40"/>
      <c r="K425" s="41"/>
      <c r="L425" s="41"/>
      <c r="M425" s="43"/>
      <c r="N425" s="43"/>
      <c r="O425" s="43"/>
      <c r="P425" s="41"/>
      <c r="Q425" s="41"/>
      <c r="R425" s="40"/>
      <c r="S425" s="25">
        <f t="shared" si="18"/>
        <v>0</v>
      </c>
      <c r="T425" s="25">
        <f>COUNTIF($V$4:V425,V425)</f>
        <v>282</v>
      </c>
      <c r="U425" s="25" t="str">
        <f>IF(T425=1,COUNTIF($T$4:T425,1),"")</f>
        <v/>
      </c>
      <c r="V425" s="26" t="str">
        <f>'施設状況(要更新)'!$E425&amp;'施設状況(要更新)'!$C425</f>
        <v/>
      </c>
      <c r="W425" s="26">
        <f>'施設状況(要更新)'!$F425</f>
        <v>0</v>
      </c>
      <c r="X425" s="27"/>
      <c r="Y425" s="26"/>
    </row>
    <row r="426" spans="1:25">
      <c r="A426" s="18"/>
      <c r="B426" s="40"/>
      <c r="C426" s="40"/>
      <c r="D426" s="40"/>
      <c r="E426" s="40"/>
      <c r="F426" s="41"/>
      <c r="G426" s="41"/>
      <c r="H426" s="41"/>
      <c r="I426" s="41"/>
      <c r="J426" s="40"/>
      <c r="K426" s="41"/>
      <c r="L426" s="41"/>
      <c r="M426" s="43"/>
      <c r="N426" s="43"/>
      <c r="O426" s="43"/>
      <c r="P426" s="41"/>
      <c r="Q426" s="41"/>
      <c r="R426" s="40"/>
      <c r="S426" s="25">
        <f t="shared" si="18"/>
        <v>0</v>
      </c>
      <c r="T426" s="25">
        <f>COUNTIF($V$4:V426,V426)</f>
        <v>283</v>
      </c>
      <c r="U426" s="25" t="str">
        <f>IF(T426=1,COUNTIF($T$4:T426,1),"")</f>
        <v/>
      </c>
      <c r="V426" s="26" t="str">
        <f>'施設状況(要更新)'!$E426&amp;'施設状況(要更新)'!$C426</f>
        <v/>
      </c>
      <c r="W426" s="26">
        <f>'施設状況(要更新)'!$F426</f>
        <v>0</v>
      </c>
      <c r="X426" s="27"/>
      <c r="Y426" s="26"/>
    </row>
    <row r="427" spans="1:25">
      <c r="A427" s="18"/>
      <c r="B427" s="40"/>
      <c r="C427" s="40"/>
      <c r="D427" s="40"/>
      <c r="E427" s="40"/>
      <c r="F427" s="41"/>
      <c r="G427" s="41"/>
      <c r="H427" s="41"/>
      <c r="I427" s="41"/>
      <c r="J427" s="40"/>
      <c r="K427" s="41"/>
      <c r="L427" s="41"/>
      <c r="M427" s="43"/>
      <c r="N427" s="43"/>
      <c r="O427" s="43"/>
      <c r="P427" s="41"/>
      <c r="Q427" s="41"/>
      <c r="R427" s="40"/>
      <c r="S427" s="25">
        <f t="shared" si="18"/>
        <v>0</v>
      </c>
      <c r="T427" s="25">
        <f>COUNTIF($V$4:V427,V427)</f>
        <v>284</v>
      </c>
      <c r="U427" s="25" t="str">
        <f>IF(T427=1,COUNTIF($T$4:T427,1),"")</f>
        <v/>
      </c>
      <c r="V427" s="26" t="str">
        <f>'施設状況(要更新)'!$E427&amp;'施設状況(要更新)'!$C427</f>
        <v/>
      </c>
      <c r="W427" s="26">
        <f>'施設状況(要更新)'!$F427</f>
        <v>0</v>
      </c>
      <c r="X427" s="27"/>
      <c r="Y427" s="26"/>
    </row>
    <row r="428" spans="1:25">
      <c r="A428" s="18"/>
      <c r="B428" s="40"/>
      <c r="C428" s="40"/>
      <c r="D428" s="40"/>
      <c r="E428" s="40"/>
      <c r="F428" s="41"/>
      <c r="G428" s="41"/>
      <c r="H428" s="41"/>
      <c r="I428" s="41"/>
      <c r="J428" s="40"/>
      <c r="K428" s="41"/>
      <c r="L428" s="41"/>
      <c r="M428" s="43"/>
      <c r="N428" s="43"/>
      <c r="O428" s="43"/>
      <c r="P428" s="41"/>
      <c r="Q428" s="41"/>
      <c r="R428" s="40"/>
      <c r="S428" s="25">
        <f t="shared" si="18"/>
        <v>0</v>
      </c>
      <c r="T428" s="25">
        <f>COUNTIF($V$4:V428,V428)</f>
        <v>285</v>
      </c>
      <c r="U428" s="25" t="str">
        <f>IF(T428=1,COUNTIF($T$4:T428,1),"")</f>
        <v/>
      </c>
      <c r="V428" s="26" t="str">
        <f>'施設状況(要更新)'!$E428&amp;'施設状況(要更新)'!$C428</f>
        <v/>
      </c>
      <c r="W428" s="26">
        <f>'施設状況(要更新)'!$F428</f>
        <v>0</v>
      </c>
      <c r="X428" s="27"/>
      <c r="Y428" s="26"/>
    </row>
    <row r="429" spans="1:25">
      <c r="A429" s="18"/>
      <c r="B429" s="40"/>
      <c r="C429" s="40"/>
      <c r="D429" s="40"/>
      <c r="E429" s="40"/>
      <c r="F429" s="41"/>
      <c r="G429" s="41"/>
      <c r="H429" s="41"/>
      <c r="I429" s="41"/>
      <c r="J429" s="40"/>
      <c r="K429" s="41"/>
      <c r="L429" s="41"/>
      <c r="M429" s="41"/>
      <c r="N429" s="41"/>
      <c r="O429" s="41"/>
      <c r="P429" s="41"/>
      <c r="Q429" s="41"/>
      <c r="R429" s="40"/>
      <c r="S429" s="25">
        <f t="shared" si="18"/>
        <v>0</v>
      </c>
      <c r="T429" s="25">
        <f>COUNTIF($V$4:V429,V429)</f>
        <v>286</v>
      </c>
      <c r="U429" s="25" t="str">
        <f>IF(T429=1,COUNTIF($T$4:T429,1),"")</f>
        <v/>
      </c>
      <c r="V429" s="26" t="str">
        <f>'施設状況(要更新)'!$E429&amp;'施設状況(要更新)'!$C429</f>
        <v/>
      </c>
      <c r="W429" s="26">
        <f>'施設状況(要更新)'!$F429</f>
        <v>0</v>
      </c>
      <c r="X429" s="27"/>
      <c r="Y429" s="26"/>
    </row>
    <row r="430" spans="1:25">
      <c r="A430" s="18"/>
      <c r="B430" s="40"/>
      <c r="C430" s="40"/>
      <c r="D430" s="40"/>
      <c r="E430" s="40"/>
      <c r="F430" s="41"/>
      <c r="G430" s="41"/>
      <c r="H430" s="41"/>
      <c r="I430" s="41"/>
      <c r="J430" s="40"/>
      <c r="K430" s="41"/>
      <c r="L430" s="41"/>
      <c r="M430" s="41"/>
      <c r="N430" s="41"/>
      <c r="O430" s="41"/>
      <c r="P430" s="41"/>
      <c r="Q430" s="41"/>
      <c r="R430" s="40"/>
      <c r="S430" s="25">
        <f t="shared" si="18"/>
        <v>0</v>
      </c>
      <c r="T430" s="25">
        <f>COUNTIF($V$4:V430,V430)</f>
        <v>287</v>
      </c>
      <c r="U430" s="25" t="str">
        <f>IF(T430=1,COUNTIF($T$4:T430,1),"")</f>
        <v/>
      </c>
      <c r="V430" s="26" t="str">
        <f>'施設状況(要更新)'!$E430&amp;'施設状況(要更新)'!$C430</f>
        <v/>
      </c>
      <c r="W430" s="26">
        <f>'施設状況(要更新)'!$F430</f>
        <v>0</v>
      </c>
      <c r="X430" s="27"/>
      <c r="Y430" s="26"/>
    </row>
    <row r="431" spans="1:25">
      <c r="A431" s="18"/>
      <c r="B431" s="40"/>
      <c r="C431" s="40"/>
      <c r="D431" s="40"/>
      <c r="E431" s="40"/>
      <c r="F431" s="41"/>
      <c r="G431" s="41"/>
      <c r="H431" s="41"/>
      <c r="I431" s="41"/>
      <c r="J431" s="40"/>
      <c r="K431" s="41"/>
      <c r="L431" s="41"/>
      <c r="M431" s="41"/>
      <c r="N431" s="41"/>
      <c r="O431" s="41"/>
      <c r="P431" s="41"/>
      <c r="Q431" s="41"/>
      <c r="R431" s="40"/>
      <c r="S431" s="25">
        <f t="shared" si="18"/>
        <v>0</v>
      </c>
      <c r="T431" s="25">
        <f>COUNTIF($V$4:V431,V431)</f>
        <v>288</v>
      </c>
      <c r="U431" s="25" t="str">
        <f>IF(T431=1,COUNTIF($T$4:T431,1),"")</f>
        <v/>
      </c>
      <c r="V431" s="26" t="str">
        <f>'施設状況(要更新)'!$E431&amp;'施設状況(要更新)'!$C431</f>
        <v/>
      </c>
      <c r="W431" s="26">
        <f>'施設状況(要更新)'!$F431</f>
        <v>0</v>
      </c>
      <c r="X431" s="27"/>
      <c r="Y431" s="26"/>
    </row>
    <row r="432" spans="1:25">
      <c r="A432" s="18"/>
      <c r="B432" s="40"/>
      <c r="C432" s="40"/>
      <c r="D432" s="40"/>
      <c r="E432" s="40"/>
      <c r="F432" s="41"/>
      <c r="G432" s="41"/>
      <c r="H432" s="41"/>
      <c r="I432" s="41"/>
      <c r="J432" s="40"/>
      <c r="K432" s="41"/>
      <c r="L432" s="41"/>
      <c r="M432" s="41"/>
      <c r="N432" s="41"/>
      <c r="O432" s="41"/>
      <c r="P432" s="41"/>
      <c r="Q432" s="41"/>
      <c r="R432" s="40"/>
      <c r="S432" s="25">
        <f t="shared" si="18"/>
        <v>0</v>
      </c>
      <c r="T432" s="25">
        <f>COUNTIF($V$4:V432,V432)</f>
        <v>289</v>
      </c>
      <c r="U432" s="25" t="str">
        <f>IF(T432=1,COUNTIF($T$4:T432,1),"")</f>
        <v/>
      </c>
      <c r="V432" s="26" t="str">
        <f>'施設状況(要更新)'!$E432&amp;'施設状況(要更新)'!$C432</f>
        <v/>
      </c>
      <c r="W432" s="26">
        <f>'施設状況(要更新)'!$F432</f>
        <v>0</v>
      </c>
      <c r="X432" s="27"/>
      <c r="Y432" s="26"/>
    </row>
    <row r="433" spans="1:25">
      <c r="A433" s="18"/>
      <c r="B433" s="40"/>
      <c r="C433" s="40"/>
      <c r="D433" s="40"/>
      <c r="E433" s="40"/>
      <c r="F433" s="41"/>
      <c r="G433" s="41"/>
      <c r="H433" s="41"/>
      <c r="I433" s="41"/>
      <c r="J433" s="40"/>
      <c r="K433" s="41"/>
      <c r="L433" s="41"/>
      <c r="M433" s="41"/>
      <c r="N433" s="41"/>
      <c r="O433" s="41"/>
      <c r="P433" s="41"/>
      <c r="Q433" s="41"/>
      <c r="R433" s="40"/>
      <c r="S433" s="25">
        <f t="shared" si="18"/>
        <v>0</v>
      </c>
      <c r="T433" s="25">
        <f>COUNTIF($V$4:V433,V433)</f>
        <v>290</v>
      </c>
      <c r="U433" s="25" t="str">
        <f>IF(T433=1,COUNTIF($T$4:T433,1),"")</f>
        <v/>
      </c>
      <c r="V433" s="26" t="str">
        <f>'施設状況(要更新)'!$E433&amp;'施設状況(要更新)'!$C433</f>
        <v/>
      </c>
      <c r="W433" s="26">
        <f>'施設状況(要更新)'!$F433</f>
        <v>0</v>
      </c>
      <c r="X433" s="27"/>
      <c r="Y433" s="26"/>
    </row>
    <row r="434" spans="1:25">
      <c r="A434" s="18"/>
      <c r="B434" s="40"/>
      <c r="C434" s="40"/>
      <c r="D434" s="40"/>
      <c r="E434" s="40"/>
      <c r="F434" s="41"/>
      <c r="G434" s="41"/>
      <c r="H434" s="41"/>
      <c r="I434" s="41"/>
      <c r="J434" s="40"/>
      <c r="K434" s="41"/>
      <c r="L434" s="41"/>
      <c r="M434" s="41"/>
      <c r="N434" s="41"/>
      <c r="O434" s="41"/>
      <c r="P434" s="41"/>
      <c r="Q434" s="41"/>
      <c r="R434" s="40"/>
      <c r="S434" s="25">
        <f t="shared" si="18"/>
        <v>0</v>
      </c>
      <c r="T434" s="25">
        <f>COUNTIF($V$4:V434,V434)</f>
        <v>291</v>
      </c>
      <c r="U434" s="25" t="str">
        <f>IF(T434=1,COUNTIF($T$4:T434,1),"")</f>
        <v/>
      </c>
      <c r="V434" s="26" t="str">
        <f>'施設状況(要更新)'!$E434&amp;'施設状況(要更新)'!$C434</f>
        <v/>
      </c>
      <c r="W434" s="26">
        <f>'施設状況(要更新)'!$F434</f>
        <v>0</v>
      </c>
      <c r="X434" s="27"/>
      <c r="Y434" s="26"/>
    </row>
    <row r="435" spans="1:25">
      <c r="A435" s="18"/>
      <c r="B435" s="40"/>
      <c r="C435" s="40"/>
      <c r="D435" s="40"/>
      <c r="E435" s="40"/>
      <c r="F435" s="41"/>
      <c r="G435" s="41"/>
      <c r="H435" s="41"/>
      <c r="I435" s="41"/>
      <c r="J435" s="40"/>
      <c r="K435" s="41"/>
      <c r="L435" s="41"/>
      <c r="M435" s="41"/>
      <c r="N435" s="41"/>
      <c r="O435" s="41"/>
      <c r="P435" s="41"/>
      <c r="Q435" s="41"/>
      <c r="R435" s="40"/>
      <c r="S435" s="25">
        <f t="shared" si="18"/>
        <v>0</v>
      </c>
      <c r="T435" s="25">
        <f>COUNTIF($V$4:V435,V435)</f>
        <v>292</v>
      </c>
      <c r="U435" s="25" t="str">
        <f>IF(T435=1,COUNTIF($T$4:T435,1),"")</f>
        <v/>
      </c>
      <c r="V435" s="26" t="str">
        <f>'施設状況(要更新)'!$E435&amp;'施設状況(要更新)'!$C435</f>
        <v/>
      </c>
      <c r="W435" s="26">
        <f>'施設状況(要更新)'!$F435</f>
        <v>0</v>
      </c>
      <c r="X435" s="27"/>
      <c r="Y435" s="26"/>
    </row>
    <row r="436" spans="1:25">
      <c r="A436" s="18"/>
      <c r="B436" s="40"/>
      <c r="C436" s="40"/>
      <c r="D436" s="40"/>
      <c r="E436" s="40"/>
      <c r="F436" s="41"/>
      <c r="G436" s="41"/>
      <c r="H436" s="41"/>
      <c r="I436" s="41"/>
      <c r="J436" s="40"/>
      <c r="K436" s="41"/>
      <c r="L436" s="41"/>
      <c r="M436" s="41"/>
      <c r="N436" s="41"/>
      <c r="O436" s="41"/>
      <c r="P436" s="41"/>
      <c r="Q436" s="41"/>
      <c r="R436" s="40"/>
      <c r="S436" s="25">
        <f t="shared" si="18"/>
        <v>0</v>
      </c>
      <c r="T436" s="25">
        <f>COUNTIF($V$4:V436,V436)</f>
        <v>293</v>
      </c>
      <c r="U436" s="25" t="str">
        <f>IF(T436=1,COUNTIF($T$4:T436,1),"")</f>
        <v/>
      </c>
      <c r="V436" s="26" t="str">
        <f>'施設状況(要更新)'!$E436&amp;'施設状況(要更新)'!$C436</f>
        <v/>
      </c>
      <c r="W436" s="26">
        <f>'施設状況(要更新)'!$F436</f>
        <v>0</v>
      </c>
      <c r="X436" s="27"/>
      <c r="Y436" s="26"/>
    </row>
    <row r="437" spans="1:25">
      <c r="A437" s="18"/>
      <c r="B437" s="40"/>
      <c r="C437" s="40"/>
      <c r="D437" s="40"/>
      <c r="E437" s="40"/>
      <c r="F437" s="41"/>
      <c r="G437" s="41"/>
      <c r="H437" s="41"/>
      <c r="I437" s="41"/>
      <c r="J437" s="40"/>
      <c r="K437" s="41"/>
      <c r="L437" s="41"/>
      <c r="M437" s="41"/>
      <c r="N437" s="41"/>
      <c r="O437" s="41"/>
      <c r="P437" s="41"/>
      <c r="Q437" s="41"/>
      <c r="R437" s="40"/>
      <c r="S437" s="25">
        <f t="shared" si="18"/>
        <v>0</v>
      </c>
      <c r="T437" s="25">
        <f>COUNTIF($V$4:V437,V437)</f>
        <v>294</v>
      </c>
      <c r="U437" s="25" t="str">
        <f>IF(T437=1,COUNTIF($T$4:T437,1),"")</f>
        <v/>
      </c>
      <c r="V437" s="26" t="str">
        <f>'施設状況(要更新)'!$E437&amp;'施設状況(要更新)'!$C437</f>
        <v/>
      </c>
      <c r="W437" s="26">
        <f>'施設状況(要更新)'!$F437</f>
        <v>0</v>
      </c>
      <c r="X437" s="27"/>
      <c r="Y437" s="26"/>
    </row>
    <row r="438" spans="1:25">
      <c r="A438" s="18"/>
      <c r="B438" s="40"/>
      <c r="C438" s="40"/>
      <c r="D438" s="40"/>
      <c r="E438" s="40"/>
      <c r="F438" s="41"/>
      <c r="G438" s="41"/>
      <c r="H438" s="41"/>
      <c r="I438" s="41"/>
      <c r="J438" s="40"/>
      <c r="K438" s="41"/>
      <c r="L438" s="41"/>
      <c r="M438" s="41"/>
      <c r="N438" s="41"/>
      <c r="O438" s="41"/>
      <c r="P438" s="41"/>
      <c r="Q438" s="41"/>
      <c r="R438" s="40"/>
      <c r="S438" s="25">
        <f t="shared" si="18"/>
        <v>0</v>
      </c>
      <c r="T438" s="25">
        <f>COUNTIF($V$4:V438,V438)</f>
        <v>295</v>
      </c>
      <c r="U438" s="25" t="str">
        <f>IF(T438=1,COUNTIF($T$4:T438,1),"")</f>
        <v/>
      </c>
      <c r="V438" s="26" t="str">
        <f>'施設状況(要更新)'!$E438&amp;'施設状況(要更新)'!$C438</f>
        <v/>
      </c>
      <c r="W438" s="26">
        <f>'施設状況(要更新)'!$F438</f>
        <v>0</v>
      </c>
      <c r="X438" s="27"/>
      <c r="Y438" s="26"/>
    </row>
    <row r="439" spans="1:25">
      <c r="A439" s="18"/>
      <c r="B439" s="40"/>
      <c r="C439" s="40"/>
      <c r="D439" s="40"/>
      <c r="E439" s="40"/>
      <c r="F439" s="41"/>
      <c r="G439" s="41"/>
      <c r="H439" s="41"/>
      <c r="I439" s="41"/>
      <c r="J439" s="40"/>
      <c r="K439" s="41"/>
      <c r="L439" s="41"/>
      <c r="M439" s="41"/>
      <c r="N439" s="41"/>
      <c r="O439" s="41"/>
      <c r="P439" s="41"/>
      <c r="Q439" s="41"/>
      <c r="R439" s="40"/>
      <c r="S439" s="25">
        <f t="shared" si="18"/>
        <v>0</v>
      </c>
      <c r="T439" s="25">
        <f>COUNTIF($V$4:V439,V439)</f>
        <v>296</v>
      </c>
      <c r="U439" s="25" t="str">
        <f>IF(T439=1,COUNTIF($T$4:T439,1),"")</f>
        <v/>
      </c>
      <c r="V439" s="26" t="str">
        <f>'施設状況(要更新)'!$E439&amp;'施設状況(要更新)'!$C439</f>
        <v/>
      </c>
      <c r="W439" s="26">
        <f>'施設状況(要更新)'!$F439</f>
        <v>0</v>
      </c>
      <c r="X439" s="27"/>
      <c r="Y439" s="26"/>
    </row>
    <row r="440" spans="1:25">
      <c r="A440" s="18"/>
      <c r="B440" s="40"/>
      <c r="C440" s="40"/>
      <c r="D440" s="40"/>
      <c r="E440" s="40"/>
      <c r="F440" s="41"/>
      <c r="G440" s="41"/>
      <c r="H440" s="41"/>
      <c r="I440" s="41"/>
      <c r="J440" s="40"/>
      <c r="K440" s="41"/>
      <c r="L440" s="41"/>
      <c r="M440" s="41"/>
      <c r="N440" s="41"/>
      <c r="O440" s="41"/>
      <c r="P440" s="41"/>
      <c r="Q440" s="41"/>
      <c r="R440" s="40"/>
      <c r="S440" s="25">
        <f t="shared" si="18"/>
        <v>0</v>
      </c>
      <c r="T440" s="25">
        <f>COUNTIF($V$4:V440,V440)</f>
        <v>297</v>
      </c>
      <c r="U440" s="25" t="str">
        <f>IF(T440=1,COUNTIF($T$4:T440,1),"")</f>
        <v/>
      </c>
      <c r="V440" s="26" t="str">
        <f>'施設状況(要更新)'!$E440&amp;'施設状況(要更新)'!$C440</f>
        <v/>
      </c>
      <c r="W440" s="26">
        <f>'施設状況(要更新)'!$F440</f>
        <v>0</v>
      </c>
      <c r="X440" s="27"/>
      <c r="Y440" s="26"/>
    </row>
    <row r="441" spans="1:25">
      <c r="A441" s="18"/>
      <c r="B441" s="40"/>
      <c r="C441" s="40"/>
      <c r="D441" s="40"/>
      <c r="E441" s="40"/>
      <c r="F441" s="41"/>
      <c r="G441" s="41"/>
      <c r="H441" s="41"/>
      <c r="I441" s="41"/>
      <c r="J441" s="40"/>
      <c r="K441" s="41"/>
      <c r="L441" s="41"/>
      <c r="M441" s="41"/>
      <c r="N441" s="41"/>
      <c r="O441" s="41"/>
      <c r="P441" s="41"/>
      <c r="Q441" s="41"/>
      <c r="R441" s="40"/>
      <c r="S441" s="25">
        <f t="shared" si="18"/>
        <v>0</v>
      </c>
      <c r="T441" s="25">
        <f>COUNTIF($V$4:V441,V441)</f>
        <v>298</v>
      </c>
      <c r="U441" s="25" t="str">
        <f>IF(T441=1,COUNTIF($T$4:T441,1),"")</f>
        <v/>
      </c>
      <c r="V441" s="26" t="str">
        <f>'施設状況(要更新)'!$E441&amp;'施設状況(要更新)'!$C441</f>
        <v/>
      </c>
      <c r="W441" s="26">
        <f>'施設状況(要更新)'!$F441</f>
        <v>0</v>
      </c>
      <c r="X441" s="27"/>
      <c r="Y441" s="26"/>
    </row>
    <row r="442" spans="1:25">
      <c r="A442" s="18"/>
      <c r="B442" s="40"/>
      <c r="C442" s="40"/>
      <c r="D442" s="40"/>
      <c r="E442" s="40"/>
      <c r="F442" s="41"/>
      <c r="G442" s="41"/>
      <c r="H442" s="41"/>
      <c r="I442" s="41"/>
      <c r="J442" s="40"/>
      <c r="K442" s="41"/>
      <c r="L442" s="41"/>
      <c r="M442" s="41"/>
      <c r="N442" s="41"/>
      <c r="O442" s="41"/>
      <c r="P442" s="41"/>
      <c r="Q442" s="41"/>
      <c r="R442" s="40"/>
      <c r="S442" s="25">
        <f t="shared" si="18"/>
        <v>0</v>
      </c>
      <c r="T442" s="25">
        <f>COUNTIF($V$4:V442,V442)</f>
        <v>299</v>
      </c>
      <c r="U442" s="25" t="str">
        <f>IF(T442=1,COUNTIF($T$4:T442,1),"")</f>
        <v/>
      </c>
      <c r="V442" s="26" t="str">
        <f>'施設状況(要更新)'!$E442&amp;'施設状況(要更新)'!$C442</f>
        <v/>
      </c>
      <c r="W442" s="26">
        <f>'施設状況(要更新)'!$F442</f>
        <v>0</v>
      </c>
      <c r="X442" s="27"/>
      <c r="Y442" s="26"/>
    </row>
    <row r="443" spans="1:25">
      <c r="A443" s="18"/>
      <c r="B443" s="40"/>
      <c r="C443" s="40"/>
      <c r="D443" s="40"/>
      <c r="E443" s="40"/>
      <c r="F443" s="41"/>
      <c r="G443" s="41"/>
      <c r="H443" s="41"/>
      <c r="I443" s="41"/>
      <c r="J443" s="40"/>
      <c r="K443" s="41"/>
      <c r="L443" s="41"/>
      <c r="M443" s="41"/>
      <c r="N443" s="41"/>
      <c r="O443" s="41"/>
      <c r="P443" s="41"/>
      <c r="Q443" s="41"/>
      <c r="R443" s="40"/>
      <c r="S443" s="25">
        <f t="shared" si="18"/>
        <v>0</v>
      </c>
      <c r="T443" s="25">
        <f>COUNTIF($V$4:V443,V443)</f>
        <v>300</v>
      </c>
      <c r="U443" s="25" t="str">
        <f>IF(T443=1,COUNTIF($T$4:T443,1),"")</f>
        <v/>
      </c>
      <c r="V443" s="26" t="str">
        <f>'施設状況(要更新)'!$E443&amp;'施設状況(要更新)'!$C443</f>
        <v/>
      </c>
      <c r="W443" s="26">
        <f>'施設状況(要更新)'!$F443</f>
        <v>0</v>
      </c>
      <c r="X443" s="27"/>
      <c r="Y443" s="26"/>
    </row>
    <row r="444" spans="1:25">
      <c r="A444" s="18"/>
      <c r="B444" s="40"/>
      <c r="C444" s="40"/>
      <c r="D444" s="40"/>
      <c r="E444" s="40"/>
      <c r="F444" s="41"/>
      <c r="G444" s="41"/>
      <c r="H444" s="41"/>
      <c r="I444" s="41"/>
      <c r="J444" s="40"/>
      <c r="K444" s="41"/>
      <c r="L444" s="41"/>
      <c r="M444" s="41"/>
      <c r="N444" s="41"/>
      <c r="O444" s="41"/>
      <c r="P444" s="41"/>
      <c r="Q444" s="41"/>
      <c r="R444" s="40"/>
      <c r="S444" s="25">
        <f t="shared" si="18"/>
        <v>0</v>
      </c>
      <c r="T444" s="25">
        <f>COUNTIF($V$4:V444,V444)</f>
        <v>301</v>
      </c>
      <c r="U444" s="25" t="str">
        <f>IF(T444=1,COUNTIF($T$4:T444,1),"")</f>
        <v/>
      </c>
      <c r="V444" s="26" t="str">
        <f>'施設状況(要更新)'!$E444&amp;'施設状況(要更新)'!$C444</f>
        <v/>
      </c>
      <c r="W444" s="26">
        <f>'施設状況(要更新)'!$F444</f>
        <v>0</v>
      </c>
      <c r="X444" s="27"/>
      <c r="Y444" s="26"/>
    </row>
    <row r="445" spans="1:25" s="10" customFormat="1" ht="11.25">
      <c r="A445" s="18"/>
      <c r="B445" s="40"/>
      <c r="C445" s="40"/>
      <c r="D445" s="40"/>
      <c r="E445" s="40"/>
      <c r="F445" s="41"/>
      <c r="G445" s="41"/>
      <c r="H445" s="41"/>
      <c r="I445" s="41"/>
      <c r="J445" s="40"/>
      <c r="K445" s="41"/>
      <c r="L445" s="41"/>
      <c r="M445" s="41"/>
      <c r="N445" s="41"/>
      <c r="O445" s="41"/>
      <c r="P445" s="41"/>
      <c r="Q445" s="41"/>
      <c r="R445" s="40"/>
      <c r="S445" s="25">
        <f t="shared" si="18"/>
        <v>0</v>
      </c>
      <c r="T445" s="25">
        <f>COUNTIF($V$4:V445,V445)</f>
        <v>302</v>
      </c>
      <c r="U445" s="25" t="str">
        <f>IF(T445=1,COUNTIF($T$4:T445,1),"")</f>
        <v/>
      </c>
      <c r="V445" s="26" t="str">
        <f>'施設状況(要更新)'!$E445&amp;'施設状況(要更新)'!$C445</f>
        <v/>
      </c>
      <c r="W445" s="26">
        <f>'施設状況(要更新)'!$F445</f>
        <v>0</v>
      </c>
      <c r="X445" s="27"/>
      <c r="Y445" s="26"/>
    </row>
    <row r="446" spans="1:25" s="10" customFormat="1" ht="11.25">
      <c r="A446" s="18"/>
      <c r="B446" s="44"/>
      <c r="C446" s="40"/>
      <c r="D446" s="40"/>
      <c r="E446" s="40"/>
      <c r="F446" s="41"/>
      <c r="G446" s="41"/>
      <c r="H446" s="41"/>
      <c r="I446" s="41"/>
      <c r="J446" s="40"/>
      <c r="K446" s="41"/>
      <c r="L446" s="41"/>
      <c r="M446" s="41"/>
      <c r="N446" s="41"/>
      <c r="O446" s="41"/>
      <c r="P446" s="41"/>
      <c r="Q446" s="41"/>
      <c r="R446" s="40"/>
      <c r="S446" s="25">
        <f t="shared" si="18"/>
        <v>0</v>
      </c>
      <c r="T446" s="25">
        <f>COUNTIF($V$4:V446,V446)</f>
        <v>303</v>
      </c>
      <c r="U446" s="25" t="str">
        <f>IF(T446=1,COUNTIF($T$4:T446,1),"")</f>
        <v/>
      </c>
      <c r="V446" s="26" t="str">
        <f>'施設状況(要更新)'!$E446&amp;'施設状況(要更新)'!$C446</f>
        <v/>
      </c>
      <c r="W446" s="26">
        <f>'施設状況(要更新)'!$F446</f>
        <v>0</v>
      </c>
      <c r="X446" s="27"/>
      <c r="Y446" s="26"/>
    </row>
    <row r="447" spans="1:25" s="10" customFormat="1" ht="11.25">
      <c r="A447" s="18"/>
      <c r="B447" s="44"/>
      <c r="C447" s="40"/>
      <c r="D447" s="40"/>
      <c r="E447" s="40"/>
      <c r="F447" s="41"/>
      <c r="G447" s="41"/>
      <c r="H447" s="41"/>
      <c r="I447" s="41"/>
      <c r="J447" s="40"/>
      <c r="K447" s="41"/>
      <c r="L447" s="41"/>
      <c r="M447" s="41"/>
      <c r="N447" s="41"/>
      <c r="O447" s="41"/>
      <c r="P447" s="41"/>
      <c r="Q447" s="41"/>
      <c r="R447" s="40"/>
      <c r="S447" s="25">
        <f t="shared" si="18"/>
        <v>0</v>
      </c>
      <c r="T447" s="25">
        <f>COUNTIF($V$4:V447,V447)</f>
        <v>304</v>
      </c>
      <c r="U447" s="25" t="str">
        <f>IF(T447=1,COUNTIF($T$4:T447,1),"")</f>
        <v/>
      </c>
      <c r="V447" s="26" t="str">
        <f>'施設状況(要更新)'!$E447&amp;'施設状況(要更新)'!$C447</f>
        <v/>
      </c>
      <c r="W447" s="26">
        <f>'施設状況(要更新)'!$F447</f>
        <v>0</v>
      </c>
      <c r="X447" s="27"/>
      <c r="Y447" s="26"/>
    </row>
    <row r="448" spans="1:25" s="10" customFormat="1" ht="11.25">
      <c r="A448" s="18"/>
      <c r="B448" s="44"/>
      <c r="C448" s="40"/>
      <c r="D448" s="40"/>
      <c r="E448" s="40"/>
      <c r="F448" s="41"/>
      <c r="G448" s="41"/>
      <c r="H448" s="41"/>
      <c r="I448" s="41"/>
      <c r="J448" s="40"/>
      <c r="K448" s="41"/>
      <c r="L448" s="41"/>
      <c r="M448" s="41"/>
      <c r="N448" s="41"/>
      <c r="O448" s="41"/>
      <c r="P448" s="41"/>
      <c r="Q448" s="41"/>
      <c r="R448" s="40"/>
      <c r="S448" s="25">
        <f t="shared" si="18"/>
        <v>0</v>
      </c>
      <c r="T448" s="25">
        <f>COUNTIF($V$4:V448,V448)</f>
        <v>305</v>
      </c>
      <c r="U448" s="25" t="str">
        <f>IF(T448=1,COUNTIF($T$4:T448,1),"")</f>
        <v/>
      </c>
      <c r="V448" s="26" t="str">
        <f>'施設状況(要更新)'!$E448&amp;'施設状況(要更新)'!$C448</f>
        <v/>
      </c>
      <c r="W448" s="26">
        <f>'施設状況(要更新)'!$F448</f>
        <v>0</v>
      </c>
      <c r="X448" s="27"/>
      <c r="Y448" s="26"/>
    </row>
    <row r="449" spans="1:25" s="10" customFormat="1" ht="11.25">
      <c r="A449" s="18"/>
      <c r="B449" s="44"/>
      <c r="C449" s="40"/>
      <c r="D449" s="40"/>
      <c r="E449" s="40"/>
      <c r="F449" s="41"/>
      <c r="G449" s="41"/>
      <c r="H449" s="41"/>
      <c r="I449" s="41"/>
      <c r="J449" s="40"/>
      <c r="K449" s="41"/>
      <c r="L449" s="41"/>
      <c r="M449" s="41"/>
      <c r="N449" s="41"/>
      <c r="O449" s="41"/>
      <c r="P449" s="41"/>
      <c r="Q449" s="41"/>
      <c r="R449" s="40"/>
      <c r="S449" s="25">
        <f t="shared" si="18"/>
        <v>0</v>
      </c>
      <c r="T449" s="25">
        <f>COUNTIF($V$4:V449,V449)</f>
        <v>306</v>
      </c>
      <c r="U449" s="25" t="str">
        <f>IF(T449=1,COUNTIF($T$4:T449,1),"")</f>
        <v/>
      </c>
      <c r="V449" s="26" t="str">
        <f>'施設状況(要更新)'!$E449&amp;'施設状況(要更新)'!$C449</f>
        <v/>
      </c>
      <c r="W449" s="26">
        <f>'施設状況(要更新)'!$F449</f>
        <v>0</v>
      </c>
      <c r="X449" s="27"/>
      <c r="Y449" s="26"/>
    </row>
    <row r="450" spans="1:25" s="10" customFormat="1" ht="11.25">
      <c r="A450" s="18"/>
      <c r="B450" s="44"/>
      <c r="C450" s="40"/>
      <c r="D450" s="40"/>
      <c r="E450" s="40"/>
      <c r="F450" s="41"/>
      <c r="G450" s="41"/>
      <c r="H450" s="41"/>
      <c r="I450" s="41"/>
      <c r="J450" s="40"/>
      <c r="K450" s="41"/>
      <c r="L450" s="41"/>
      <c r="M450" s="41"/>
      <c r="N450" s="41"/>
      <c r="O450" s="41"/>
      <c r="P450" s="41"/>
      <c r="Q450" s="41"/>
      <c r="R450" s="40"/>
      <c r="S450" s="25">
        <f t="shared" si="18"/>
        <v>0</v>
      </c>
      <c r="T450" s="25">
        <f>COUNTIF($V$4:V450,V450)</f>
        <v>307</v>
      </c>
      <c r="U450" s="25" t="str">
        <f>IF(T450=1,COUNTIF($T$4:T450,1),"")</f>
        <v/>
      </c>
      <c r="V450" s="26" t="str">
        <f>'施設状況(要更新)'!$E450&amp;'施設状況(要更新)'!$C450</f>
        <v/>
      </c>
      <c r="W450" s="26">
        <f>'施設状況(要更新)'!$F450</f>
        <v>0</v>
      </c>
      <c r="X450" s="27"/>
      <c r="Y450" s="26"/>
    </row>
    <row r="451" spans="1:25" s="10" customFormat="1" ht="11.25">
      <c r="A451" s="18"/>
      <c r="B451" s="44"/>
      <c r="C451" s="40"/>
      <c r="D451" s="40"/>
      <c r="E451" s="40"/>
      <c r="F451" s="41"/>
      <c r="G451" s="41"/>
      <c r="H451" s="41"/>
      <c r="I451" s="41"/>
      <c r="J451" s="40"/>
      <c r="K451" s="41"/>
      <c r="L451" s="41"/>
      <c r="M451" s="41"/>
      <c r="N451" s="41"/>
      <c r="O451" s="41"/>
      <c r="P451" s="41"/>
      <c r="Q451" s="41"/>
      <c r="R451" s="40"/>
      <c r="S451" s="25">
        <f t="shared" si="18"/>
        <v>0</v>
      </c>
      <c r="T451" s="25">
        <f>COUNTIF($V$4:V451,V451)</f>
        <v>308</v>
      </c>
      <c r="U451" s="25" t="str">
        <f>IF(T451=1,COUNTIF($T$4:T451,1),"")</f>
        <v/>
      </c>
      <c r="V451" s="26" t="str">
        <f>'施設状況(要更新)'!$E451&amp;'施設状況(要更新)'!$C451</f>
        <v/>
      </c>
      <c r="W451" s="26">
        <f>'施設状況(要更新)'!$F451</f>
        <v>0</v>
      </c>
      <c r="X451" s="27"/>
      <c r="Y451" s="26"/>
    </row>
    <row r="452" spans="1:25" s="10" customFormat="1" ht="11.25">
      <c r="A452" s="18"/>
      <c r="B452" s="44"/>
      <c r="C452" s="40"/>
      <c r="D452" s="40"/>
      <c r="E452" s="40"/>
      <c r="F452" s="41"/>
      <c r="G452" s="41"/>
      <c r="H452" s="41"/>
      <c r="I452" s="41"/>
      <c r="J452" s="41"/>
      <c r="K452" s="41"/>
      <c r="L452" s="41"/>
      <c r="M452" s="41"/>
      <c r="N452" s="41"/>
      <c r="O452" s="41"/>
      <c r="P452" s="41"/>
      <c r="Q452" s="41"/>
      <c r="R452" s="40"/>
      <c r="S452" s="25">
        <f t="shared" si="18"/>
        <v>0</v>
      </c>
      <c r="T452" s="25">
        <f>COUNTIF($V$4:V452,V452)</f>
        <v>309</v>
      </c>
      <c r="U452" s="25" t="str">
        <f>IF(T452=1,COUNTIF($T$4:T452,1),"")</f>
        <v/>
      </c>
      <c r="V452" s="26" t="str">
        <f>'施設状況(要更新)'!$E452&amp;'施設状況(要更新)'!$C452</f>
        <v/>
      </c>
      <c r="W452" s="26">
        <f>'施設状況(要更新)'!$F452</f>
        <v>0</v>
      </c>
      <c r="X452" s="27"/>
      <c r="Y452" s="26"/>
    </row>
    <row r="453" spans="1:25" s="10" customFormat="1" ht="11.25">
      <c r="A453" s="18"/>
      <c r="B453" s="44"/>
      <c r="C453" s="40"/>
      <c r="D453" s="40"/>
      <c r="E453" s="40"/>
      <c r="F453" s="41"/>
      <c r="G453" s="41"/>
      <c r="H453" s="41"/>
      <c r="I453" s="41"/>
      <c r="J453" s="40"/>
      <c r="K453" s="41"/>
      <c r="L453" s="41"/>
      <c r="M453" s="41"/>
      <c r="N453" s="41"/>
      <c r="O453" s="41"/>
      <c r="P453" s="41"/>
      <c r="Q453" s="41"/>
      <c r="R453" s="40"/>
      <c r="S453" s="25">
        <f t="shared" ref="S453:S516" si="19">A453</f>
        <v>0</v>
      </c>
      <c r="T453" s="25">
        <f>COUNTIF($V$4:V453,V453)</f>
        <v>310</v>
      </c>
      <c r="U453" s="25" t="str">
        <f>IF(T453=1,COUNTIF($T$4:T453,1),"")</f>
        <v/>
      </c>
      <c r="V453" s="26" t="str">
        <f>'施設状況(要更新)'!$E453&amp;'施設状況(要更新)'!$C453</f>
        <v/>
      </c>
      <c r="W453" s="26">
        <f>'施設状況(要更新)'!$F453</f>
        <v>0</v>
      </c>
      <c r="X453" s="27"/>
      <c r="Y453" s="26"/>
    </row>
    <row r="454" spans="1:25" s="10" customFormat="1" ht="11.25">
      <c r="A454" s="18"/>
      <c r="B454" s="44"/>
      <c r="C454" s="40"/>
      <c r="D454" s="40"/>
      <c r="E454" s="40"/>
      <c r="F454" s="41"/>
      <c r="G454" s="41"/>
      <c r="H454" s="41"/>
      <c r="I454" s="41"/>
      <c r="J454" s="40"/>
      <c r="K454" s="41"/>
      <c r="L454" s="41"/>
      <c r="M454" s="41"/>
      <c r="N454" s="41"/>
      <c r="O454" s="41"/>
      <c r="P454" s="41"/>
      <c r="Q454" s="41"/>
      <c r="R454" s="40"/>
      <c r="S454" s="25">
        <f t="shared" si="19"/>
        <v>0</v>
      </c>
      <c r="T454" s="25">
        <f>COUNTIF($V$4:V454,V454)</f>
        <v>311</v>
      </c>
      <c r="U454" s="25" t="str">
        <f>IF(T454=1,COUNTIF($T$4:T454,1),"")</f>
        <v/>
      </c>
      <c r="V454" s="26" t="str">
        <f>'施設状況(要更新)'!$E454&amp;'施設状況(要更新)'!$C454</f>
        <v/>
      </c>
      <c r="W454" s="26">
        <f>'施設状況(要更新)'!$F454</f>
        <v>0</v>
      </c>
      <c r="X454" s="27"/>
      <c r="Y454" s="26"/>
    </row>
    <row r="455" spans="1:25" s="10" customFormat="1" ht="11.25">
      <c r="A455" s="18"/>
      <c r="B455" s="44"/>
      <c r="C455" s="40"/>
      <c r="D455" s="40"/>
      <c r="E455" s="40"/>
      <c r="F455" s="41"/>
      <c r="G455" s="41"/>
      <c r="H455" s="41"/>
      <c r="I455" s="41"/>
      <c r="J455" s="40"/>
      <c r="K455" s="41"/>
      <c r="L455" s="41"/>
      <c r="M455" s="41"/>
      <c r="N455" s="41"/>
      <c r="O455" s="41"/>
      <c r="P455" s="41"/>
      <c r="Q455" s="41"/>
      <c r="R455" s="40"/>
      <c r="S455" s="25">
        <f t="shared" si="19"/>
        <v>0</v>
      </c>
      <c r="T455" s="25">
        <f>COUNTIF($V$4:V455,V455)</f>
        <v>312</v>
      </c>
      <c r="U455" s="25" t="str">
        <f>IF(T455=1,COUNTIF($T$4:T455,1),"")</f>
        <v/>
      </c>
      <c r="V455" s="26" t="str">
        <f>'施設状況(要更新)'!$E455&amp;'施設状況(要更新)'!$C455</f>
        <v/>
      </c>
      <c r="W455" s="26">
        <f>'施設状況(要更新)'!$F455</f>
        <v>0</v>
      </c>
      <c r="X455" s="27"/>
      <c r="Y455" s="26"/>
    </row>
    <row r="456" spans="1:25" s="10" customFormat="1" ht="11.25">
      <c r="A456" s="18"/>
      <c r="B456" s="44"/>
      <c r="C456" s="45"/>
      <c r="D456" s="46"/>
      <c r="E456" s="40"/>
      <c r="F456" s="41"/>
      <c r="G456" s="41"/>
      <c r="H456" s="41"/>
      <c r="I456" s="41"/>
      <c r="J456" s="40"/>
      <c r="K456" s="41"/>
      <c r="L456" s="41"/>
      <c r="M456" s="41"/>
      <c r="N456" s="41"/>
      <c r="O456" s="41"/>
      <c r="P456" s="41"/>
      <c r="Q456" s="41"/>
      <c r="R456" s="40"/>
      <c r="S456" s="25">
        <f t="shared" si="19"/>
        <v>0</v>
      </c>
      <c r="T456" s="25">
        <f>COUNTIF($V$4:V456,V456)</f>
        <v>313</v>
      </c>
      <c r="U456" s="25" t="str">
        <f>IF(T456=1,COUNTIF($T$4:T456,1),"")</f>
        <v/>
      </c>
      <c r="V456" s="26" t="str">
        <f>'施設状況(要更新)'!$E456&amp;'施設状況(要更新)'!$C456</f>
        <v/>
      </c>
      <c r="W456" s="26">
        <f>'施設状況(要更新)'!$F456</f>
        <v>0</v>
      </c>
      <c r="X456" s="27"/>
      <c r="Y456" s="26"/>
    </row>
    <row r="457" spans="1:25" s="10" customFormat="1" ht="11.25">
      <c r="A457" s="18"/>
      <c r="B457" s="44"/>
      <c r="C457" s="40"/>
      <c r="D457" s="40"/>
      <c r="E457" s="40"/>
      <c r="F457" s="41"/>
      <c r="G457" s="41"/>
      <c r="H457" s="41"/>
      <c r="I457" s="41"/>
      <c r="J457" s="40"/>
      <c r="K457" s="41"/>
      <c r="L457" s="41"/>
      <c r="M457" s="41"/>
      <c r="N457" s="41"/>
      <c r="O457" s="41"/>
      <c r="P457" s="41"/>
      <c r="Q457" s="41"/>
      <c r="R457" s="40"/>
      <c r="S457" s="25">
        <f t="shared" si="19"/>
        <v>0</v>
      </c>
      <c r="T457" s="25">
        <f>COUNTIF($V$4:V457,V457)</f>
        <v>314</v>
      </c>
      <c r="U457" s="25" t="str">
        <f>IF(T457=1,COUNTIF($T$4:T457,1),"")</f>
        <v/>
      </c>
      <c r="V457" s="26" t="str">
        <f>'施設状況(要更新)'!$E457&amp;'施設状況(要更新)'!$C457</f>
        <v/>
      </c>
      <c r="W457" s="26">
        <f>'施設状況(要更新)'!$F457</f>
        <v>0</v>
      </c>
      <c r="X457" s="27"/>
      <c r="Y457" s="26"/>
    </row>
    <row r="458" spans="1:25" s="10" customFormat="1" ht="11.25">
      <c r="A458" s="18"/>
      <c r="B458" s="44"/>
      <c r="C458" s="40"/>
      <c r="D458" s="40"/>
      <c r="E458" s="40"/>
      <c r="F458" s="41"/>
      <c r="G458" s="41"/>
      <c r="H458" s="41"/>
      <c r="I458" s="41"/>
      <c r="J458" s="40"/>
      <c r="K458" s="41"/>
      <c r="L458" s="41"/>
      <c r="M458" s="41"/>
      <c r="N458" s="41"/>
      <c r="O458" s="41"/>
      <c r="P458" s="41"/>
      <c r="Q458" s="41"/>
      <c r="R458" s="40"/>
      <c r="S458" s="25">
        <f t="shared" si="19"/>
        <v>0</v>
      </c>
      <c r="T458" s="25">
        <f>COUNTIF($V$4:V458,V458)</f>
        <v>315</v>
      </c>
      <c r="U458" s="25" t="str">
        <f>IF(T458=1,COUNTIF($T$4:T458,1),"")</f>
        <v/>
      </c>
      <c r="V458" s="26" t="str">
        <f>'施設状況(要更新)'!$E458&amp;'施設状況(要更新)'!$C458</f>
        <v/>
      </c>
      <c r="W458" s="26">
        <f>'施設状況(要更新)'!$F458</f>
        <v>0</v>
      </c>
      <c r="X458" s="27"/>
      <c r="Y458" s="26"/>
    </row>
    <row r="459" spans="1:25" s="10" customFormat="1" ht="11.25">
      <c r="A459" s="18"/>
      <c r="B459" s="44"/>
      <c r="C459" s="40"/>
      <c r="D459" s="40"/>
      <c r="E459" s="40"/>
      <c r="F459" s="41"/>
      <c r="G459" s="41"/>
      <c r="H459" s="41"/>
      <c r="I459" s="41"/>
      <c r="J459" s="40"/>
      <c r="K459" s="41"/>
      <c r="L459" s="41"/>
      <c r="M459" s="41"/>
      <c r="N459" s="41"/>
      <c r="O459" s="41"/>
      <c r="P459" s="41"/>
      <c r="Q459" s="41"/>
      <c r="R459" s="40"/>
      <c r="S459" s="25">
        <f t="shared" si="19"/>
        <v>0</v>
      </c>
      <c r="T459" s="25">
        <f>COUNTIF($V$4:V459,V459)</f>
        <v>316</v>
      </c>
      <c r="U459" s="25" t="str">
        <f>IF(T459=1,COUNTIF($T$4:T459,1),"")</f>
        <v/>
      </c>
      <c r="V459" s="26" t="str">
        <f>'施設状況(要更新)'!$E459&amp;'施設状況(要更新)'!$C459</f>
        <v/>
      </c>
      <c r="W459" s="26">
        <f>'施設状況(要更新)'!$F459</f>
        <v>0</v>
      </c>
      <c r="X459" s="27"/>
      <c r="Y459" s="26"/>
    </row>
    <row r="460" spans="1:25" s="10" customFormat="1" ht="11.25">
      <c r="A460" s="18"/>
      <c r="B460" s="44"/>
      <c r="C460" s="40"/>
      <c r="D460" s="40"/>
      <c r="E460" s="40"/>
      <c r="F460" s="41"/>
      <c r="G460" s="41"/>
      <c r="H460" s="41"/>
      <c r="I460" s="41"/>
      <c r="J460" s="40"/>
      <c r="K460" s="41"/>
      <c r="L460" s="41"/>
      <c r="M460" s="41"/>
      <c r="N460" s="41"/>
      <c r="O460" s="41"/>
      <c r="P460" s="41"/>
      <c r="Q460" s="41"/>
      <c r="R460" s="40"/>
      <c r="S460" s="25">
        <f t="shared" si="19"/>
        <v>0</v>
      </c>
      <c r="T460" s="25">
        <f>COUNTIF($V$4:V460,V460)</f>
        <v>317</v>
      </c>
      <c r="U460" s="25" t="str">
        <f>IF(T460=1,COUNTIF($T$4:T460,1),"")</f>
        <v/>
      </c>
      <c r="V460" s="26" t="str">
        <f>'施設状況(要更新)'!$E460&amp;'施設状況(要更新)'!$C460</f>
        <v/>
      </c>
      <c r="W460" s="26">
        <f>'施設状況(要更新)'!$F460</f>
        <v>0</v>
      </c>
      <c r="X460" s="27"/>
      <c r="Y460" s="26"/>
    </row>
    <row r="461" spans="1:25" s="10" customFormat="1" ht="11.25">
      <c r="A461" s="18"/>
      <c r="B461" s="44"/>
      <c r="C461" s="40"/>
      <c r="D461" s="40"/>
      <c r="E461" s="40"/>
      <c r="F461" s="41"/>
      <c r="G461" s="41"/>
      <c r="H461" s="41"/>
      <c r="I461" s="41"/>
      <c r="J461" s="40"/>
      <c r="K461" s="41"/>
      <c r="L461" s="41"/>
      <c r="M461" s="41"/>
      <c r="N461" s="41"/>
      <c r="O461" s="41"/>
      <c r="P461" s="41"/>
      <c r="Q461" s="41"/>
      <c r="R461" s="40"/>
      <c r="S461" s="25">
        <f t="shared" si="19"/>
        <v>0</v>
      </c>
      <c r="T461" s="25">
        <f>COUNTIF($V$4:V461,V461)</f>
        <v>318</v>
      </c>
      <c r="U461" s="25" t="str">
        <f>IF(T461=1,COUNTIF($T$4:T461,1),"")</f>
        <v/>
      </c>
      <c r="V461" s="26" t="str">
        <f>'施設状況(要更新)'!$E461&amp;'施設状況(要更新)'!$C461</f>
        <v/>
      </c>
      <c r="W461" s="26">
        <f>'施設状況(要更新)'!$F461</f>
        <v>0</v>
      </c>
      <c r="X461" s="27"/>
      <c r="Y461" s="26"/>
    </row>
    <row r="462" spans="1:25" s="10" customFormat="1" ht="11.25">
      <c r="A462" s="18"/>
      <c r="B462" s="44"/>
      <c r="C462" s="40"/>
      <c r="D462" s="40"/>
      <c r="E462" s="40"/>
      <c r="F462" s="41"/>
      <c r="G462" s="41"/>
      <c r="H462" s="41"/>
      <c r="I462" s="41"/>
      <c r="J462" s="40"/>
      <c r="K462" s="41"/>
      <c r="L462" s="41"/>
      <c r="M462" s="41"/>
      <c r="N462" s="41"/>
      <c r="O462" s="41"/>
      <c r="P462" s="41"/>
      <c r="Q462" s="41"/>
      <c r="R462" s="40"/>
      <c r="S462" s="25">
        <f t="shared" si="19"/>
        <v>0</v>
      </c>
      <c r="T462" s="25">
        <f>COUNTIF($V$4:V462,V462)</f>
        <v>319</v>
      </c>
      <c r="U462" s="25" t="str">
        <f>IF(T462=1,COUNTIF($T$4:T462,1),"")</f>
        <v/>
      </c>
      <c r="V462" s="26" t="str">
        <f>'施設状況(要更新)'!$E462&amp;'施設状況(要更新)'!$C462</f>
        <v/>
      </c>
      <c r="W462" s="26">
        <f>'施設状況(要更新)'!$F462</f>
        <v>0</v>
      </c>
      <c r="X462" s="27"/>
      <c r="Y462" s="26"/>
    </row>
    <row r="463" spans="1:25" s="10" customFormat="1" ht="11.25">
      <c r="A463" s="18"/>
      <c r="B463" s="44"/>
      <c r="C463" s="47"/>
      <c r="D463" s="40"/>
      <c r="E463" s="40"/>
      <c r="F463" s="41"/>
      <c r="G463" s="48"/>
      <c r="H463" s="48"/>
      <c r="I463" s="48"/>
      <c r="J463" s="40"/>
      <c r="K463" s="41"/>
      <c r="L463" s="41"/>
      <c r="M463" s="41"/>
      <c r="N463" s="41"/>
      <c r="O463" s="41"/>
      <c r="P463" s="41"/>
      <c r="Q463" s="41"/>
      <c r="R463" s="40"/>
      <c r="S463" s="25">
        <f t="shared" si="19"/>
        <v>0</v>
      </c>
      <c r="T463" s="25">
        <f>COUNTIF($V$4:V463,V463)</f>
        <v>320</v>
      </c>
      <c r="U463" s="25" t="str">
        <f>IF(T463=1,COUNTIF($T$4:T463,1),"")</f>
        <v/>
      </c>
      <c r="V463" s="26" t="str">
        <f>'施設状況(要更新)'!$E463&amp;'施設状況(要更新)'!$C463</f>
        <v/>
      </c>
      <c r="W463" s="26">
        <f>'施設状況(要更新)'!$F463</f>
        <v>0</v>
      </c>
      <c r="X463" s="27"/>
      <c r="Y463" s="26"/>
    </row>
    <row r="464" spans="1:25" s="10" customFormat="1" ht="11.25">
      <c r="A464" s="18"/>
      <c r="B464" s="44"/>
      <c r="C464" s="40"/>
      <c r="D464" s="40"/>
      <c r="E464" s="40"/>
      <c r="F464" s="41"/>
      <c r="G464" s="41"/>
      <c r="H464" s="41"/>
      <c r="I464" s="41"/>
      <c r="J464" s="40"/>
      <c r="K464" s="41"/>
      <c r="L464" s="41"/>
      <c r="M464" s="41"/>
      <c r="N464" s="41"/>
      <c r="O464" s="41"/>
      <c r="P464" s="41"/>
      <c r="Q464" s="41"/>
      <c r="R464" s="40"/>
      <c r="S464" s="25">
        <f t="shared" si="19"/>
        <v>0</v>
      </c>
      <c r="T464" s="25">
        <f>COUNTIF($V$4:V464,V464)</f>
        <v>321</v>
      </c>
      <c r="U464" s="25" t="str">
        <f>IF(T464=1,COUNTIF($T$4:T464,1),"")</f>
        <v/>
      </c>
      <c r="V464" s="26" t="str">
        <f>'施設状況(要更新)'!$E464&amp;'施設状況(要更新)'!$C464</f>
        <v/>
      </c>
      <c r="W464" s="26">
        <f>'施設状況(要更新)'!$F464</f>
        <v>0</v>
      </c>
      <c r="X464" s="27"/>
      <c r="Y464" s="26"/>
    </row>
    <row r="465" spans="1:25" s="10" customFormat="1" ht="11.25">
      <c r="A465" s="18"/>
      <c r="B465" s="44"/>
      <c r="C465" s="40"/>
      <c r="D465" s="40"/>
      <c r="E465" s="40"/>
      <c r="F465" s="41"/>
      <c r="G465" s="41"/>
      <c r="H465" s="41"/>
      <c r="I465" s="41"/>
      <c r="J465" s="41"/>
      <c r="K465" s="41"/>
      <c r="L465" s="41"/>
      <c r="M465" s="41"/>
      <c r="N465" s="41"/>
      <c r="O465" s="41"/>
      <c r="P465" s="41"/>
      <c r="Q465" s="41"/>
      <c r="R465" s="40"/>
      <c r="S465" s="25">
        <f t="shared" si="19"/>
        <v>0</v>
      </c>
      <c r="T465" s="25">
        <f>COUNTIF($V$4:V465,V465)</f>
        <v>322</v>
      </c>
      <c r="U465" s="25" t="str">
        <f>IF(T465=1,COUNTIF($T$4:T465,1),"")</f>
        <v/>
      </c>
      <c r="V465" s="26" t="str">
        <f>'施設状況(要更新)'!$E465&amp;'施設状況(要更新)'!$C465</f>
        <v/>
      </c>
      <c r="W465" s="26">
        <f>'施設状況(要更新)'!$F465</f>
        <v>0</v>
      </c>
      <c r="X465" s="27"/>
      <c r="Y465" s="26"/>
    </row>
    <row r="466" spans="1:25" s="10" customFormat="1" ht="11.25">
      <c r="A466" s="18"/>
      <c r="B466" s="44"/>
      <c r="C466" s="40"/>
      <c r="D466" s="40"/>
      <c r="E466" s="40"/>
      <c r="F466" s="41"/>
      <c r="G466" s="41"/>
      <c r="H466" s="41"/>
      <c r="I466" s="41"/>
      <c r="J466" s="41"/>
      <c r="K466" s="41"/>
      <c r="L466" s="41"/>
      <c r="M466" s="41"/>
      <c r="N466" s="41"/>
      <c r="O466" s="41"/>
      <c r="P466" s="41"/>
      <c r="Q466" s="41"/>
      <c r="R466" s="40"/>
      <c r="S466" s="25">
        <f t="shared" si="19"/>
        <v>0</v>
      </c>
      <c r="T466" s="25">
        <f>COUNTIF($V$4:V466,V466)</f>
        <v>323</v>
      </c>
      <c r="U466" s="25" t="str">
        <f>IF(T466=1,COUNTIF($T$4:T466,1),"")</f>
        <v/>
      </c>
      <c r="V466" s="26" t="str">
        <f>'施設状況(要更新)'!$E466&amp;'施設状況(要更新)'!$C466</f>
        <v/>
      </c>
      <c r="W466" s="26">
        <f>'施設状況(要更新)'!$F466</f>
        <v>0</v>
      </c>
      <c r="X466" s="27"/>
      <c r="Y466" s="26"/>
    </row>
    <row r="467" spans="1:25" s="10" customFormat="1" ht="11.25">
      <c r="A467" s="18"/>
      <c r="B467" s="44"/>
      <c r="C467" s="40"/>
      <c r="D467" s="40"/>
      <c r="E467" s="40"/>
      <c r="F467" s="41"/>
      <c r="G467" s="41"/>
      <c r="H467" s="41"/>
      <c r="I467" s="41"/>
      <c r="J467" s="41"/>
      <c r="K467" s="41"/>
      <c r="L467" s="41"/>
      <c r="M467" s="41"/>
      <c r="N467" s="41"/>
      <c r="O467" s="41"/>
      <c r="P467" s="41"/>
      <c r="Q467" s="41"/>
      <c r="R467" s="40"/>
      <c r="S467" s="25">
        <f t="shared" si="19"/>
        <v>0</v>
      </c>
      <c r="T467" s="25">
        <f>COUNTIF($V$4:V467,V467)</f>
        <v>324</v>
      </c>
      <c r="U467" s="25" t="str">
        <f>IF(T467=1,COUNTIF($T$4:T467,1),"")</f>
        <v/>
      </c>
      <c r="V467" s="26" t="str">
        <f>'施設状況(要更新)'!$E467&amp;'施設状況(要更新)'!$C467</f>
        <v/>
      </c>
      <c r="W467" s="26">
        <f>'施設状況(要更新)'!$F467</f>
        <v>0</v>
      </c>
      <c r="X467" s="27"/>
      <c r="Y467" s="26"/>
    </row>
    <row r="468" spans="1:25" s="10" customFormat="1" ht="11.25">
      <c r="A468" s="18"/>
      <c r="B468" s="44"/>
      <c r="C468" s="40"/>
      <c r="D468" s="40"/>
      <c r="E468" s="40"/>
      <c r="F468" s="41"/>
      <c r="G468" s="41"/>
      <c r="H468" s="41"/>
      <c r="I468" s="41"/>
      <c r="J468" s="41"/>
      <c r="K468" s="41"/>
      <c r="L468" s="41"/>
      <c r="M468" s="41"/>
      <c r="N468" s="41"/>
      <c r="O468" s="41"/>
      <c r="P468" s="41"/>
      <c r="Q468" s="41"/>
      <c r="R468" s="40"/>
      <c r="S468" s="25">
        <f t="shared" si="19"/>
        <v>0</v>
      </c>
      <c r="T468" s="25">
        <f>COUNTIF($V$4:V468,V468)</f>
        <v>325</v>
      </c>
      <c r="U468" s="25" t="str">
        <f>IF(T468=1,COUNTIF($T$4:T468,1),"")</f>
        <v/>
      </c>
      <c r="V468" s="26" t="str">
        <f>'施設状況(要更新)'!$E468&amp;'施設状況(要更新)'!$C468</f>
        <v/>
      </c>
      <c r="W468" s="26">
        <f>'施設状況(要更新)'!$F468</f>
        <v>0</v>
      </c>
      <c r="X468" s="27"/>
      <c r="Y468" s="26"/>
    </row>
    <row r="469" spans="1:25" s="10" customFormat="1" ht="11.25">
      <c r="A469" s="18"/>
      <c r="B469" s="44"/>
      <c r="C469" s="40"/>
      <c r="D469" s="40"/>
      <c r="E469" s="40"/>
      <c r="F469" s="41"/>
      <c r="G469" s="41"/>
      <c r="H469" s="41"/>
      <c r="I469" s="41"/>
      <c r="J469" s="41"/>
      <c r="K469" s="41"/>
      <c r="L469" s="41"/>
      <c r="M469" s="41"/>
      <c r="N469" s="41"/>
      <c r="O469" s="41"/>
      <c r="P469" s="41"/>
      <c r="Q469" s="41"/>
      <c r="R469" s="40"/>
      <c r="S469" s="25">
        <f t="shared" si="19"/>
        <v>0</v>
      </c>
      <c r="T469" s="25">
        <f>COUNTIF($V$4:V469,V469)</f>
        <v>326</v>
      </c>
      <c r="U469" s="25" t="str">
        <f>IF(T469=1,COUNTIF($T$4:T469,1),"")</f>
        <v/>
      </c>
      <c r="V469" s="26" t="str">
        <f>'施設状況(要更新)'!$E469&amp;'施設状況(要更新)'!$C469</f>
        <v/>
      </c>
      <c r="W469" s="26">
        <f>'施設状況(要更新)'!$F469</f>
        <v>0</v>
      </c>
      <c r="X469" s="27"/>
      <c r="Y469" s="26"/>
    </row>
    <row r="470" spans="1:25" s="10" customFormat="1" ht="11.25">
      <c r="A470" s="18"/>
      <c r="B470" s="44"/>
      <c r="C470" s="40"/>
      <c r="D470" s="40"/>
      <c r="E470" s="40"/>
      <c r="F470" s="41"/>
      <c r="G470" s="41"/>
      <c r="H470" s="41"/>
      <c r="I470" s="41"/>
      <c r="J470" s="41"/>
      <c r="K470" s="41"/>
      <c r="L470" s="41"/>
      <c r="M470" s="41"/>
      <c r="N470" s="41"/>
      <c r="O470" s="41"/>
      <c r="P470" s="41"/>
      <c r="Q470" s="41"/>
      <c r="R470" s="40"/>
      <c r="S470" s="25">
        <f t="shared" si="19"/>
        <v>0</v>
      </c>
      <c r="T470" s="25">
        <f>COUNTIF($V$4:V470,V470)</f>
        <v>327</v>
      </c>
      <c r="U470" s="25" t="str">
        <f>IF(T470=1,COUNTIF($T$4:T470,1),"")</f>
        <v/>
      </c>
      <c r="V470" s="26" t="str">
        <f>'施設状況(要更新)'!$E470&amp;'施設状況(要更新)'!$C470</f>
        <v/>
      </c>
      <c r="W470" s="26">
        <f>'施設状況(要更新)'!$F470</f>
        <v>0</v>
      </c>
      <c r="X470" s="27"/>
      <c r="Y470" s="26"/>
    </row>
    <row r="471" spans="1:25" s="10" customFormat="1" ht="11.25">
      <c r="A471" s="18"/>
      <c r="B471" s="44"/>
      <c r="C471" s="40"/>
      <c r="D471" s="40"/>
      <c r="E471" s="40"/>
      <c r="F471" s="41"/>
      <c r="G471" s="41"/>
      <c r="H471" s="41"/>
      <c r="I471" s="41"/>
      <c r="J471" s="41"/>
      <c r="K471" s="41"/>
      <c r="L471" s="41"/>
      <c r="M471" s="41"/>
      <c r="N471" s="41"/>
      <c r="O471" s="41"/>
      <c r="P471" s="41"/>
      <c r="Q471" s="41"/>
      <c r="R471" s="40"/>
      <c r="S471" s="25">
        <f t="shared" si="19"/>
        <v>0</v>
      </c>
      <c r="T471" s="25">
        <f>COUNTIF($V$4:V471,V471)</f>
        <v>328</v>
      </c>
      <c r="U471" s="25" t="str">
        <f>IF(T471=1,COUNTIF($T$4:T471,1),"")</f>
        <v/>
      </c>
      <c r="V471" s="26" t="str">
        <f>'施設状況(要更新)'!$E471&amp;'施設状況(要更新)'!$C471</f>
        <v/>
      </c>
      <c r="W471" s="26">
        <f>'施設状況(要更新)'!$F471</f>
        <v>0</v>
      </c>
      <c r="X471" s="27"/>
      <c r="Y471" s="26"/>
    </row>
    <row r="472" spans="1:25" s="10" customFormat="1" ht="11.25">
      <c r="A472" s="18"/>
      <c r="B472" s="44"/>
      <c r="C472" s="40"/>
      <c r="D472" s="40"/>
      <c r="E472" s="40"/>
      <c r="F472" s="41"/>
      <c r="G472" s="41"/>
      <c r="H472" s="41"/>
      <c r="I472" s="41"/>
      <c r="J472" s="41"/>
      <c r="K472" s="41"/>
      <c r="L472" s="41"/>
      <c r="M472" s="41"/>
      <c r="N472" s="41"/>
      <c r="O472" s="41"/>
      <c r="P472" s="41"/>
      <c r="Q472" s="41"/>
      <c r="R472" s="40"/>
      <c r="S472" s="25">
        <f t="shared" si="19"/>
        <v>0</v>
      </c>
      <c r="T472" s="25">
        <f>COUNTIF($V$4:V472,V472)</f>
        <v>329</v>
      </c>
      <c r="U472" s="25" t="str">
        <f>IF(T472=1,COUNTIF($T$4:T472,1),"")</f>
        <v/>
      </c>
      <c r="V472" s="26" t="str">
        <f>'施設状況(要更新)'!$E472&amp;'施設状況(要更新)'!$C472</f>
        <v/>
      </c>
      <c r="W472" s="26">
        <f>'施設状況(要更新)'!$F472</f>
        <v>0</v>
      </c>
      <c r="X472" s="27"/>
      <c r="Y472" s="26"/>
    </row>
    <row r="473" spans="1:25" s="10" customFormat="1" ht="11.25">
      <c r="A473" s="18"/>
      <c r="B473" s="44"/>
      <c r="C473" s="40"/>
      <c r="D473" s="40"/>
      <c r="E473" s="40"/>
      <c r="F473" s="41"/>
      <c r="G473" s="41"/>
      <c r="H473" s="41"/>
      <c r="I473" s="41"/>
      <c r="J473" s="41"/>
      <c r="K473" s="41"/>
      <c r="L473" s="41"/>
      <c r="M473" s="41"/>
      <c r="N473" s="41"/>
      <c r="O473" s="41"/>
      <c r="P473" s="41"/>
      <c r="Q473" s="41"/>
      <c r="R473" s="40"/>
      <c r="S473" s="25">
        <f t="shared" si="19"/>
        <v>0</v>
      </c>
      <c r="T473" s="25">
        <f>COUNTIF($V$4:V473,V473)</f>
        <v>330</v>
      </c>
      <c r="U473" s="25" t="str">
        <f>IF(T473=1,COUNTIF($T$4:T473,1),"")</f>
        <v/>
      </c>
      <c r="V473" s="26" t="str">
        <f>'施設状況(要更新)'!$E473&amp;'施設状況(要更新)'!$C473</f>
        <v/>
      </c>
      <c r="W473" s="26">
        <f>'施設状況(要更新)'!$F473</f>
        <v>0</v>
      </c>
      <c r="X473" s="27"/>
      <c r="Y473" s="26"/>
    </row>
    <row r="474" spans="1:25" s="10" customFormat="1" ht="11.25">
      <c r="A474" s="18"/>
      <c r="B474" s="44"/>
      <c r="C474" s="40"/>
      <c r="D474" s="40"/>
      <c r="E474" s="40"/>
      <c r="F474" s="41"/>
      <c r="G474" s="41"/>
      <c r="H474" s="41"/>
      <c r="I474" s="41"/>
      <c r="J474" s="41"/>
      <c r="K474" s="41"/>
      <c r="L474" s="41"/>
      <c r="M474" s="41"/>
      <c r="N474" s="41"/>
      <c r="O474" s="41"/>
      <c r="P474" s="41"/>
      <c r="Q474" s="41"/>
      <c r="R474" s="40"/>
      <c r="S474" s="25">
        <f t="shared" si="19"/>
        <v>0</v>
      </c>
      <c r="T474" s="25">
        <f>COUNTIF($V$4:V474,V474)</f>
        <v>331</v>
      </c>
      <c r="U474" s="25" t="str">
        <f>IF(T474=1,COUNTIF($T$4:T474,1),"")</f>
        <v/>
      </c>
      <c r="V474" s="26" t="str">
        <f>'施設状況(要更新)'!$E474&amp;'施設状況(要更新)'!$C474</f>
        <v/>
      </c>
      <c r="W474" s="26">
        <f>'施設状況(要更新)'!$F474</f>
        <v>0</v>
      </c>
      <c r="X474" s="27"/>
      <c r="Y474" s="26"/>
    </row>
    <row r="475" spans="1:25" s="10" customFormat="1" ht="11.25">
      <c r="A475" s="18"/>
      <c r="B475" s="44"/>
      <c r="C475" s="40"/>
      <c r="D475" s="40"/>
      <c r="E475" s="40"/>
      <c r="F475" s="41"/>
      <c r="G475" s="41"/>
      <c r="H475" s="41"/>
      <c r="I475" s="41"/>
      <c r="J475" s="41"/>
      <c r="K475" s="41"/>
      <c r="L475" s="41"/>
      <c r="M475" s="41"/>
      <c r="N475" s="41"/>
      <c r="O475" s="41"/>
      <c r="P475" s="41"/>
      <c r="Q475" s="41"/>
      <c r="R475" s="40"/>
      <c r="S475" s="25">
        <f t="shared" si="19"/>
        <v>0</v>
      </c>
      <c r="T475" s="25">
        <f>COUNTIF($V$4:V475,V475)</f>
        <v>332</v>
      </c>
      <c r="U475" s="25" t="str">
        <f>IF(T475=1,COUNTIF($T$4:T475,1),"")</f>
        <v/>
      </c>
      <c r="V475" s="26" t="str">
        <f>'施設状況(要更新)'!$E475&amp;'施設状況(要更新)'!$C475</f>
        <v/>
      </c>
      <c r="W475" s="26">
        <f>'施設状況(要更新)'!$F475</f>
        <v>0</v>
      </c>
      <c r="X475" s="27"/>
      <c r="Y475" s="26"/>
    </row>
    <row r="476" spans="1:25" s="10" customFormat="1" ht="11.25">
      <c r="A476" s="18"/>
      <c r="B476" s="44"/>
      <c r="C476" s="40"/>
      <c r="D476" s="40"/>
      <c r="E476" s="40"/>
      <c r="F476" s="41"/>
      <c r="G476" s="41"/>
      <c r="H476" s="41"/>
      <c r="I476" s="41"/>
      <c r="J476" s="41"/>
      <c r="K476" s="41"/>
      <c r="L476" s="41"/>
      <c r="M476" s="41"/>
      <c r="N476" s="41"/>
      <c r="O476" s="41"/>
      <c r="P476" s="41"/>
      <c r="Q476" s="41"/>
      <c r="R476" s="40"/>
      <c r="S476" s="25">
        <f t="shared" si="19"/>
        <v>0</v>
      </c>
      <c r="T476" s="25">
        <f>COUNTIF($V$4:V476,V476)</f>
        <v>333</v>
      </c>
      <c r="U476" s="25" t="str">
        <f>IF(T476=1,COUNTIF($T$4:T476,1),"")</f>
        <v/>
      </c>
      <c r="V476" s="26" t="str">
        <f>'施設状況(要更新)'!$E476&amp;'施設状況(要更新)'!$C476</f>
        <v/>
      </c>
      <c r="W476" s="26">
        <f>'施設状況(要更新)'!$F476</f>
        <v>0</v>
      </c>
      <c r="X476" s="27"/>
      <c r="Y476" s="26"/>
    </row>
    <row r="477" spans="1:25" s="10" customFormat="1" ht="11.25">
      <c r="A477" s="18"/>
      <c r="B477" s="44"/>
      <c r="C477" s="40"/>
      <c r="D477" s="40"/>
      <c r="E477" s="40"/>
      <c r="F477" s="41"/>
      <c r="G477" s="41"/>
      <c r="H477" s="41"/>
      <c r="I477" s="41"/>
      <c r="J477" s="41"/>
      <c r="K477" s="41"/>
      <c r="L477" s="41"/>
      <c r="M477" s="41"/>
      <c r="N477" s="41"/>
      <c r="O477" s="41"/>
      <c r="P477" s="41"/>
      <c r="Q477" s="41"/>
      <c r="R477" s="40"/>
      <c r="S477" s="25">
        <f t="shared" si="19"/>
        <v>0</v>
      </c>
      <c r="T477" s="25">
        <f>COUNTIF($V$4:V477,V477)</f>
        <v>334</v>
      </c>
      <c r="U477" s="25" t="str">
        <f>IF(T477=1,COUNTIF($T$4:T477,1),"")</f>
        <v/>
      </c>
      <c r="V477" s="26" t="str">
        <f>'施設状況(要更新)'!$E477&amp;'施設状況(要更新)'!$C477</f>
        <v/>
      </c>
      <c r="W477" s="26">
        <f>'施設状況(要更新)'!$F477</f>
        <v>0</v>
      </c>
      <c r="X477" s="27"/>
      <c r="Y477" s="26"/>
    </row>
    <row r="478" spans="1:25" s="10" customFormat="1" ht="11.25">
      <c r="A478" s="18"/>
      <c r="B478" s="44"/>
      <c r="C478" s="40"/>
      <c r="D478" s="40"/>
      <c r="E478" s="40"/>
      <c r="F478" s="41"/>
      <c r="G478" s="41"/>
      <c r="H478" s="41"/>
      <c r="I478" s="41"/>
      <c r="J478" s="41"/>
      <c r="K478" s="41"/>
      <c r="L478" s="41"/>
      <c r="M478" s="41"/>
      <c r="N478" s="41"/>
      <c r="O478" s="41"/>
      <c r="P478" s="41"/>
      <c r="Q478" s="41"/>
      <c r="R478" s="40"/>
      <c r="S478" s="25">
        <f t="shared" si="19"/>
        <v>0</v>
      </c>
      <c r="T478" s="25">
        <f>COUNTIF($V$4:V478,V478)</f>
        <v>335</v>
      </c>
      <c r="U478" s="25" t="str">
        <f>IF(T478=1,COUNTIF($T$4:T478,1),"")</f>
        <v/>
      </c>
      <c r="V478" s="26" t="str">
        <f>'施設状況(要更新)'!$E478&amp;'施設状況(要更新)'!$C478</f>
        <v/>
      </c>
      <c r="W478" s="26">
        <f>'施設状況(要更新)'!$F478</f>
        <v>0</v>
      </c>
      <c r="X478" s="27"/>
      <c r="Y478" s="26"/>
    </row>
    <row r="479" spans="1:25" s="10" customFormat="1" ht="11.25">
      <c r="A479" s="18"/>
      <c r="B479" s="44"/>
      <c r="C479" s="40"/>
      <c r="D479" s="40"/>
      <c r="E479" s="40"/>
      <c r="F479" s="41"/>
      <c r="G479" s="41"/>
      <c r="H479" s="41"/>
      <c r="I479" s="41"/>
      <c r="J479" s="41"/>
      <c r="K479" s="41"/>
      <c r="L479" s="41"/>
      <c r="M479" s="41"/>
      <c r="N479" s="41"/>
      <c r="O479" s="41"/>
      <c r="P479" s="41"/>
      <c r="Q479" s="41"/>
      <c r="R479" s="40"/>
      <c r="S479" s="25">
        <f t="shared" si="19"/>
        <v>0</v>
      </c>
      <c r="T479" s="25">
        <f>COUNTIF($V$4:V479,V479)</f>
        <v>336</v>
      </c>
      <c r="U479" s="25" t="str">
        <f>IF(T479=1,COUNTIF($T$4:T479,1),"")</f>
        <v/>
      </c>
      <c r="V479" s="26" t="str">
        <f>'施設状況(要更新)'!$E479&amp;'施設状況(要更新)'!$C479</f>
        <v/>
      </c>
      <c r="W479" s="26">
        <f>'施設状況(要更新)'!$F479</f>
        <v>0</v>
      </c>
      <c r="X479" s="27"/>
      <c r="Y479" s="26"/>
    </row>
    <row r="480" spans="1:25" s="10" customFormat="1" ht="11.25">
      <c r="A480" s="18"/>
      <c r="B480" s="44"/>
      <c r="C480" s="40"/>
      <c r="D480" s="40"/>
      <c r="E480" s="40"/>
      <c r="F480" s="41"/>
      <c r="G480" s="41"/>
      <c r="H480" s="41"/>
      <c r="I480" s="41"/>
      <c r="J480" s="41"/>
      <c r="K480" s="41"/>
      <c r="L480" s="41"/>
      <c r="M480" s="41"/>
      <c r="N480" s="41"/>
      <c r="O480" s="41"/>
      <c r="P480" s="41"/>
      <c r="Q480" s="41"/>
      <c r="R480" s="40"/>
      <c r="S480" s="25">
        <f t="shared" si="19"/>
        <v>0</v>
      </c>
      <c r="T480" s="25">
        <f>COUNTIF($V$4:V480,V480)</f>
        <v>337</v>
      </c>
      <c r="U480" s="25" t="str">
        <f>IF(T480=1,COUNTIF($T$4:T480,1),"")</f>
        <v/>
      </c>
      <c r="V480" s="26" t="str">
        <f>'施設状況(要更新)'!$E480&amp;'施設状況(要更新)'!$C480</f>
        <v/>
      </c>
      <c r="W480" s="26">
        <f>'施設状況(要更新)'!$F480</f>
        <v>0</v>
      </c>
      <c r="X480" s="27"/>
      <c r="Y480" s="26"/>
    </row>
    <row r="481" spans="1:25" s="10" customFormat="1" ht="11.25">
      <c r="A481" s="18"/>
      <c r="B481" s="44"/>
      <c r="C481" s="40"/>
      <c r="D481" s="40"/>
      <c r="E481" s="40"/>
      <c r="F481" s="41"/>
      <c r="G481" s="41"/>
      <c r="H481" s="41"/>
      <c r="I481" s="41"/>
      <c r="J481" s="41"/>
      <c r="K481" s="41"/>
      <c r="L481" s="41"/>
      <c r="M481" s="41"/>
      <c r="N481" s="41"/>
      <c r="O481" s="41"/>
      <c r="P481" s="41"/>
      <c r="Q481" s="41"/>
      <c r="R481" s="40"/>
      <c r="S481" s="25">
        <f t="shared" si="19"/>
        <v>0</v>
      </c>
      <c r="T481" s="25">
        <f>COUNTIF($V$4:V481,V481)</f>
        <v>338</v>
      </c>
      <c r="U481" s="25" t="str">
        <f>IF(T481=1,COUNTIF($T$4:T481,1),"")</f>
        <v/>
      </c>
      <c r="V481" s="26" t="str">
        <f>'施設状況(要更新)'!$E481&amp;'施設状況(要更新)'!$C481</f>
        <v/>
      </c>
      <c r="W481" s="26">
        <f>'施設状況(要更新)'!$F481</f>
        <v>0</v>
      </c>
      <c r="X481" s="27"/>
      <c r="Y481" s="26"/>
    </row>
    <row r="482" spans="1:25" s="10" customFormat="1" ht="11.25">
      <c r="A482" s="18"/>
      <c r="B482" s="44"/>
      <c r="C482" s="40"/>
      <c r="D482" s="40"/>
      <c r="E482" s="40"/>
      <c r="F482" s="41"/>
      <c r="G482" s="41"/>
      <c r="H482" s="41"/>
      <c r="I482" s="41"/>
      <c r="J482" s="41"/>
      <c r="K482" s="41"/>
      <c r="L482" s="41"/>
      <c r="M482" s="41"/>
      <c r="N482" s="41"/>
      <c r="O482" s="41"/>
      <c r="P482" s="41"/>
      <c r="Q482" s="41"/>
      <c r="R482" s="40"/>
      <c r="S482" s="25">
        <f t="shared" si="19"/>
        <v>0</v>
      </c>
      <c r="T482" s="25">
        <f>COUNTIF($V$4:V482,V482)</f>
        <v>339</v>
      </c>
      <c r="U482" s="25" t="str">
        <f>IF(T482=1,COUNTIF($T$4:T482,1),"")</f>
        <v/>
      </c>
      <c r="V482" s="26" t="str">
        <f>'施設状況(要更新)'!$E482&amp;'施設状況(要更新)'!$C482</f>
        <v/>
      </c>
      <c r="W482" s="26">
        <f>'施設状況(要更新)'!$F482</f>
        <v>0</v>
      </c>
      <c r="X482" s="27"/>
      <c r="Y482" s="26"/>
    </row>
    <row r="483" spans="1:25" s="10" customFormat="1" ht="11.25">
      <c r="A483" s="18"/>
      <c r="B483" s="44"/>
      <c r="C483" s="40"/>
      <c r="D483" s="40"/>
      <c r="E483" s="40"/>
      <c r="F483" s="41"/>
      <c r="G483" s="41"/>
      <c r="H483" s="41"/>
      <c r="I483" s="41"/>
      <c r="J483" s="43"/>
      <c r="K483" s="41"/>
      <c r="L483" s="41"/>
      <c r="M483" s="41"/>
      <c r="N483" s="43"/>
      <c r="O483" s="43"/>
      <c r="P483" s="41"/>
      <c r="Q483" s="41"/>
      <c r="R483" s="32"/>
      <c r="S483" s="25">
        <f t="shared" si="19"/>
        <v>0</v>
      </c>
      <c r="T483" s="25">
        <f>COUNTIF($V$4:V483,V483)</f>
        <v>340</v>
      </c>
      <c r="U483" s="25" t="str">
        <f>IF(T483=1,COUNTIF($T$4:T483,1),"")</f>
        <v/>
      </c>
      <c r="V483" s="26" t="str">
        <f>'施設状況(要更新)'!$E483&amp;'施設状況(要更新)'!$C483</f>
        <v/>
      </c>
      <c r="W483" s="26">
        <f>'施設状況(要更新)'!$F483</f>
        <v>0</v>
      </c>
      <c r="X483" s="27"/>
      <c r="Y483" s="26"/>
    </row>
    <row r="484" spans="1:25" s="10" customFormat="1" ht="11.25">
      <c r="A484" s="18"/>
      <c r="B484" s="44"/>
      <c r="C484" s="40"/>
      <c r="D484" s="40"/>
      <c r="E484" s="40"/>
      <c r="F484" s="41"/>
      <c r="G484" s="41"/>
      <c r="H484" s="41"/>
      <c r="I484" s="41"/>
      <c r="J484" s="41"/>
      <c r="K484" s="41"/>
      <c r="L484" s="41"/>
      <c r="M484" s="41"/>
      <c r="N484" s="41"/>
      <c r="O484" s="41"/>
      <c r="P484" s="41"/>
      <c r="Q484" s="41"/>
      <c r="R484" s="40"/>
      <c r="S484" s="25">
        <f t="shared" si="19"/>
        <v>0</v>
      </c>
      <c r="T484" s="25">
        <f>COUNTIF($V$4:V484,V484)</f>
        <v>341</v>
      </c>
      <c r="U484" s="25" t="str">
        <f>IF(T484=1,COUNTIF($T$4:T484,1),"")</f>
        <v/>
      </c>
      <c r="V484" s="26" t="str">
        <f>'施設状況(要更新)'!$E484&amp;'施設状況(要更新)'!$C484</f>
        <v/>
      </c>
      <c r="W484" s="26">
        <f>'施設状況(要更新)'!$F484</f>
        <v>0</v>
      </c>
      <c r="X484" s="27"/>
      <c r="Y484" s="26"/>
    </row>
    <row r="485" spans="1:25" s="10" customFormat="1" ht="11.25">
      <c r="A485" s="18"/>
      <c r="B485" s="44"/>
      <c r="C485" s="40"/>
      <c r="D485" s="40"/>
      <c r="E485" s="40"/>
      <c r="F485" s="41"/>
      <c r="G485" s="41"/>
      <c r="H485" s="41"/>
      <c r="I485" s="41"/>
      <c r="J485" s="41"/>
      <c r="K485" s="41"/>
      <c r="L485" s="41"/>
      <c r="M485" s="41"/>
      <c r="N485" s="41"/>
      <c r="O485" s="41"/>
      <c r="P485" s="41"/>
      <c r="Q485" s="41"/>
      <c r="R485" s="40"/>
      <c r="S485" s="25">
        <f t="shared" si="19"/>
        <v>0</v>
      </c>
      <c r="T485" s="25">
        <f>COUNTIF($V$4:V485,V485)</f>
        <v>342</v>
      </c>
      <c r="U485" s="25" t="str">
        <f>IF(T485=1,COUNTIF($T$4:T485,1),"")</f>
        <v/>
      </c>
      <c r="V485" s="26" t="str">
        <f>'施設状況(要更新)'!$E485&amp;'施設状況(要更新)'!$C485</f>
        <v/>
      </c>
      <c r="W485" s="26">
        <f>'施設状況(要更新)'!$F485</f>
        <v>0</v>
      </c>
      <c r="X485" s="27"/>
      <c r="Y485" s="26"/>
    </row>
    <row r="486" spans="1:25" s="10" customFormat="1" ht="11.25">
      <c r="A486" s="18"/>
      <c r="B486" s="44"/>
      <c r="C486" s="40"/>
      <c r="D486" s="40"/>
      <c r="E486" s="40"/>
      <c r="F486" s="41"/>
      <c r="G486" s="41"/>
      <c r="H486" s="41"/>
      <c r="I486" s="41"/>
      <c r="J486" s="41"/>
      <c r="K486" s="41"/>
      <c r="L486" s="41"/>
      <c r="M486" s="41"/>
      <c r="N486" s="41"/>
      <c r="O486" s="41"/>
      <c r="P486" s="41"/>
      <c r="Q486" s="41"/>
      <c r="R486" s="40"/>
      <c r="S486" s="25">
        <f t="shared" si="19"/>
        <v>0</v>
      </c>
      <c r="T486" s="25">
        <f>COUNTIF($V$4:V486,V486)</f>
        <v>343</v>
      </c>
      <c r="U486" s="25" t="str">
        <f>IF(T486=1,COUNTIF($T$4:T486,1),"")</f>
        <v/>
      </c>
      <c r="V486" s="26" t="str">
        <f>'施設状況(要更新)'!$E486&amp;'施設状況(要更新)'!$C486</f>
        <v/>
      </c>
      <c r="W486" s="26">
        <f>'施設状況(要更新)'!$F486</f>
        <v>0</v>
      </c>
      <c r="X486" s="27"/>
      <c r="Y486" s="26"/>
    </row>
    <row r="487" spans="1:25" s="10" customFormat="1" ht="11.25">
      <c r="A487" s="18"/>
      <c r="B487" s="44"/>
      <c r="C487" s="40"/>
      <c r="D487" s="40"/>
      <c r="E487" s="40"/>
      <c r="F487" s="41"/>
      <c r="G487" s="41"/>
      <c r="H487" s="41"/>
      <c r="I487" s="41"/>
      <c r="J487" s="41"/>
      <c r="K487" s="41"/>
      <c r="L487" s="41"/>
      <c r="M487" s="41"/>
      <c r="N487" s="41"/>
      <c r="O487" s="41"/>
      <c r="P487" s="41"/>
      <c r="Q487" s="41"/>
      <c r="R487" s="40"/>
      <c r="S487" s="25">
        <f t="shared" si="19"/>
        <v>0</v>
      </c>
      <c r="T487" s="25">
        <f>COUNTIF($V$4:V487,V487)</f>
        <v>344</v>
      </c>
      <c r="U487" s="25" t="str">
        <f>IF(T487=1,COUNTIF($T$4:T487,1),"")</f>
        <v/>
      </c>
      <c r="V487" s="26" t="str">
        <f>'施設状況(要更新)'!$E487&amp;'施設状況(要更新)'!$C487</f>
        <v/>
      </c>
      <c r="W487" s="26">
        <f>'施設状況(要更新)'!$F487</f>
        <v>0</v>
      </c>
      <c r="X487" s="27"/>
      <c r="Y487" s="26"/>
    </row>
    <row r="488" spans="1:25" s="10" customFormat="1" ht="11.25">
      <c r="A488" s="18"/>
      <c r="B488" s="44"/>
      <c r="C488" s="40"/>
      <c r="D488" s="40"/>
      <c r="E488" s="40"/>
      <c r="F488" s="41"/>
      <c r="G488" s="41"/>
      <c r="H488" s="41"/>
      <c r="I488" s="41"/>
      <c r="J488" s="41"/>
      <c r="K488" s="41"/>
      <c r="L488" s="41"/>
      <c r="M488" s="41"/>
      <c r="N488" s="41"/>
      <c r="O488" s="41"/>
      <c r="P488" s="41"/>
      <c r="Q488" s="41"/>
      <c r="R488" s="40"/>
      <c r="S488" s="25">
        <f t="shared" si="19"/>
        <v>0</v>
      </c>
      <c r="T488" s="25">
        <f>COUNTIF($V$4:V488,V488)</f>
        <v>345</v>
      </c>
      <c r="U488" s="25" t="str">
        <f>IF(T488=1,COUNTIF($T$4:T488,1),"")</f>
        <v/>
      </c>
      <c r="V488" s="26" t="str">
        <f>'施設状況(要更新)'!$E488&amp;'施設状況(要更新)'!$C488</f>
        <v/>
      </c>
      <c r="W488" s="26">
        <f>'施設状況(要更新)'!$F488</f>
        <v>0</v>
      </c>
      <c r="X488" s="27"/>
      <c r="Y488" s="26"/>
    </row>
    <row r="489" spans="1:25" s="10" customFormat="1" ht="11.25">
      <c r="A489" s="18"/>
      <c r="B489" s="44"/>
      <c r="C489" s="40"/>
      <c r="D489" s="40"/>
      <c r="E489" s="40"/>
      <c r="F489" s="41"/>
      <c r="G489" s="41"/>
      <c r="H489" s="41"/>
      <c r="I489" s="41"/>
      <c r="J489" s="41"/>
      <c r="K489" s="41"/>
      <c r="L489" s="41"/>
      <c r="M489" s="41"/>
      <c r="N489" s="41"/>
      <c r="O489" s="41"/>
      <c r="P489" s="41"/>
      <c r="Q489" s="41"/>
      <c r="R489" s="40"/>
      <c r="S489" s="25">
        <f t="shared" si="19"/>
        <v>0</v>
      </c>
      <c r="T489" s="25">
        <f>COUNTIF($V$4:V489,V489)</f>
        <v>346</v>
      </c>
      <c r="U489" s="25" t="str">
        <f>IF(T489=1,COUNTIF($T$4:T489,1),"")</f>
        <v/>
      </c>
      <c r="V489" s="26" t="str">
        <f>'施設状況(要更新)'!$E489&amp;'施設状況(要更新)'!$C489</f>
        <v/>
      </c>
      <c r="W489" s="26">
        <f>'施設状況(要更新)'!$F489</f>
        <v>0</v>
      </c>
      <c r="X489" s="27"/>
      <c r="Y489" s="26"/>
    </row>
    <row r="490" spans="1:25" s="10" customFormat="1" ht="11.25">
      <c r="A490" s="18"/>
      <c r="B490" s="44"/>
      <c r="C490" s="40"/>
      <c r="D490" s="40"/>
      <c r="E490" s="40"/>
      <c r="F490" s="41"/>
      <c r="G490" s="41"/>
      <c r="H490" s="41"/>
      <c r="I490" s="41"/>
      <c r="J490" s="41"/>
      <c r="K490" s="41"/>
      <c r="L490" s="41"/>
      <c r="M490" s="41"/>
      <c r="N490" s="41"/>
      <c r="O490" s="41"/>
      <c r="P490" s="41"/>
      <c r="Q490" s="41"/>
      <c r="R490" s="40"/>
      <c r="S490" s="25">
        <f t="shared" si="19"/>
        <v>0</v>
      </c>
      <c r="T490" s="25">
        <f>COUNTIF($V$4:V490,V490)</f>
        <v>347</v>
      </c>
      <c r="U490" s="25" t="str">
        <f>IF(T490=1,COUNTIF($T$4:T490,1),"")</f>
        <v/>
      </c>
      <c r="V490" s="26" t="str">
        <f>'施設状況(要更新)'!$E490&amp;'施設状況(要更新)'!$C490</f>
        <v/>
      </c>
      <c r="W490" s="26">
        <f>'施設状況(要更新)'!$F490</f>
        <v>0</v>
      </c>
      <c r="X490" s="27"/>
      <c r="Y490" s="26"/>
    </row>
    <row r="491" spans="1:25" s="10" customFormat="1" ht="11.25">
      <c r="A491" s="18"/>
      <c r="B491" s="44"/>
      <c r="C491" s="40"/>
      <c r="D491" s="40"/>
      <c r="E491" s="40"/>
      <c r="F491" s="41"/>
      <c r="G491" s="41"/>
      <c r="H491" s="41"/>
      <c r="I491" s="41"/>
      <c r="J491" s="41"/>
      <c r="K491" s="41"/>
      <c r="L491" s="41"/>
      <c r="M491" s="41"/>
      <c r="N491" s="41"/>
      <c r="O491" s="41"/>
      <c r="P491" s="41"/>
      <c r="Q491" s="41"/>
      <c r="R491" s="40"/>
      <c r="S491" s="25">
        <f t="shared" si="19"/>
        <v>0</v>
      </c>
      <c r="T491" s="25">
        <f>COUNTIF($V$4:V491,V491)</f>
        <v>348</v>
      </c>
      <c r="U491" s="25" t="str">
        <f>IF(T491=1,COUNTIF($T$4:T491,1),"")</f>
        <v/>
      </c>
      <c r="V491" s="26" t="str">
        <f>'施設状況(要更新)'!$E491&amp;'施設状況(要更新)'!$C491</f>
        <v/>
      </c>
      <c r="W491" s="26">
        <f>'施設状況(要更新)'!$F491</f>
        <v>0</v>
      </c>
      <c r="X491" s="27"/>
      <c r="Y491" s="26"/>
    </row>
    <row r="492" spans="1:25" s="10" customFormat="1" ht="11.25">
      <c r="A492" s="18"/>
      <c r="B492" s="44"/>
      <c r="C492" s="40"/>
      <c r="D492" s="40"/>
      <c r="E492" s="40"/>
      <c r="F492" s="41"/>
      <c r="G492" s="41"/>
      <c r="H492" s="41"/>
      <c r="I492" s="41"/>
      <c r="J492" s="41"/>
      <c r="K492" s="41"/>
      <c r="L492" s="41"/>
      <c r="M492" s="41"/>
      <c r="N492" s="41"/>
      <c r="O492" s="41"/>
      <c r="P492" s="41"/>
      <c r="Q492" s="41"/>
      <c r="R492" s="40"/>
      <c r="S492" s="25">
        <f t="shared" si="19"/>
        <v>0</v>
      </c>
      <c r="T492" s="25">
        <f>COUNTIF($V$4:V492,V492)</f>
        <v>349</v>
      </c>
      <c r="U492" s="25" t="str">
        <f>IF(T492=1,COUNTIF($T$4:T492,1),"")</f>
        <v/>
      </c>
      <c r="V492" s="26" t="str">
        <f>'施設状況(要更新)'!$E492&amp;'施設状況(要更新)'!$C492</f>
        <v/>
      </c>
      <c r="W492" s="26">
        <f>'施設状況(要更新)'!$F492</f>
        <v>0</v>
      </c>
      <c r="X492" s="27"/>
      <c r="Y492" s="26"/>
    </row>
    <row r="493" spans="1:25" s="10" customFormat="1" ht="11.25">
      <c r="A493" s="18"/>
      <c r="B493" s="44"/>
      <c r="C493" s="40"/>
      <c r="D493" s="40"/>
      <c r="E493" s="40"/>
      <c r="F493" s="41"/>
      <c r="G493" s="41"/>
      <c r="H493" s="41"/>
      <c r="I493" s="41"/>
      <c r="J493" s="41"/>
      <c r="K493" s="41"/>
      <c r="L493" s="41"/>
      <c r="M493" s="41"/>
      <c r="N493" s="41"/>
      <c r="O493" s="41"/>
      <c r="P493" s="41"/>
      <c r="Q493" s="41"/>
      <c r="R493" s="40"/>
      <c r="S493" s="25">
        <f t="shared" si="19"/>
        <v>0</v>
      </c>
      <c r="T493" s="25">
        <f>COUNTIF($V$4:V493,V493)</f>
        <v>350</v>
      </c>
      <c r="U493" s="25" t="str">
        <f>IF(T493=1,COUNTIF($T$4:T493,1),"")</f>
        <v/>
      </c>
      <c r="V493" s="26" t="str">
        <f>'施設状況(要更新)'!$E493&amp;'施設状況(要更新)'!$C493</f>
        <v/>
      </c>
      <c r="W493" s="26">
        <f>'施設状況(要更新)'!$F493</f>
        <v>0</v>
      </c>
      <c r="X493" s="27"/>
      <c r="Y493" s="26"/>
    </row>
    <row r="494" spans="1:25" s="10" customFormat="1" ht="11.25">
      <c r="A494" s="18"/>
      <c r="B494" s="44"/>
      <c r="C494" s="40"/>
      <c r="D494" s="40"/>
      <c r="E494" s="40"/>
      <c r="F494" s="41"/>
      <c r="G494" s="41"/>
      <c r="H494" s="41"/>
      <c r="I494" s="41"/>
      <c r="J494" s="41"/>
      <c r="K494" s="41"/>
      <c r="L494" s="41"/>
      <c r="M494" s="41"/>
      <c r="N494" s="41"/>
      <c r="O494" s="41"/>
      <c r="P494" s="41"/>
      <c r="Q494" s="41"/>
      <c r="R494" s="40"/>
      <c r="S494" s="25">
        <f t="shared" si="19"/>
        <v>0</v>
      </c>
      <c r="T494" s="25">
        <f>COUNTIF($V$4:V494,V494)</f>
        <v>351</v>
      </c>
      <c r="U494" s="25" t="str">
        <f>IF(T494=1,COUNTIF($T$4:T494,1),"")</f>
        <v/>
      </c>
      <c r="V494" s="26" t="str">
        <f>'施設状況(要更新)'!$E494&amp;'施設状況(要更新)'!$C494</f>
        <v/>
      </c>
      <c r="W494" s="26">
        <f>'施設状況(要更新)'!$F494</f>
        <v>0</v>
      </c>
      <c r="X494" s="27"/>
      <c r="Y494" s="26"/>
    </row>
    <row r="495" spans="1:25" s="10" customFormat="1" ht="11.25">
      <c r="A495" s="18"/>
      <c r="B495" s="44"/>
      <c r="C495" s="40"/>
      <c r="D495" s="40"/>
      <c r="E495" s="40"/>
      <c r="F495" s="41"/>
      <c r="G495" s="41"/>
      <c r="H495" s="41"/>
      <c r="I495" s="41"/>
      <c r="J495" s="41"/>
      <c r="K495" s="41"/>
      <c r="L495" s="41"/>
      <c r="M495" s="41"/>
      <c r="N495" s="41"/>
      <c r="O495" s="41"/>
      <c r="P495" s="41"/>
      <c r="Q495" s="41"/>
      <c r="R495" s="40"/>
      <c r="S495" s="25">
        <f t="shared" si="19"/>
        <v>0</v>
      </c>
      <c r="T495" s="25">
        <f>COUNTIF($V$4:V495,V495)</f>
        <v>352</v>
      </c>
      <c r="U495" s="25" t="str">
        <f>IF(T495=1,COUNTIF($T$4:T495,1),"")</f>
        <v/>
      </c>
      <c r="V495" s="26" t="str">
        <f>'施設状況(要更新)'!$E495&amp;'施設状況(要更新)'!$C495</f>
        <v/>
      </c>
      <c r="W495" s="26">
        <f>'施設状況(要更新)'!$F495</f>
        <v>0</v>
      </c>
      <c r="X495" s="27"/>
      <c r="Y495" s="26"/>
    </row>
    <row r="496" spans="1:25" s="10" customFormat="1" ht="11.25">
      <c r="A496" s="18"/>
      <c r="B496" s="44"/>
      <c r="C496" s="40"/>
      <c r="D496" s="40"/>
      <c r="E496" s="40"/>
      <c r="F496" s="41"/>
      <c r="G496" s="41"/>
      <c r="H496" s="41"/>
      <c r="I496" s="41"/>
      <c r="J496" s="41"/>
      <c r="K496" s="41"/>
      <c r="L496" s="41"/>
      <c r="M496" s="41"/>
      <c r="N496" s="41"/>
      <c r="O496" s="41"/>
      <c r="P496" s="41"/>
      <c r="Q496" s="41"/>
      <c r="R496" s="40"/>
      <c r="S496" s="25">
        <f t="shared" si="19"/>
        <v>0</v>
      </c>
      <c r="T496" s="25">
        <f>COUNTIF($V$4:V496,V496)</f>
        <v>353</v>
      </c>
      <c r="U496" s="25" t="str">
        <f>IF(T496=1,COUNTIF($T$4:T496,1),"")</f>
        <v/>
      </c>
      <c r="V496" s="26" t="str">
        <f>'施設状況(要更新)'!$E496&amp;'施設状況(要更新)'!$C496</f>
        <v/>
      </c>
      <c r="W496" s="26">
        <f>'施設状況(要更新)'!$F496</f>
        <v>0</v>
      </c>
      <c r="X496" s="27"/>
      <c r="Y496" s="26"/>
    </row>
    <row r="497" spans="1:25" s="10" customFormat="1" ht="11.25">
      <c r="A497" s="18"/>
      <c r="B497" s="44"/>
      <c r="C497" s="40"/>
      <c r="D497" s="40"/>
      <c r="E497" s="40"/>
      <c r="F497" s="41"/>
      <c r="G497" s="41"/>
      <c r="H497" s="41"/>
      <c r="I497" s="41"/>
      <c r="J497" s="41"/>
      <c r="K497" s="41"/>
      <c r="L497" s="41"/>
      <c r="M497" s="41"/>
      <c r="N497" s="41"/>
      <c r="O497" s="41"/>
      <c r="P497" s="41"/>
      <c r="Q497" s="41"/>
      <c r="R497" s="40"/>
      <c r="S497" s="25">
        <f t="shared" si="19"/>
        <v>0</v>
      </c>
      <c r="T497" s="25">
        <f>COUNTIF($V$4:V497,V497)</f>
        <v>354</v>
      </c>
      <c r="U497" s="25" t="str">
        <f>IF(T497=1,COUNTIF($T$4:T497,1),"")</f>
        <v/>
      </c>
      <c r="V497" s="26" t="str">
        <f>'施設状況(要更新)'!$E497&amp;'施設状況(要更新)'!$C497</f>
        <v/>
      </c>
      <c r="W497" s="26">
        <f>'施設状況(要更新)'!$F497</f>
        <v>0</v>
      </c>
      <c r="X497" s="27"/>
      <c r="Y497" s="26"/>
    </row>
    <row r="498" spans="1:25" s="10" customFormat="1" ht="11.25">
      <c r="A498" s="18"/>
      <c r="B498" s="44"/>
      <c r="C498" s="40"/>
      <c r="D498" s="40"/>
      <c r="E498" s="40"/>
      <c r="F498" s="41"/>
      <c r="G498" s="41"/>
      <c r="H498" s="41"/>
      <c r="I498" s="41"/>
      <c r="J498" s="41"/>
      <c r="K498" s="41"/>
      <c r="L498" s="41"/>
      <c r="M498" s="41"/>
      <c r="N498" s="41"/>
      <c r="O498" s="41"/>
      <c r="P498" s="41"/>
      <c r="Q498" s="41"/>
      <c r="R498" s="40"/>
      <c r="S498" s="25">
        <f t="shared" si="19"/>
        <v>0</v>
      </c>
      <c r="T498" s="25">
        <f>COUNTIF($V$4:V498,V498)</f>
        <v>355</v>
      </c>
      <c r="U498" s="25" t="str">
        <f>IF(T498=1,COUNTIF($T$4:T498,1),"")</f>
        <v/>
      </c>
      <c r="V498" s="26" t="str">
        <f>'施設状況(要更新)'!$E498&amp;'施設状況(要更新)'!$C498</f>
        <v/>
      </c>
      <c r="W498" s="26">
        <f>'施設状況(要更新)'!$F498</f>
        <v>0</v>
      </c>
      <c r="X498" s="27"/>
      <c r="Y498" s="26"/>
    </row>
    <row r="499" spans="1:25" s="10" customFormat="1" ht="11.25">
      <c r="A499" s="18"/>
      <c r="B499" s="44"/>
      <c r="C499" s="40"/>
      <c r="D499" s="40"/>
      <c r="E499" s="40"/>
      <c r="F499" s="41"/>
      <c r="G499" s="41"/>
      <c r="H499" s="41"/>
      <c r="I499" s="41"/>
      <c r="J499" s="41"/>
      <c r="K499" s="41"/>
      <c r="L499" s="41"/>
      <c r="M499" s="41"/>
      <c r="N499" s="41"/>
      <c r="O499" s="41"/>
      <c r="P499" s="41"/>
      <c r="Q499" s="41"/>
      <c r="R499" s="40"/>
      <c r="S499" s="25">
        <f t="shared" si="19"/>
        <v>0</v>
      </c>
      <c r="T499" s="25">
        <f>COUNTIF($V$4:V499,V499)</f>
        <v>356</v>
      </c>
      <c r="U499" s="25" t="str">
        <f>IF(T499=1,COUNTIF($T$4:T499,1),"")</f>
        <v/>
      </c>
      <c r="V499" s="26" t="str">
        <f>'施設状況(要更新)'!$E499&amp;'施設状況(要更新)'!$C499</f>
        <v/>
      </c>
      <c r="W499" s="26">
        <f>'施設状況(要更新)'!$F499</f>
        <v>0</v>
      </c>
      <c r="X499" s="27"/>
      <c r="Y499" s="26"/>
    </row>
    <row r="500" spans="1:25" s="10" customFormat="1" ht="11.25">
      <c r="A500" s="18"/>
      <c r="B500" s="44"/>
      <c r="C500" s="40"/>
      <c r="D500" s="40"/>
      <c r="E500" s="40"/>
      <c r="F500" s="41"/>
      <c r="G500" s="41"/>
      <c r="H500" s="41"/>
      <c r="I500" s="41"/>
      <c r="J500" s="41"/>
      <c r="K500" s="41"/>
      <c r="L500" s="41"/>
      <c r="M500" s="41"/>
      <c r="N500" s="41"/>
      <c r="O500" s="41"/>
      <c r="P500" s="41"/>
      <c r="Q500" s="41"/>
      <c r="R500" s="40"/>
      <c r="S500" s="25">
        <f t="shared" si="19"/>
        <v>0</v>
      </c>
      <c r="T500" s="25">
        <f>COUNTIF($V$4:V500,V500)</f>
        <v>357</v>
      </c>
      <c r="U500" s="25" t="str">
        <f>IF(T500=1,COUNTIF($T$4:T500,1),"")</f>
        <v/>
      </c>
      <c r="V500" s="26" t="str">
        <f>'施設状況(要更新)'!$E500&amp;'施設状況(要更新)'!$C500</f>
        <v/>
      </c>
      <c r="W500" s="26">
        <f>'施設状況(要更新)'!$F500</f>
        <v>0</v>
      </c>
      <c r="X500" s="27"/>
      <c r="Y500" s="26"/>
    </row>
    <row r="501" spans="1:25" s="10" customFormat="1" ht="11.25">
      <c r="A501" s="18"/>
      <c r="B501" s="44"/>
      <c r="C501" s="40"/>
      <c r="D501" s="40"/>
      <c r="E501" s="40"/>
      <c r="F501" s="41"/>
      <c r="G501" s="41"/>
      <c r="H501" s="41"/>
      <c r="I501" s="41"/>
      <c r="J501" s="41"/>
      <c r="K501" s="41"/>
      <c r="L501" s="41"/>
      <c r="M501" s="41"/>
      <c r="N501" s="41"/>
      <c r="O501" s="41"/>
      <c r="P501" s="41"/>
      <c r="Q501" s="41"/>
      <c r="R501" s="40"/>
      <c r="S501" s="25">
        <f t="shared" si="19"/>
        <v>0</v>
      </c>
      <c r="T501" s="25">
        <f>COUNTIF($V$4:V501,V501)</f>
        <v>358</v>
      </c>
      <c r="U501" s="25" t="str">
        <f>IF(T501=1,COUNTIF($T$4:T501,1),"")</f>
        <v/>
      </c>
      <c r="V501" s="26" t="str">
        <f>'施設状況(要更新)'!$E501&amp;'施設状況(要更新)'!$C501</f>
        <v/>
      </c>
      <c r="W501" s="26">
        <f>'施設状況(要更新)'!$F501</f>
        <v>0</v>
      </c>
      <c r="X501" s="27"/>
      <c r="Y501" s="26"/>
    </row>
    <row r="502" spans="1:25" s="10" customFormat="1" ht="11.25">
      <c r="A502" s="18"/>
      <c r="B502" s="44"/>
      <c r="C502" s="40"/>
      <c r="D502" s="40"/>
      <c r="E502" s="40"/>
      <c r="F502" s="41"/>
      <c r="G502" s="41"/>
      <c r="H502" s="41"/>
      <c r="I502" s="41"/>
      <c r="J502" s="41"/>
      <c r="K502" s="41"/>
      <c r="L502" s="41"/>
      <c r="M502" s="41"/>
      <c r="N502" s="41"/>
      <c r="O502" s="41"/>
      <c r="P502" s="41"/>
      <c r="Q502" s="41"/>
      <c r="R502" s="40"/>
      <c r="S502" s="25">
        <f t="shared" si="19"/>
        <v>0</v>
      </c>
      <c r="T502" s="25">
        <f>COUNTIF($V$4:V502,V502)</f>
        <v>359</v>
      </c>
      <c r="U502" s="25" t="str">
        <f>IF(T502=1,COUNTIF($T$4:T502,1),"")</f>
        <v/>
      </c>
      <c r="V502" s="26" t="str">
        <f>'施設状況(要更新)'!$E502&amp;'施設状況(要更新)'!$C502</f>
        <v/>
      </c>
      <c r="W502" s="26">
        <f>'施設状況(要更新)'!$F502</f>
        <v>0</v>
      </c>
      <c r="X502" s="27"/>
      <c r="Y502" s="26"/>
    </row>
    <row r="503" spans="1:25" s="10" customFormat="1" ht="11.25">
      <c r="A503" s="18"/>
      <c r="B503" s="44"/>
      <c r="C503" s="40"/>
      <c r="D503" s="40"/>
      <c r="E503" s="40"/>
      <c r="F503" s="41"/>
      <c r="G503" s="41"/>
      <c r="H503" s="41"/>
      <c r="I503" s="41"/>
      <c r="J503" s="41"/>
      <c r="K503" s="41"/>
      <c r="L503" s="41"/>
      <c r="M503" s="41"/>
      <c r="N503" s="41"/>
      <c r="O503" s="41"/>
      <c r="P503" s="41"/>
      <c r="Q503" s="41"/>
      <c r="R503" s="40"/>
      <c r="S503" s="25">
        <f t="shared" si="19"/>
        <v>0</v>
      </c>
      <c r="T503" s="25">
        <f>COUNTIF($V$4:V503,V503)</f>
        <v>360</v>
      </c>
      <c r="U503" s="25" t="str">
        <f>IF(T503=1,COUNTIF($T$4:T503,1),"")</f>
        <v/>
      </c>
      <c r="V503" s="26" t="str">
        <f>'施設状況(要更新)'!$E503&amp;'施設状況(要更新)'!$C503</f>
        <v/>
      </c>
      <c r="W503" s="26">
        <f>'施設状況(要更新)'!$F503</f>
        <v>0</v>
      </c>
      <c r="X503" s="27"/>
      <c r="Y503" s="26"/>
    </row>
    <row r="504" spans="1:25" s="10" customFormat="1" ht="11.25">
      <c r="A504" s="18"/>
      <c r="B504" s="44"/>
      <c r="C504" s="40"/>
      <c r="D504" s="40"/>
      <c r="E504" s="40"/>
      <c r="F504" s="41"/>
      <c r="G504" s="41"/>
      <c r="H504" s="41"/>
      <c r="I504" s="41"/>
      <c r="J504" s="41"/>
      <c r="K504" s="41"/>
      <c r="L504" s="41"/>
      <c r="M504" s="41"/>
      <c r="N504" s="41"/>
      <c r="O504" s="41"/>
      <c r="P504" s="41"/>
      <c r="Q504" s="41"/>
      <c r="R504" s="40"/>
      <c r="S504" s="25">
        <f t="shared" si="19"/>
        <v>0</v>
      </c>
      <c r="T504" s="25">
        <f>COUNTIF($V$4:V504,V504)</f>
        <v>361</v>
      </c>
      <c r="U504" s="25" t="str">
        <f>IF(T504=1,COUNTIF($T$4:T504,1),"")</f>
        <v/>
      </c>
      <c r="V504" s="26" t="str">
        <f>'施設状況(要更新)'!$E504&amp;'施設状況(要更新)'!$C504</f>
        <v/>
      </c>
      <c r="W504" s="26">
        <f>'施設状況(要更新)'!$F504</f>
        <v>0</v>
      </c>
      <c r="X504" s="27"/>
      <c r="Y504" s="26"/>
    </row>
    <row r="505" spans="1:25" s="10" customFormat="1" ht="11.25">
      <c r="A505" s="18"/>
      <c r="B505" s="44"/>
      <c r="C505" s="40"/>
      <c r="D505" s="40"/>
      <c r="E505" s="40"/>
      <c r="F505" s="41"/>
      <c r="G505" s="41"/>
      <c r="H505" s="41"/>
      <c r="I505" s="41"/>
      <c r="J505" s="41"/>
      <c r="K505" s="41"/>
      <c r="L505" s="41"/>
      <c r="M505" s="41"/>
      <c r="N505" s="41"/>
      <c r="O505" s="41"/>
      <c r="P505" s="41"/>
      <c r="Q505" s="41"/>
      <c r="R505" s="40"/>
      <c r="S505" s="25">
        <f t="shared" si="19"/>
        <v>0</v>
      </c>
      <c r="T505" s="25">
        <f>COUNTIF($V$4:V505,V505)</f>
        <v>362</v>
      </c>
      <c r="U505" s="25" t="str">
        <f>IF(T505=1,COUNTIF($T$4:T505,1),"")</f>
        <v/>
      </c>
      <c r="V505" s="26" t="str">
        <f>'施設状況(要更新)'!$E505&amp;'施設状況(要更新)'!$C505</f>
        <v/>
      </c>
      <c r="W505" s="26">
        <f>'施設状況(要更新)'!$F505</f>
        <v>0</v>
      </c>
      <c r="X505" s="27"/>
      <c r="Y505" s="26"/>
    </row>
    <row r="506" spans="1:25" s="10" customFormat="1" ht="11.25">
      <c r="A506" s="18"/>
      <c r="B506" s="44"/>
      <c r="C506" s="40"/>
      <c r="D506" s="40"/>
      <c r="E506" s="40"/>
      <c r="F506" s="41"/>
      <c r="G506" s="41"/>
      <c r="H506" s="41"/>
      <c r="I506" s="41"/>
      <c r="J506" s="41"/>
      <c r="K506" s="41"/>
      <c r="L506" s="41"/>
      <c r="M506" s="41"/>
      <c r="N506" s="41"/>
      <c r="O506" s="41"/>
      <c r="P506" s="41"/>
      <c r="Q506" s="41"/>
      <c r="R506" s="40"/>
      <c r="S506" s="25">
        <f t="shared" si="19"/>
        <v>0</v>
      </c>
      <c r="T506" s="25">
        <f>COUNTIF($V$4:V506,V506)</f>
        <v>363</v>
      </c>
      <c r="U506" s="25" t="str">
        <f>IF(T506=1,COUNTIF($T$4:T506,1),"")</f>
        <v/>
      </c>
      <c r="V506" s="26" t="str">
        <f>'施設状況(要更新)'!$E506&amp;'施設状況(要更新)'!$C506</f>
        <v/>
      </c>
      <c r="W506" s="26">
        <f>'施設状況(要更新)'!$F506</f>
        <v>0</v>
      </c>
      <c r="X506" s="27"/>
      <c r="Y506" s="26"/>
    </row>
    <row r="507" spans="1:25" s="10" customFormat="1" ht="11.25">
      <c r="A507" s="18"/>
      <c r="B507" s="44"/>
      <c r="C507" s="40"/>
      <c r="D507" s="40"/>
      <c r="E507" s="40"/>
      <c r="F507" s="41"/>
      <c r="G507" s="41"/>
      <c r="H507" s="41"/>
      <c r="I507" s="41"/>
      <c r="J507" s="41"/>
      <c r="K507" s="41"/>
      <c r="L507" s="41"/>
      <c r="M507" s="41"/>
      <c r="N507" s="41"/>
      <c r="O507" s="41"/>
      <c r="P507" s="41"/>
      <c r="Q507" s="41"/>
      <c r="R507" s="40"/>
      <c r="S507" s="25">
        <f t="shared" si="19"/>
        <v>0</v>
      </c>
      <c r="T507" s="25">
        <f>COUNTIF($V$4:V507,V507)</f>
        <v>364</v>
      </c>
      <c r="U507" s="25" t="str">
        <f>IF(T507=1,COUNTIF($T$4:T507,1),"")</f>
        <v/>
      </c>
      <c r="V507" s="26" t="str">
        <f>'施設状況(要更新)'!$E507&amp;'施設状況(要更新)'!$C507</f>
        <v/>
      </c>
      <c r="W507" s="26">
        <f>'施設状況(要更新)'!$F507</f>
        <v>0</v>
      </c>
      <c r="X507" s="27"/>
      <c r="Y507" s="26"/>
    </row>
    <row r="508" spans="1:25" s="10" customFormat="1" ht="11.25">
      <c r="A508" s="18"/>
      <c r="B508" s="44"/>
      <c r="C508" s="40"/>
      <c r="D508" s="40"/>
      <c r="E508" s="40"/>
      <c r="F508" s="41"/>
      <c r="G508" s="41"/>
      <c r="H508" s="41"/>
      <c r="I508" s="41"/>
      <c r="J508" s="41"/>
      <c r="K508" s="41"/>
      <c r="L508" s="41"/>
      <c r="M508" s="41"/>
      <c r="N508" s="41"/>
      <c r="O508" s="41"/>
      <c r="P508" s="41"/>
      <c r="Q508" s="41"/>
      <c r="R508" s="40"/>
      <c r="S508" s="25">
        <f t="shared" si="19"/>
        <v>0</v>
      </c>
      <c r="T508" s="25">
        <f>COUNTIF($V$4:V508,V508)</f>
        <v>365</v>
      </c>
      <c r="U508" s="25" t="str">
        <f>IF(T508=1,COUNTIF($T$4:T508,1),"")</f>
        <v/>
      </c>
      <c r="V508" s="26" t="str">
        <f>'施設状況(要更新)'!$E508&amp;'施設状況(要更新)'!$C508</f>
        <v/>
      </c>
      <c r="W508" s="26">
        <f>'施設状況(要更新)'!$F508</f>
        <v>0</v>
      </c>
      <c r="X508" s="27"/>
      <c r="Y508" s="26"/>
    </row>
    <row r="509" spans="1:25" s="10" customFormat="1" ht="11.25">
      <c r="A509" s="18"/>
      <c r="B509" s="44"/>
      <c r="C509" s="40"/>
      <c r="D509" s="40"/>
      <c r="E509" s="40"/>
      <c r="F509" s="41"/>
      <c r="G509" s="41"/>
      <c r="H509" s="41"/>
      <c r="I509" s="41"/>
      <c r="J509" s="41"/>
      <c r="K509" s="41"/>
      <c r="L509" s="41"/>
      <c r="M509" s="41"/>
      <c r="N509" s="41"/>
      <c r="O509" s="41"/>
      <c r="P509" s="41"/>
      <c r="Q509" s="41"/>
      <c r="R509" s="40"/>
      <c r="S509" s="25">
        <f t="shared" si="19"/>
        <v>0</v>
      </c>
      <c r="T509" s="25">
        <f>COUNTIF($V$4:V509,V509)</f>
        <v>366</v>
      </c>
      <c r="U509" s="25" t="str">
        <f>IF(T509=1,COUNTIF($T$4:T509,1),"")</f>
        <v/>
      </c>
      <c r="V509" s="26" t="str">
        <f>'施設状況(要更新)'!$E509&amp;'施設状況(要更新)'!$C509</f>
        <v/>
      </c>
      <c r="W509" s="26">
        <f>'施設状況(要更新)'!$F509</f>
        <v>0</v>
      </c>
      <c r="X509" s="27"/>
      <c r="Y509" s="26"/>
    </row>
    <row r="510" spans="1:25" s="10" customFormat="1" ht="11.25">
      <c r="A510" s="18"/>
      <c r="B510" s="44"/>
      <c r="C510" s="40"/>
      <c r="D510" s="40"/>
      <c r="E510" s="40"/>
      <c r="F510" s="41"/>
      <c r="G510" s="41"/>
      <c r="H510" s="41"/>
      <c r="I510" s="41"/>
      <c r="J510" s="41"/>
      <c r="K510" s="41"/>
      <c r="L510" s="41"/>
      <c r="M510" s="41"/>
      <c r="N510" s="41"/>
      <c r="O510" s="41"/>
      <c r="P510" s="41"/>
      <c r="Q510" s="41"/>
      <c r="R510" s="40"/>
      <c r="S510" s="25">
        <f t="shared" si="19"/>
        <v>0</v>
      </c>
      <c r="T510" s="25">
        <f>COUNTIF($V$4:V510,V510)</f>
        <v>367</v>
      </c>
      <c r="U510" s="25" t="str">
        <f>IF(T510=1,COUNTIF($T$4:T510,1),"")</f>
        <v/>
      </c>
      <c r="V510" s="26" t="str">
        <f>'施設状況(要更新)'!$E510&amp;'施設状況(要更新)'!$C510</f>
        <v/>
      </c>
      <c r="W510" s="26">
        <f>'施設状況(要更新)'!$F510</f>
        <v>0</v>
      </c>
      <c r="X510" s="27"/>
      <c r="Y510" s="26"/>
    </row>
    <row r="511" spans="1:25" s="10" customFormat="1" ht="11.25">
      <c r="A511" s="18"/>
      <c r="B511" s="44"/>
      <c r="C511" s="40"/>
      <c r="D511" s="40"/>
      <c r="E511" s="40"/>
      <c r="F511" s="41"/>
      <c r="G511" s="41"/>
      <c r="H511" s="41"/>
      <c r="I511" s="41"/>
      <c r="J511" s="41"/>
      <c r="K511" s="41"/>
      <c r="L511" s="41"/>
      <c r="M511" s="41"/>
      <c r="N511" s="41"/>
      <c r="O511" s="41"/>
      <c r="P511" s="41"/>
      <c r="Q511" s="41"/>
      <c r="R511" s="40"/>
      <c r="S511" s="25">
        <f t="shared" si="19"/>
        <v>0</v>
      </c>
      <c r="T511" s="25">
        <f>COUNTIF($V$4:V511,V511)</f>
        <v>368</v>
      </c>
      <c r="U511" s="25" t="str">
        <f>IF(T511=1,COUNTIF($T$4:T511,1),"")</f>
        <v/>
      </c>
      <c r="V511" s="26" t="str">
        <f>'施設状況(要更新)'!$E511&amp;'施設状況(要更新)'!$C511</f>
        <v/>
      </c>
      <c r="W511" s="26">
        <f>'施設状況(要更新)'!$F511</f>
        <v>0</v>
      </c>
      <c r="X511" s="27"/>
      <c r="Y511" s="26"/>
    </row>
    <row r="512" spans="1:25" s="10" customFormat="1" ht="11.25">
      <c r="A512" s="18"/>
      <c r="B512" s="44"/>
      <c r="C512" s="40"/>
      <c r="D512" s="40"/>
      <c r="E512" s="40"/>
      <c r="F512" s="41"/>
      <c r="G512" s="41"/>
      <c r="H512" s="41"/>
      <c r="I512" s="41"/>
      <c r="J512" s="41"/>
      <c r="K512" s="41"/>
      <c r="L512" s="41"/>
      <c r="M512" s="41"/>
      <c r="N512" s="41"/>
      <c r="O512" s="41"/>
      <c r="P512" s="41"/>
      <c r="Q512" s="41"/>
      <c r="R512" s="40"/>
      <c r="S512" s="25">
        <f t="shared" si="19"/>
        <v>0</v>
      </c>
      <c r="T512" s="25">
        <f>COUNTIF($V$4:V512,V512)</f>
        <v>369</v>
      </c>
      <c r="U512" s="25" t="str">
        <f>IF(T512=1,COUNTIF($T$4:T512,1),"")</f>
        <v/>
      </c>
      <c r="V512" s="26" t="str">
        <f>'施設状況(要更新)'!$E512&amp;'施設状況(要更新)'!$C512</f>
        <v/>
      </c>
      <c r="W512" s="26">
        <f>'施設状況(要更新)'!$F512</f>
        <v>0</v>
      </c>
      <c r="X512" s="27"/>
      <c r="Y512" s="26"/>
    </row>
    <row r="513" spans="1:25" s="10" customFormat="1" ht="11.25">
      <c r="A513" s="18"/>
      <c r="B513" s="44"/>
      <c r="C513" s="40"/>
      <c r="D513" s="40"/>
      <c r="E513" s="40"/>
      <c r="F513" s="41"/>
      <c r="G513" s="41"/>
      <c r="H513" s="41"/>
      <c r="I513" s="41"/>
      <c r="J513" s="41"/>
      <c r="K513" s="41"/>
      <c r="L513" s="41"/>
      <c r="M513" s="41"/>
      <c r="N513" s="41"/>
      <c r="O513" s="41"/>
      <c r="P513" s="41"/>
      <c r="Q513" s="41"/>
      <c r="R513" s="40"/>
      <c r="S513" s="25">
        <f t="shared" si="19"/>
        <v>0</v>
      </c>
      <c r="T513" s="25">
        <f>COUNTIF($V$4:V513,V513)</f>
        <v>370</v>
      </c>
      <c r="U513" s="25" t="str">
        <f>IF(T513=1,COUNTIF($T$4:T513,1),"")</f>
        <v/>
      </c>
      <c r="V513" s="26" t="str">
        <f>'施設状況(要更新)'!$E513&amp;'施設状況(要更新)'!$C513</f>
        <v/>
      </c>
      <c r="W513" s="26">
        <f>'施設状況(要更新)'!$F513</f>
        <v>0</v>
      </c>
      <c r="X513" s="27"/>
      <c r="Y513" s="26"/>
    </row>
    <row r="514" spans="1:25" s="10" customFormat="1" ht="11.25">
      <c r="A514" s="18"/>
      <c r="B514" s="44"/>
      <c r="C514" s="40"/>
      <c r="D514" s="40"/>
      <c r="E514" s="40"/>
      <c r="F514" s="41"/>
      <c r="G514" s="41"/>
      <c r="H514" s="41"/>
      <c r="I514" s="41"/>
      <c r="J514" s="41"/>
      <c r="K514" s="41"/>
      <c r="L514" s="41"/>
      <c r="M514" s="41"/>
      <c r="N514" s="41"/>
      <c r="O514" s="41"/>
      <c r="P514" s="41"/>
      <c r="Q514" s="41"/>
      <c r="R514" s="40"/>
      <c r="S514" s="25">
        <f t="shared" si="19"/>
        <v>0</v>
      </c>
      <c r="T514" s="25">
        <f>COUNTIF($V$4:V514,V514)</f>
        <v>371</v>
      </c>
      <c r="U514" s="25" t="str">
        <f>IF(T514=1,COUNTIF($T$4:T514,1),"")</f>
        <v/>
      </c>
      <c r="V514" s="26" t="str">
        <f>'施設状況(要更新)'!$E514&amp;'施設状況(要更新)'!$C514</f>
        <v/>
      </c>
      <c r="W514" s="26">
        <f>'施設状況(要更新)'!$F514</f>
        <v>0</v>
      </c>
      <c r="X514" s="27"/>
      <c r="Y514" s="26"/>
    </row>
    <row r="515" spans="1:25" s="10" customFormat="1" ht="11.25">
      <c r="A515" s="18"/>
      <c r="B515" s="44"/>
      <c r="C515" s="40"/>
      <c r="D515" s="40"/>
      <c r="E515" s="40"/>
      <c r="F515" s="41"/>
      <c r="G515" s="41"/>
      <c r="H515" s="41"/>
      <c r="I515" s="41"/>
      <c r="J515" s="41"/>
      <c r="K515" s="41"/>
      <c r="L515" s="41"/>
      <c r="M515" s="41"/>
      <c r="N515" s="41"/>
      <c r="O515" s="41"/>
      <c r="P515" s="41"/>
      <c r="Q515" s="41"/>
      <c r="R515" s="40"/>
      <c r="S515" s="25">
        <f t="shared" si="19"/>
        <v>0</v>
      </c>
      <c r="T515" s="25">
        <f>COUNTIF($V$4:V515,V515)</f>
        <v>372</v>
      </c>
      <c r="U515" s="25" t="str">
        <f>IF(T515=1,COUNTIF($T$4:T515,1),"")</f>
        <v/>
      </c>
      <c r="V515" s="26" t="str">
        <f>'施設状況(要更新)'!$E515&amp;'施設状況(要更新)'!$C515</f>
        <v/>
      </c>
      <c r="W515" s="26">
        <f>'施設状況(要更新)'!$F515</f>
        <v>0</v>
      </c>
      <c r="X515" s="27"/>
      <c r="Y515" s="26"/>
    </row>
    <row r="516" spans="1:25" s="10" customFormat="1" ht="11.25">
      <c r="A516" s="18"/>
      <c r="B516" s="44"/>
      <c r="C516" s="40"/>
      <c r="D516" s="40"/>
      <c r="E516" s="40"/>
      <c r="F516" s="41"/>
      <c r="G516" s="41"/>
      <c r="H516" s="41"/>
      <c r="I516" s="41"/>
      <c r="J516" s="41"/>
      <c r="K516" s="41"/>
      <c r="L516" s="41"/>
      <c r="M516" s="41"/>
      <c r="N516" s="41"/>
      <c r="O516" s="41"/>
      <c r="P516" s="41"/>
      <c r="Q516" s="41"/>
      <c r="R516" s="40"/>
      <c r="S516" s="25">
        <f t="shared" si="19"/>
        <v>0</v>
      </c>
      <c r="T516" s="25">
        <f>COUNTIF($V$4:V516,V516)</f>
        <v>373</v>
      </c>
      <c r="U516" s="25" t="str">
        <f>IF(T516=1,COUNTIF($T$4:T516,1),"")</f>
        <v/>
      </c>
      <c r="V516" s="26" t="str">
        <f>'施設状況(要更新)'!$E516&amp;'施設状況(要更新)'!$C516</f>
        <v/>
      </c>
      <c r="W516" s="26">
        <f>'施設状況(要更新)'!$F516</f>
        <v>0</v>
      </c>
      <c r="X516" s="27"/>
      <c r="Y516" s="26"/>
    </row>
    <row r="517" spans="1:25" s="10" customFormat="1" ht="11.25">
      <c r="A517" s="18"/>
      <c r="B517" s="44"/>
      <c r="C517" s="40"/>
      <c r="D517" s="40"/>
      <c r="E517" s="40"/>
      <c r="F517" s="41"/>
      <c r="G517" s="41"/>
      <c r="H517" s="41"/>
      <c r="I517" s="41"/>
      <c r="J517" s="41"/>
      <c r="K517" s="41"/>
      <c r="L517" s="41"/>
      <c r="M517" s="41"/>
      <c r="N517" s="41"/>
      <c r="O517" s="41"/>
      <c r="P517" s="41"/>
      <c r="Q517" s="41"/>
      <c r="R517" s="40"/>
      <c r="S517" s="25">
        <f t="shared" ref="S517:S580" si="20">A517</f>
        <v>0</v>
      </c>
      <c r="T517" s="25">
        <f>COUNTIF($V$4:V517,V517)</f>
        <v>374</v>
      </c>
      <c r="U517" s="25" t="str">
        <f>IF(T517=1,COUNTIF($T$4:T517,1),"")</f>
        <v/>
      </c>
      <c r="V517" s="26" t="str">
        <f>'施設状況(要更新)'!$E517&amp;'施設状況(要更新)'!$C517</f>
        <v/>
      </c>
      <c r="W517" s="26">
        <f>'施設状況(要更新)'!$F517</f>
        <v>0</v>
      </c>
      <c r="X517" s="27"/>
      <c r="Y517" s="26"/>
    </row>
    <row r="518" spans="1:25" s="10" customFormat="1" ht="11.25">
      <c r="A518" s="18"/>
      <c r="B518" s="44"/>
      <c r="C518" s="40"/>
      <c r="D518" s="40"/>
      <c r="E518" s="40"/>
      <c r="F518" s="41"/>
      <c r="G518" s="41"/>
      <c r="H518" s="41"/>
      <c r="I518" s="41"/>
      <c r="J518" s="41"/>
      <c r="K518" s="41"/>
      <c r="L518" s="41"/>
      <c r="M518" s="41"/>
      <c r="N518" s="41"/>
      <c r="O518" s="41"/>
      <c r="P518" s="41"/>
      <c r="Q518" s="41"/>
      <c r="R518" s="40"/>
      <c r="S518" s="25">
        <f t="shared" si="20"/>
        <v>0</v>
      </c>
      <c r="T518" s="25">
        <f>COUNTIF($V$4:V518,V518)</f>
        <v>375</v>
      </c>
      <c r="U518" s="25" t="str">
        <f>IF(T518=1,COUNTIF($T$4:T518,1),"")</f>
        <v/>
      </c>
      <c r="V518" s="26" t="str">
        <f>'施設状況(要更新)'!$E518&amp;'施設状況(要更新)'!$C518</f>
        <v/>
      </c>
      <c r="W518" s="26">
        <f>'施設状況(要更新)'!$F518</f>
        <v>0</v>
      </c>
      <c r="X518" s="27"/>
      <c r="Y518" s="26"/>
    </row>
    <row r="519" spans="1:25" s="10" customFormat="1" ht="11.25">
      <c r="A519" s="18"/>
      <c r="B519" s="44"/>
      <c r="C519" s="40"/>
      <c r="D519" s="40"/>
      <c r="E519" s="40"/>
      <c r="F519" s="41"/>
      <c r="G519" s="41"/>
      <c r="H519" s="41"/>
      <c r="I519" s="41"/>
      <c r="J519" s="41"/>
      <c r="K519" s="41"/>
      <c r="L519" s="41"/>
      <c r="M519" s="41"/>
      <c r="N519" s="41"/>
      <c r="O519" s="41"/>
      <c r="P519" s="41"/>
      <c r="Q519" s="41"/>
      <c r="R519" s="40"/>
      <c r="S519" s="25">
        <f t="shared" si="20"/>
        <v>0</v>
      </c>
      <c r="T519" s="25">
        <f>COUNTIF($V$4:V519,V519)</f>
        <v>376</v>
      </c>
      <c r="U519" s="25" t="str">
        <f>IF(T519=1,COUNTIF($T$4:T519,1),"")</f>
        <v/>
      </c>
      <c r="V519" s="26" t="str">
        <f>'施設状況(要更新)'!$E519&amp;'施設状況(要更新)'!$C519</f>
        <v/>
      </c>
      <c r="W519" s="26">
        <f>'施設状況(要更新)'!$F519</f>
        <v>0</v>
      </c>
      <c r="X519" s="27"/>
      <c r="Y519" s="26"/>
    </row>
    <row r="520" spans="1:25" s="10" customFormat="1" ht="11.25">
      <c r="A520" s="18"/>
      <c r="B520" s="44"/>
      <c r="C520" s="40"/>
      <c r="D520" s="40"/>
      <c r="E520" s="40"/>
      <c r="F520" s="41"/>
      <c r="G520" s="41"/>
      <c r="H520" s="41"/>
      <c r="I520" s="41"/>
      <c r="J520" s="41"/>
      <c r="K520" s="41"/>
      <c r="L520" s="41"/>
      <c r="M520" s="41"/>
      <c r="N520" s="41"/>
      <c r="O520" s="41"/>
      <c r="P520" s="41"/>
      <c r="Q520" s="41"/>
      <c r="R520" s="40"/>
      <c r="S520" s="25">
        <f t="shared" si="20"/>
        <v>0</v>
      </c>
      <c r="T520" s="25">
        <f>COUNTIF($V$4:V520,V520)</f>
        <v>377</v>
      </c>
      <c r="U520" s="25" t="str">
        <f>IF(T520=1,COUNTIF($T$4:T520,1),"")</f>
        <v/>
      </c>
      <c r="V520" s="26" t="str">
        <f>'施設状況(要更新)'!$E520&amp;'施設状況(要更新)'!$C520</f>
        <v/>
      </c>
      <c r="W520" s="26">
        <f>'施設状況(要更新)'!$F520</f>
        <v>0</v>
      </c>
      <c r="X520" s="27"/>
      <c r="Y520" s="26"/>
    </row>
    <row r="521" spans="1:25" s="10" customFormat="1" ht="11.25">
      <c r="A521" s="18"/>
      <c r="B521" s="44"/>
      <c r="C521" s="40"/>
      <c r="D521" s="40"/>
      <c r="E521" s="40"/>
      <c r="F521" s="41"/>
      <c r="G521" s="41"/>
      <c r="H521" s="41"/>
      <c r="I521" s="41"/>
      <c r="J521" s="41"/>
      <c r="K521" s="41"/>
      <c r="L521" s="41"/>
      <c r="M521" s="41"/>
      <c r="N521" s="41"/>
      <c r="O521" s="41"/>
      <c r="P521" s="41"/>
      <c r="Q521" s="41"/>
      <c r="R521" s="40"/>
      <c r="S521" s="25">
        <f t="shared" si="20"/>
        <v>0</v>
      </c>
      <c r="T521" s="25">
        <f>COUNTIF($V$4:V521,V521)</f>
        <v>378</v>
      </c>
      <c r="U521" s="25" t="str">
        <f>IF(T521=1,COUNTIF($T$4:T521,1),"")</f>
        <v/>
      </c>
      <c r="V521" s="26" t="str">
        <f>'施設状況(要更新)'!$E521&amp;'施設状況(要更新)'!$C521</f>
        <v/>
      </c>
      <c r="W521" s="26">
        <f>'施設状況(要更新)'!$F521</f>
        <v>0</v>
      </c>
      <c r="X521" s="27"/>
      <c r="Y521" s="26"/>
    </row>
    <row r="522" spans="1:25" s="10" customFormat="1" ht="11.25">
      <c r="A522" s="18"/>
      <c r="B522" s="44"/>
      <c r="C522" s="40"/>
      <c r="D522" s="40"/>
      <c r="E522" s="40"/>
      <c r="F522" s="41"/>
      <c r="G522" s="41"/>
      <c r="H522" s="41"/>
      <c r="I522" s="41"/>
      <c r="J522" s="41"/>
      <c r="K522" s="41"/>
      <c r="L522" s="41"/>
      <c r="M522" s="41"/>
      <c r="N522" s="41"/>
      <c r="O522" s="41"/>
      <c r="P522" s="41"/>
      <c r="Q522" s="41"/>
      <c r="R522" s="40"/>
      <c r="S522" s="25">
        <f t="shared" si="20"/>
        <v>0</v>
      </c>
      <c r="T522" s="25">
        <f>COUNTIF($V$4:V522,V522)</f>
        <v>379</v>
      </c>
      <c r="U522" s="25" t="str">
        <f>IF(T522=1,COUNTIF($T$4:T522,1),"")</f>
        <v/>
      </c>
      <c r="V522" s="26" t="str">
        <f>'施設状況(要更新)'!$E522&amp;'施設状況(要更新)'!$C522</f>
        <v/>
      </c>
      <c r="W522" s="26">
        <f>'施設状況(要更新)'!$F522</f>
        <v>0</v>
      </c>
      <c r="X522" s="27"/>
      <c r="Y522" s="26"/>
    </row>
    <row r="523" spans="1:25" s="10" customFormat="1" ht="11.25">
      <c r="A523" s="18"/>
      <c r="B523" s="44"/>
      <c r="C523" s="40"/>
      <c r="D523" s="40"/>
      <c r="E523" s="40"/>
      <c r="F523" s="41"/>
      <c r="G523" s="41"/>
      <c r="H523" s="41"/>
      <c r="I523" s="41"/>
      <c r="J523" s="41"/>
      <c r="K523" s="41"/>
      <c r="L523" s="41"/>
      <c r="M523" s="41"/>
      <c r="N523" s="41"/>
      <c r="O523" s="41"/>
      <c r="P523" s="41"/>
      <c r="Q523" s="41"/>
      <c r="R523" s="40"/>
      <c r="S523" s="25">
        <f t="shared" si="20"/>
        <v>0</v>
      </c>
      <c r="T523" s="25">
        <f>COUNTIF($V$4:V523,V523)</f>
        <v>380</v>
      </c>
      <c r="U523" s="25" t="str">
        <f>IF(T523=1,COUNTIF($T$4:T523,1),"")</f>
        <v/>
      </c>
      <c r="V523" s="26" t="str">
        <f>'施設状況(要更新)'!$E523&amp;'施設状況(要更新)'!$C523</f>
        <v/>
      </c>
      <c r="W523" s="26">
        <f>'施設状況(要更新)'!$F523</f>
        <v>0</v>
      </c>
      <c r="X523" s="27"/>
      <c r="Y523" s="26"/>
    </row>
    <row r="524" spans="1:25" s="10" customFormat="1" ht="11.25">
      <c r="A524" s="18"/>
      <c r="B524" s="44"/>
      <c r="C524" s="40"/>
      <c r="D524" s="40"/>
      <c r="E524" s="40"/>
      <c r="F524" s="41"/>
      <c r="G524" s="41"/>
      <c r="H524" s="41"/>
      <c r="I524" s="41"/>
      <c r="J524" s="41"/>
      <c r="K524" s="41"/>
      <c r="L524" s="41"/>
      <c r="M524" s="41"/>
      <c r="N524" s="41"/>
      <c r="O524" s="41"/>
      <c r="P524" s="41"/>
      <c r="Q524" s="41"/>
      <c r="R524" s="40"/>
      <c r="S524" s="25">
        <f t="shared" si="20"/>
        <v>0</v>
      </c>
      <c r="T524" s="25">
        <f>COUNTIF($V$4:V524,V524)</f>
        <v>381</v>
      </c>
      <c r="U524" s="25" t="str">
        <f>IF(T524=1,COUNTIF($T$4:T524,1),"")</f>
        <v/>
      </c>
      <c r="V524" s="26" t="str">
        <f>'施設状況(要更新)'!$E524&amp;'施設状況(要更新)'!$C524</f>
        <v/>
      </c>
      <c r="W524" s="26">
        <f>'施設状況(要更新)'!$F524</f>
        <v>0</v>
      </c>
      <c r="X524" s="27"/>
      <c r="Y524" s="26"/>
    </row>
    <row r="525" spans="1:25" s="10" customFormat="1" ht="11.25">
      <c r="A525" s="18"/>
      <c r="B525" s="44"/>
      <c r="C525" s="40"/>
      <c r="D525" s="40"/>
      <c r="E525" s="40"/>
      <c r="F525" s="41"/>
      <c r="G525" s="41"/>
      <c r="H525" s="41"/>
      <c r="I525" s="41"/>
      <c r="J525" s="41"/>
      <c r="K525" s="41"/>
      <c r="L525" s="41"/>
      <c r="M525" s="41"/>
      <c r="N525" s="41"/>
      <c r="O525" s="41"/>
      <c r="P525" s="41"/>
      <c r="Q525" s="41"/>
      <c r="R525" s="40"/>
      <c r="S525" s="25">
        <f t="shared" si="20"/>
        <v>0</v>
      </c>
      <c r="T525" s="25">
        <f>COUNTIF($V$4:V525,V525)</f>
        <v>382</v>
      </c>
      <c r="U525" s="25" t="str">
        <f>IF(T525=1,COUNTIF($T$4:T525,1),"")</f>
        <v/>
      </c>
      <c r="V525" s="26" t="str">
        <f>'施設状況(要更新)'!$E525&amp;'施設状況(要更新)'!$C525</f>
        <v/>
      </c>
      <c r="W525" s="26">
        <f>'施設状況(要更新)'!$F525</f>
        <v>0</v>
      </c>
      <c r="X525" s="27"/>
      <c r="Y525" s="26"/>
    </row>
    <row r="526" spans="1:25" s="10" customFormat="1" ht="11.25">
      <c r="A526" s="18"/>
      <c r="B526" s="44"/>
      <c r="C526" s="40"/>
      <c r="D526" s="40"/>
      <c r="E526" s="40"/>
      <c r="F526" s="41"/>
      <c r="G526" s="41"/>
      <c r="H526" s="41"/>
      <c r="I526" s="41"/>
      <c r="J526" s="41"/>
      <c r="K526" s="41"/>
      <c r="L526" s="41"/>
      <c r="M526" s="41"/>
      <c r="N526" s="41"/>
      <c r="O526" s="41"/>
      <c r="P526" s="41"/>
      <c r="Q526" s="41"/>
      <c r="R526" s="40"/>
      <c r="S526" s="25">
        <f t="shared" si="20"/>
        <v>0</v>
      </c>
      <c r="T526" s="25">
        <f>COUNTIF($V$4:V526,V526)</f>
        <v>383</v>
      </c>
      <c r="U526" s="25" t="str">
        <f>IF(T526=1,COUNTIF($T$4:T526,1),"")</f>
        <v/>
      </c>
      <c r="V526" s="26" t="str">
        <f>'施設状況(要更新)'!$E526&amp;'施設状況(要更新)'!$C526</f>
        <v/>
      </c>
      <c r="W526" s="26">
        <f>'施設状況(要更新)'!$F526</f>
        <v>0</v>
      </c>
      <c r="X526" s="27"/>
      <c r="Y526" s="26"/>
    </row>
    <row r="527" spans="1:25" s="10" customFormat="1" ht="11.25">
      <c r="A527" s="18"/>
      <c r="B527" s="44"/>
      <c r="C527" s="40"/>
      <c r="D527" s="40"/>
      <c r="E527" s="40"/>
      <c r="F527" s="41"/>
      <c r="G527" s="41"/>
      <c r="H527" s="41"/>
      <c r="I527" s="41"/>
      <c r="J527" s="41"/>
      <c r="K527" s="41"/>
      <c r="L527" s="41"/>
      <c r="M527" s="41"/>
      <c r="N527" s="41"/>
      <c r="O527" s="41"/>
      <c r="P527" s="41"/>
      <c r="Q527" s="41"/>
      <c r="R527" s="40"/>
      <c r="S527" s="25">
        <f t="shared" si="20"/>
        <v>0</v>
      </c>
      <c r="T527" s="25">
        <f>COUNTIF($V$4:V527,V527)</f>
        <v>384</v>
      </c>
      <c r="U527" s="25" t="str">
        <f>IF(T527=1,COUNTIF($T$4:T527,1),"")</f>
        <v/>
      </c>
      <c r="V527" s="26" t="str">
        <f>'施設状況(要更新)'!$E527&amp;'施設状況(要更新)'!$C527</f>
        <v/>
      </c>
      <c r="W527" s="26">
        <f>'施設状況(要更新)'!$F527</f>
        <v>0</v>
      </c>
      <c r="X527" s="27"/>
      <c r="Y527" s="26"/>
    </row>
    <row r="528" spans="1:25" s="10" customFormat="1" ht="11.25">
      <c r="A528" s="18"/>
      <c r="B528" s="44"/>
      <c r="C528" s="40"/>
      <c r="D528" s="40"/>
      <c r="E528" s="40"/>
      <c r="F528" s="41"/>
      <c r="G528" s="41"/>
      <c r="H528" s="41"/>
      <c r="I528" s="41"/>
      <c r="J528" s="41"/>
      <c r="K528" s="41"/>
      <c r="L528" s="41"/>
      <c r="M528" s="41"/>
      <c r="N528" s="41"/>
      <c r="O528" s="41"/>
      <c r="P528" s="41"/>
      <c r="Q528" s="41"/>
      <c r="R528" s="40"/>
      <c r="S528" s="25">
        <f t="shared" si="20"/>
        <v>0</v>
      </c>
      <c r="T528" s="25">
        <f>COUNTIF($V$4:V528,V528)</f>
        <v>385</v>
      </c>
      <c r="U528" s="25" t="str">
        <f>IF(T528=1,COUNTIF($T$4:T528,1),"")</f>
        <v/>
      </c>
      <c r="V528" s="26" t="str">
        <f>'施設状況(要更新)'!$E528&amp;'施設状況(要更新)'!$C528</f>
        <v/>
      </c>
      <c r="W528" s="26">
        <f>'施設状況(要更新)'!$F528</f>
        <v>0</v>
      </c>
      <c r="X528" s="27"/>
      <c r="Y528" s="26"/>
    </row>
    <row r="529" spans="1:25" s="10" customFormat="1" ht="11.25">
      <c r="A529" s="18"/>
      <c r="B529" s="44"/>
      <c r="C529" s="40"/>
      <c r="D529" s="40"/>
      <c r="E529" s="40"/>
      <c r="F529" s="41"/>
      <c r="G529" s="41"/>
      <c r="H529" s="41"/>
      <c r="I529" s="41"/>
      <c r="J529" s="41"/>
      <c r="K529" s="41"/>
      <c r="L529" s="41"/>
      <c r="M529" s="41"/>
      <c r="N529" s="41"/>
      <c r="O529" s="41"/>
      <c r="P529" s="41"/>
      <c r="Q529" s="41"/>
      <c r="R529" s="40"/>
      <c r="S529" s="25">
        <f t="shared" si="20"/>
        <v>0</v>
      </c>
      <c r="T529" s="25">
        <f>COUNTIF($V$4:V529,V529)</f>
        <v>386</v>
      </c>
      <c r="U529" s="25" t="str">
        <f>IF(T529=1,COUNTIF($T$4:T529,1),"")</f>
        <v/>
      </c>
      <c r="V529" s="26" t="str">
        <f>'施設状況(要更新)'!$E529&amp;'施設状況(要更新)'!$C529</f>
        <v/>
      </c>
      <c r="W529" s="26">
        <f>'施設状況(要更新)'!$F529</f>
        <v>0</v>
      </c>
      <c r="X529" s="27"/>
      <c r="Y529" s="26"/>
    </row>
    <row r="530" spans="1:25" s="10" customFormat="1" ht="11.25">
      <c r="A530" s="18"/>
      <c r="B530" s="44"/>
      <c r="C530" s="40"/>
      <c r="D530" s="40"/>
      <c r="E530" s="40"/>
      <c r="F530" s="41"/>
      <c r="G530" s="41"/>
      <c r="H530" s="41"/>
      <c r="I530" s="41"/>
      <c r="J530" s="41"/>
      <c r="K530" s="41"/>
      <c r="L530" s="41"/>
      <c r="M530" s="41"/>
      <c r="N530" s="41"/>
      <c r="O530" s="41"/>
      <c r="P530" s="41"/>
      <c r="Q530" s="41"/>
      <c r="R530" s="40"/>
      <c r="S530" s="25">
        <f t="shared" si="20"/>
        <v>0</v>
      </c>
      <c r="T530" s="25">
        <f>COUNTIF($V$4:V530,V530)</f>
        <v>387</v>
      </c>
      <c r="U530" s="25" t="str">
        <f>IF(T530=1,COUNTIF($T$4:T530,1),"")</f>
        <v/>
      </c>
      <c r="V530" s="26" t="str">
        <f>'施設状況(要更新)'!$E530&amp;'施設状況(要更新)'!$C530</f>
        <v/>
      </c>
      <c r="W530" s="26">
        <f>'施設状況(要更新)'!$F530</f>
        <v>0</v>
      </c>
      <c r="X530" s="27"/>
      <c r="Y530" s="26"/>
    </row>
    <row r="531" spans="1:25" s="10" customFormat="1" ht="11.25">
      <c r="A531" s="18"/>
      <c r="B531" s="44"/>
      <c r="C531" s="40"/>
      <c r="D531" s="40"/>
      <c r="E531" s="40"/>
      <c r="F531" s="41"/>
      <c r="G531" s="41"/>
      <c r="H531" s="41"/>
      <c r="I531" s="41"/>
      <c r="J531" s="41"/>
      <c r="K531" s="41"/>
      <c r="L531" s="41"/>
      <c r="M531" s="41"/>
      <c r="N531" s="41"/>
      <c r="O531" s="41"/>
      <c r="P531" s="41"/>
      <c r="Q531" s="41"/>
      <c r="R531" s="40"/>
      <c r="S531" s="25">
        <f t="shared" si="20"/>
        <v>0</v>
      </c>
      <c r="T531" s="25">
        <f>COUNTIF($V$4:V531,V531)</f>
        <v>388</v>
      </c>
      <c r="U531" s="25" t="str">
        <f>IF(T531=1,COUNTIF($T$4:T531,1),"")</f>
        <v/>
      </c>
      <c r="V531" s="26" t="str">
        <f>'施設状況(要更新)'!$E531&amp;'施設状況(要更新)'!$C531</f>
        <v/>
      </c>
      <c r="W531" s="26">
        <f>'施設状況(要更新)'!$F531</f>
        <v>0</v>
      </c>
      <c r="X531" s="27"/>
      <c r="Y531" s="26"/>
    </row>
    <row r="532" spans="1:25" s="10" customFormat="1" ht="11.25">
      <c r="A532" s="18"/>
      <c r="B532" s="44"/>
      <c r="C532" s="40"/>
      <c r="D532" s="40"/>
      <c r="E532" s="40"/>
      <c r="F532" s="41"/>
      <c r="G532" s="41"/>
      <c r="H532" s="41"/>
      <c r="I532" s="41"/>
      <c r="J532" s="41"/>
      <c r="K532" s="41"/>
      <c r="L532" s="41"/>
      <c r="M532" s="41"/>
      <c r="N532" s="41"/>
      <c r="O532" s="41"/>
      <c r="P532" s="41"/>
      <c r="Q532" s="41"/>
      <c r="R532" s="40"/>
      <c r="S532" s="25">
        <f t="shared" si="20"/>
        <v>0</v>
      </c>
      <c r="T532" s="25">
        <f>COUNTIF($V$4:V532,V532)</f>
        <v>389</v>
      </c>
      <c r="U532" s="25" t="str">
        <f>IF(T532=1,COUNTIF($T$4:T532,1),"")</f>
        <v/>
      </c>
      <c r="V532" s="26" t="str">
        <f>'施設状況(要更新)'!$E532&amp;'施設状況(要更新)'!$C532</f>
        <v/>
      </c>
      <c r="W532" s="26">
        <f>'施設状況(要更新)'!$F532</f>
        <v>0</v>
      </c>
      <c r="X532" s="27"/>
      <c r="Y532" s="26"/>
    </row>
    <row r="533" spans="1:25" s="10" customFormat="1" ht="11.25">
      <c r="A533" s="18"/>
      <c r="B533" s="44"/>
      <c r="C533" s="40"/>
      <c r="D533" s="40"/>
      <c r="E533" s="40"/>
      <c r="F533" s="41"/>
      <c r="G533" s="41"/>
      <c r="H533" s="41"/>
      <c r="I533" s="41"/>
      <c r="J533" s="41"/>
      <c r="K533" s="41"/>
      <c r="L533" s="41"/>
      <c r="M533" s="41"/>
      <c r="N533" s="41"/>
      <c r="O533" s="41"/>
      <c r="P533" s="41"/>
      <c r="Q533" s="41"/>
      <c r="R533" s="40"/>
      <c r="S533" s="25">
        <f t="shared" si="20"/>
        <v>0</v>
      </c>
      <c r="T533" s="25">
        <f>COUNTIF($V$4:V533,V533)</f>
        <v>390</v>
      </c>
      <c r="U533" s="25" t="str">
        <f>IF(T533=1,COUNTIF($T$4:T533,1),"")</f>
        <v/>
      </c>
      <c r="V533" s="26" t="str">
        <f>'施設状況(要更新)'!$E533&amp;'施設状況(要更新)'!$C533</f>
        <v/>
      </c>
      <c r="W533" s="26">
        <f>'施設状況(要更新)'!$F533</f>
        <v>0</v>
      </c>
      <c r="X533" s="27"/>
      <c r="Y533" s="26"/>
    </row>
    <row r="534" spans="1:25" s="10" customFormat="1" ht="11.25">
      <c r="A534" s="18"/>
      <c r="B534" s="44"/>
      <c r="C534" s="40"/>
      <c r="D534" s="40"/>
      <c r="E534" s="40"/>
      <c r="F534" s="41"/>
      <c r="G534" s="41"/>
      <c r="H534" s="41"/>
      <c r="I534" s="41"/>
      <c r="J534" s="41"/>
      <c r="K534" s="41"/>
      <c r="L534" s="41"/>
      <c r="M534" s="41"/>
      <c r="N534" s="41"/>
      <c r="O534" s="41"/>
      <c r="P534" s="41"/>
      <c r="Q534" s="41"/>
      <c r="R534" s="40"/>
      <c r="S534" s="25">
        <f t="shared" si="20"/>
        <v>0</v>
      </c>
      <c r="T534" s="25">
        <f>COUNTIF($V$4:V534,V534)</f>
        <v>391</v>
      </c>
      <c r="U534" s="25" t="str">
        <f>IF(T534=1,COUNTIF($T$4:T534,1),"")</f>
        <v/>
      </c>
      <c r="V534" s="26" t="str">
        <f>'施設状況(要更新)'!$E534&amp;'施設状況(要更新)'!$C534</f>
        <v/>
      </c>
      <c r="W534" s="26">
        <f>'施設状況(要更新)'!$F534</f>
        <v>0</v>
      </c>
      <c r="X534" s="27"/>
      <c r="Y534" s="26"/>
    </row>
    <row r="535" spans="1:25" s="10" customFormat="1" ht="11.25">
      <c r="A535" s="18"/>
      <c r="B535" s="44"/>
      <c r="C535" s="40"/>
      <c r="D535" s="40"/>
      <c r="E535" s="40"/>
      <c r="F535" s="41"/>
      <c r="G535" s="41"/>
      <c r="H535" s="41"/>
      <c r="I535" s="41"/>
      <c r="J535" s="41"/>
      <c r="K535" s="41"/>
      <c r="L535" s="41"/>
      <c r="M535" s="41"/>
      <c r="N535" s="41"/>
      <c r="O535" s="41"/>
      <c r="P535" s="41"/>
      <c r="Q535" s="41"/>
      <c r="R535" s="40"/>
      <c r="S535" s="25">
        <f t="shared" si="20"/>
        <v>0</v>
      </c>
      <c r="T535" s="25">
        <f>COUNTIF($V$4:V535,V535)</f>
        <v>392</v>
      </c>
      <c r="U535" s="25" t="str">
        <f>IF(T535=1,COUNTIF($T$4:T535,1),"")</f>
        <v/>
      </c>
      <c r="V535" s="26" t="str">
        <f>'施設状況(要更新)'!$E535&amp;'施設状況(要更新)'!$C535</f>
        <v/>
      </c>
      <c r="W535" s="26">
        <f>'施設状況(要更新)'!$F535</f>
        <v>0</v>
      </c>
      <c r="X535" s="27"/>
      <c r="Y535" s="26"/>
    </row>
    <row r="536" spans="1:25" s="10" customFormat="1" ht="11.25">
      <c r="A536" s="18"/>
      <c r="B536" s="44"/>
      <c r="C536" s="40"/>
      <c r="D536" s="40"/>
      <c r="E536" s="40"/>
      <c r="F536" s="41"/>
      <c r="G536" s="41"/>
      <c r="H536" s="41"/>
      <c r="I536" s="41"/>
      <c r="J536" s="41"/>
      <c r="K536" s="41"/>
      <c r="L536" s="41"/>
      <c r="M536" s="41"/>
      <c r="N536" s="41"/>
      <c r="O536" s="41"/>
      <c r="P536" s="41"/>
      <c r="Q536" s="41"/>
      <c r="R536" s="40"/>
      <c r="S536" s="25">
        <f t="shared" si="20"/>
        <v>0</v>
      </c>
      <c r="T536" s="25">
        <f>COUNTIF($V$4:V536,V536)</f>
        <v>393</v>
      </c>
      <c r="U536" s="25" t="str">
        <f>IF(T536=1,COUNTIF($T$4:T536,1),"")</f>
        <v/>
      </c>
      <c r="V536" s="26" t="str">
        <f>'施設状況(要更新)'!$E536&amp;'施設状況(要更新)'!$C536</f>
        <v/>
      </c>
      <c r="W536" s="26">
        <f>'施設状況(要更新)'!$F536</f>
        <v>0</v>
      </c>
      <c r="X536" s="27"/>
      <c r="Y536" s="26"/>
    </row>
    <row r="537" spans="1:25" s="10" customFormat="1" ht="11.25">
      <c r="A537" s="18"/>
      <c r="B537" s="44"/>
      <c r="C537" s="40"/>
      <c r="D537" s="40"/>
      <c r="E537" s="40"/>
      <c r="F537" s="41"/>
      <c r="G537" s="41"/>
      <c r="H537" s="41"/>
      <c r="I537" s="41"/>
      <c r="J537" s="41"/>
      <c r="K537" s="41"/>
      <c r="L537" s="41"/>
      <c r="M537" s="41"/>
      <c r="N537" s="41"/>
      <c r="O537" s="41"/>
      <c r="P537" s="41"/>
      <c r="Q537" s="41"/>
      <c r="R537" s="40"/>
      <c r="S537" s="25">
        <f t="shared" si="20"/>
        <v>0</v>
      </c>
      <c r="T537" s="25">
        <f>COUNTIF($V$4:V537,V537)</f>
        <v>394</v>
      </c>
      <c r="U537" s="25" t="str">
        <f>IF(T537=1,COUNTIF($T$4:T537,1),"")</f>
        <v/>
      </c>
      <c r="V537" s="26" t="str">
        <f>'施設状況(要更新)'!$E537&amp;'施設状況(要更新)'!$C537</f>
        <v/>
      </c>
      <c r="W537" s="26">
        <f>'施設状況(要更新)'!$F537</f>
        <v>0</v>
      </c>
      <c r="X537" s="27"/>
      <c r="Y537" s="26"/>
    </row>
    <row r="538" spans="1:25" s="10" customFormat="1" ht="11.25">
      <c r="A538" s="18"/>
      <c r="B538" s="44"/>
      <c r="C538" s="40"/>
      <c r="D538" s="40"/>
      <c r="E538" s="40"/>
      <c r="F538" s="41"/>
      <c r="G538" s="41"/>
      <c r="H538" s="41"/>
      <c r="I538" s="41"/>
      <c r="J538" s="41"/>
      <c r="K538" s="41"/>
      <c r="L538" s="41"/>
      <c r="M538" s="41"/>
      <c r="N538" s="41"/>
      <c r="O538" s="41"/>
      <c r="P538" s="41"/>
      <c r="Q538" s="41"/>
      <c r="R538" s="40"/>
      <c r="S538" s="25">
        <f t="shared" si="20"/>
        <v>0</v>
      </c>
      <c r="T538" s="25">
        <f>COUNTIF($V$4:V538,V538)</f>
        <v>395</v>
      </c>
      <c r="U538" s="25" t="str">
        <f>IF(T538=1,COUNTIF($T$4:T538,1),"")</f>
        <v/>
      </c>
      <c r="V538" s="26" t="str">
        <f>'施設状況(要更新)'!$E538&amp;'施設状況(要更新)'!$C538</f>
        <v/>
      </c>
      <c r="W538" s="26">
        <f>'施設状況(要更新)'!$F538</f>
        <v>0</v>
      </c>
      <c r="X538" s="27"/>
      <c r="Y538" s="26"/>
    </row>
    <row r="539" spans="1:25" s="10" customFormat="1" ht="11.25">
      <c r="A539" s="18"/>
      <c r="B539" s="44"/>
      <c r="C539" s="40"/>
      <c r="D539" s="40"/>
      <c r="E539" s="40"/>
      <c r="F539" s="41"/>
      <c r="G539" s="41"/>
      <c r="H539" s="41"/>
      <c r="I539" s="41"/>
      <c r="J539" s="41"/>
      <c r="K539" s="41"/>
      <c r="L539" s="41"/>
      <c r="M539" s="41"/>
      <c r="N539" s="41"/>
      <c r="O539" s="41"/>
      <c r="P539" s="41"/>
      <c r="Q539" s="41"/>
      <c r="R539" s="40"/>
      <c r="S539" s="25">
        <f t="shared" si="20"/>
        <v>0</v>
      </c>
      <c r="T539" s="25">
        <f>COUNTIF($V$4:V539,V539)</f>
        <v>396</v>
      </c>
      <c r="U539" s="25" t="str">
        <f>IF(T539=1,COUNTIF($T$4:T539,1),"")</f>
        <v/>
      </c>
      <c r="V539" s="26" t="str">
        <f>'施設状況(要更新)'!$E539&amp;'施設状況(要更新)'!$C539</f>
        <v/>
      </c>
      <c r="W539" s="26">
        <f>'施設状況(要更新)'!$F539</f>
        <v>0</v>
      </c>
      <c r="X539" s="27"/>
      <c r="Y539" s="26"/>
    </row>
    <row r="540" spans="1:25" s="10" customFormat="1" ht="11.25">
      <c r="A540" s="18"/>
      <c r="B540" s="44"/>
      <c r="C540" s="40"/>
      <c r="D540" s="40"/>
      <c r="E540" s="40"/>
      <c r="F540" s="41"/>
      <c r="G540" s="41"/>
      <c r="H540" s="41"/>
      <c r="I540" s="41"/>
      <c r="J540" s="41"/>
      <c r="K540" s="41"/>
      <c r="L540" s="41"/>
      <c r="M540" s="41"/>
      <c r="N540" s="41"/>
      <c r="O540" s="41"/>
      <c r="P540" s="41"/>
      <c r="Q540" s="41"/>
      <c r="R540" s="40"/>
      <c r="S540" s="25">
        <f t="shared" si="20"/>
        <v>0</v>
      </c>
      <c r="T540" s="25">
        <f>COUNTIF($V$4:V540,V540)</f>
        <v>397</v>
      </c>
      <c r="U540" s="25" t="str">
        <f>IF(T540=1,COUNTIF($T$4:T540,1),"")</f>
        <v/>
      </c>
      <c r="V540" s="26" t="str">
        <f>'施設状況(要更新)'!$E540&amp;'施設状況(要更新)'!$C540</f>
        <v/>
      </c>
      <c r="W540" s="26">
        <f>'施設状況(要更新)'!$F540</f>
        <v>0</v>
      </c>
      <c r="X540" s="27"/>
      <c r="Y540" s="26"/>
    </row>
    <row r="541" spans="1:25" s="10" customFormat="1" ht="11.25">
      <c r="A541" s="18"/>
      <c r="B541" s="44"/>
      <c r="C541" s="40"/>
      <c r="D541" s="40"/>
      <c r="E541" s="40"/>
      <c r="F541" s="41"/>
      <c r="G541" s="41"/>
      <c r="H541" s="41"/>
      <c r="I541" s="41"/>
      <c r="J541" s="41"/>
      <c r="K541" s="41"/>
      <c r="L541" s="41"/>
      <c r="M541" s="41"/>
      <c r="N541" s="41"/>
      <c r="O541" s="41"/>
      <c r="P541" s="41"/>
      <c r="Q541" s="41"/>
      <c r="R541" s="40"/>
      <c r="S541" s="25">
        <f t="shared" si="20"/>
        <v>0</v>
      </c>
      <c r="T541" s="25">
        <f>COUNTIF($V$4:V541,V541)</f>
        <v>398</v>
      </c>
      <c r="U541" s="25" t="str">
        <f>IF(T541=1,COUNTIF($T$4:T541,1),"")</f>
        <v/>
      </c>
      <c r="V541" s="26" t="str">
        <f>'施設状況(要更新)'!$E541&amp;'施設状況(要更新)'!$C541</f>
        <v/>
      </c>
      <c r="W541" s="26">
        <f>'施設状況(要更新)'!$F541</f>
        <v>0</v>
      </c>
      <c r="X541" s="27"/>
      <c r="Y541" s="26"/>
    </row>
    <row r="542" spans="1:25" s="10" customFormat="1" ht="11.25">
      <c r="A542" s="18"/>
      <c r="B542" s="44"/>
      <c r="C542" s="40"/>
      <c r="D542" s="40"/>
      <c r="E542" s="40"/>
      <c r="F542" s="41"/>
      <c r="G542" s="41"/>
      <c r="H542" s="41"/>
      <c r="I542" s="41"/>
      <c r="J542" s="41"/>
      <c r="K542" s="41"/>
      <c r="L542" s="41"/>
      <c r="M542" s="41"/>
      <c r="N542" s="41"/>
      <c r="O542" s="41"/>
      <c r="P542" s="41"/>
      <c r="Q542" s="41"/>
      <c r="R542" s="40"/>
      <c r="S542" s="25">
        <f t="shared" si="20"/>
        <v>0</v>
      </c>
      <c r="T542" s="25">
        <f>COUNTIF($V$4:V542,V542)</f>
        <v>399</v>
      </c>
      <c r="U542" s="25" t="str">
        <f>IF(T542=1,COUNTIF($T$4:T542,1),"")</f>
        <v/>
      </c>
      <c r="V542" s="26" t="str">
        <f>'施設状況(要更新)'!$E542&amp;'施設状況(要更新)'!$C542</f>
        <v/>
      </c>
      <c r="W542" s="26">
        <f>'施設状況(要更新)'!$F542</f>
        <v>0</v>
      </c>
      <c r="X542" s="27"/>
      <c r="Y542" s="26"/>
    </row>
    <row r="543" spans="1:25" s="10" customFormat="1" ht="11.25">
      <c r="A543" s="18"/>
      <c r="B543" s="44"/>
      <c r="C543" s="40"/>
      <c r="D543" s="40"/>
      <c r="E543" s="40"/>
      <c r="F543" s="41"/>
      <c r="G543" s="41"/>
      <c r="H543" s="41"/>
      <c r="I543" s="41"/>
      <c r="J543" s="41"/>
      <c r="K543" s="41"/>
      <c r="L543" s="41"/>
      <c r="M543" s="41"/>
      <c r="N543" s="41"/>
      <c r="O543" s="41"/>
      <c r="P543" s="41"/>
      <c r="Q543" s="41"/>
      <c r="R543" s="40"/>
      <c r="S543" s="25">
        <f t="shared" si="20"/>
        <v>0</v>
      </c>
      <c r="T543" s="25">
        <f>COUNTIF($V$4:V543,V543)</f>
        <v>400</v>
      </c>
      <c r="U543" s="25" t="str">
        <f>IF(T543=1,COUNTIF($T$4:T543,1),"")</f>
        <v/>
      </c>
      <c r="V543" s="26" t="str">
        <f>'施設状況(要更新)'!$E543&amp;'施設状況(要更新)'!$C543</f>
        <v/>
      </c>
      <c r="W543" s="26">
        <f>'施設状況(要更新)'!$F543</f>
        <v>0</v>
      </c>
      <c r="X543" s="27"/>
      <c r="Y543" s="26"/>
    </row>
    <row r="544" spans="1:25" s="10" customFormat="1" ht="11.25">
      <c r="A544" s="18"/>
      <c r="B544" s="44"/>
      <c r="C544" s="40"/>
      <c r="D544" s="40"/>
      <c r="E544" s="40"/>
      <c r="F544" s="41"/>
      <c r="G544" s="41"/>
      <c r="H544" s="41"/>
      <c r="I544" s="41"/>
      <c r="J544" s="41"/>
      <c r="K544" s="41"/>
      <c r="L544" s="41"/>
      <c r="M544" s="41"/>
      <c r="N544" s="41"/>
      <c r="O544" s="41"/>
      <c r="P544" s="41"/>
      <c r="Q544" s="41"/>
      <c r="R544" s="40"/>
      <c r="S544" s="25">
        <f t="shared" si="20"/>
        <v>0</v>
      </c>
      <c r="T544" s="25">
        <f>COUNTIF($V$4:V544,V544)</f>
        <v>401</v>
      </c>
      <c r="U544" s="25" t="str">
        <f>IF(T544=1,COUNTIF($T$4:T544,1),"")</f>
        <v/>
      </c>
      <c r="V544" s="26" t="str">
        <f>'施設状況(要更新)'!$E544&amp;'施設状況(要更新)'!$C544</f>
        <v/>
      </c>
      <c r="W544" s="26">
        <f>'施設状況(要更新)'!$F544</f>
        <v>0</v>
      </c>
      <c r="X544" s="27"/>
      <c r="Y544" s="26"/>
    </row>
    <row r="545" spans="1:25" s="10" customFormat="1" ht="11.25">
      <c r="A545" s="18"/>
      <c r="B545" s="44"/>
      <c r="C545" s="40"/>
      <c r="D545" s="40"/>
      <c r="E545" s="40"/>
      <c r="F545" s="41"/>
      <c r="G545" s="41"/>
      <c r="H545" s="41"/>
      <c r="I545" s="41"/>
      <c r="J545" s="41"/>
      <c r="K545" s="41"/>
      <c r="L545" s="41"/>
      <c r="M545" s="41"/>
      <c r="N545" s="41"/>
      <c r="O545" s="41"/>
      <c r="P545" s="41"/>
      <c r="Q545" s="41"/>
      <c r="R545" s="40"/>
      <c r="S545" s="25">
        <f t="shared" si="20"/>
        <v>0</v>
      </c>
      <c r="T545" s="25">
        <f>COUNTIF($V$4:V545,V545)</f>
        <v>402</v>
      </c>
      <c r="U545" s="25" t="str">
        <f>IF(T545=1,COUNTIF($T$4:T545,1),"")</f>
        <v/>
      </c>
      <c r="V545" s="26" t="str">
        <f>'施設状況(要更新)'!$E545&amp;'施設状況(要更新)'!$C545</f>
        <v/>
      </c>
      <c r="W545" s="26">
        <f>'施設状況(要更新)'!$F545</f>
        <v>0</v>
      </c>
      <c r="X545" s="27"/>
      <c r="Y545" s="26"/>
    </row>
    <row r="546" spans="1:25" s="10" customFormat="1" ht="11.25">
      <c r="A546" s="18"/>
      <c r="B546" s="44"/>
      <c r="C546" s="40"/>
      <c r="D546" s="40"/>
      <c r="E546" s="40"/>
      <c r="F546" s="41"/>
      <c r="G546" s="41"/>
      <c r="H546" s="41"/>
      <c r="I546" s="41"/>
      <c r="J546" s="43"/>
      <c r="K546" s="43"/>
      <c r="L546" s="43"/>
      <c r="M546" s="43"/>
      <c r="N546" s="43"/>
      <c r="O546" s="43"/>
      <c r="P546" s="43"/>
      <c r="Q546" s="43"/>
      <c r="R546" s="32"/>
      <c r="S546" s="25">
        <f t="shared" si="20"/>
        <v>0</v>
      </c>
      <c r="T546" s="25">
        <f>COUNTIF($V$4:V546,V546)</f>
        <v>403</v>
      </c>
      <c r="U546" s="25" t="str">
        <f>IF(T546=1,COUNTIF($T$4:T546,1),"")</f>
        <v/>
      </c>
      <c r="V546" s="26" t="str">
        <f>'施設状況(要更新)'!$E546&amp;'施設状況(要更新)'!$C546</f>
        <v/>
      </c>
      <c r="W546" s="26">
        <f>'施設状況(要更新)'!$F546</f>
        <v>0</v>
      </c>
      <c r="X546" s="27"/>
      <c r="Y546" s="26"/>
    </row>
    <row r="547" spans="1:25" s="10" customFormat="1" ht="11.25">
      <c r="A547" s="18"/>
      <c r="B547" s="44"/>
      <c r="C547" s="40"/>
      <c r="D547" s="40"/>
      <c r="E547" s="40"/>
      <c r="F547" s="41"/>
      <c r="G547" s="41"/>
      <c r="H547" s="41"/>
      <c r="I547" s="41"/>
      <c r="J547" s="41"/>
      <c r="K547" s="41"/>
      <c r="L547" s="41"/>
      <c r="M547" s="41"/>
      <c r="N547" s="41"/>
      <c r="O547" s="41"/>
      <c r="P547" s="41"/>
      <c r="Q547" s="41"/>
      <c r="R547" s="40"/>
      <c r="S547" s="25">
        <f t="shared" si="20"/>
        <v>0</v>
      </c>
      <c r="T547" s="25">
        <f>COUNTIF($V$4:V547,V547)</f>
        <v>404</v>
      </c>
      <c r="U547" s="25" t="str">
        <f>IF(T547=1,COUNTIF($T$4:T547,1),"")</f>
        <v/>
      </c>
      <c r="V547" s="26" t="str">
        <f>'施設状況(要更新)'!$E547&amp;'施設状況(要更新)'!$C547</f>
        <v/>
      </c>
      <c r="W547" s="26">
        <f>'施設状況(要更新)'!$F547</f>
        <v>0</v>
      </c>
      <c r="X547" s="27"/>
      <c r="Y547" s="26"/>
    </row>
    <row r="548" spans="1:25" s="10" customFormat="1" ht="11.25">
      <c r="A548" s="18"/>
      <c r="B548" s="44"/>
      <c r="C548" s="40"/>
      <c r="D548" s="40"/>
      <c r="E548" s="40"/>
      <c r="F548" s="41"/>
      <c r="G548" s="41"/>
      <c r="H548" s="41"/>
      <c r="I548" s="41"/>
      <c r="J548" s="41"/>
      <c r="K548" s="41"/>
      <c r="L548" s="41"/>
      <c r="M548" s="41"/>
      <c r="N548" s="41"/>
      <c r="O548" s="41"/>
      <c r="P548" s="41"/>
      <c r="Q548" s="41"/>
      <c r="R548" s="40"/>
      <c r="S548" s="25">
        <f t="shared" si="20"/>
        <v>0</v>
      </c>
      <c r="T548" s="25">
        <f>COUNTIF($V$4:V548,V548)</f>
        <v>405</v>
      </c>
      <c r="U548" s="25" t="str">
        <f>IF(T548=1,COUNTIF($T$4:T548,1),"")</f>
        <v/>
      </c>
      <c r="V548" s="26" t="str">
        <f>'施設状況(要更新)'!$E548&amp;'施設状況(要更新)'!$C548</f>
        <v/>
      </c>
      <c r="W548" s="26">
        <f>'施設状況(要更新)'!$F548</f>
        <v>0</v>
      </c>
      <c r="X548" s="27"/>
      <c r="Y548" s="26"/>
    </row>
    <row r="549" spans="1:25" s="10" customFormat="1" ht="11.25">
      <c r="A549" s="18"/>
      <c r="B549" s="44"/>
      <c r="C549" s="40"/>
      <c r="D549" s="40"/>
      <c r="E549" s="40"/>
      <c r="F549" s="41"/>
      <c r="G549" s="41"/>
      <c r="H549" s="41"/>
      <c r="I549" s="41"/>
      <c r="J549" s="41"/>
      <c r="K549" s="41"/>
      <c r="L549" s="41"/>
      <c r="M549" s="41"/>
      <c r="N549" s="41"/>
      <c r="O549" s="41"/>
      <c r="P549" s="41"/>
      <c r="Q549" s="41"/>
      <c r="R549" s="40"/>
      <c r="S549" s="25">
        <f t="shared" si="20"/>
        <v>0</v>
      </c>
      <c r="T549" s="25">
        <f>COUNTIF($V$4:V549,V549)</f>
        <v>406</v>
      </c>
      <c r="U549" s="25" t="str">
        <f>IF(T549=1,COUNTIF($T$4:T549,1),"")</f>
        <v/>
      </c>
      <c r="V549" s="26" t="str">
        <f>'施設状況(要更新)'!$E549&amp;'施設状況(要更新)'!$C549</f>
        <v/>
      </c>
      <c r="W549" s="26">
        <f>'施設状況(要更新)'!$F549</f>
        <v>0</v>
      </c>
      <c r="X549" s="27"/>
      <c r="Y549" s="26"/>
    </row>
    <row r="550" spans="1:25" s="10" customFormat="1" ht="11.25">
      <c r="A550" s="18"/>
      <c r="B550" s="44"/>
      <c r="C550" s="40"/>
      <c r="D550" s="40"/>
      <c r="E550" s="40"/>
      <c r="F550" s="41"/>
      <c r="G550" s="41"/>
      <c r="H550" s="41"/>
      <c r="I550" s="41"/>
      <c r="J550" s="41"/>
      <c r="K550" s="41"/>
      <c r="L550" s="41"/>
      <c r="M550" s="41"/>
      <c r="N550" s="41"/>
      <c r="O550" s="41"/>
      <c r="P550" s="41"/>
      <c r="Q550" s="41"/>
      <c r="R550" s="40"/>
      <c r="S550" s="25">
        <f t="shared" si="20"/>
        <v>0</v>
      </c>
      <c r="T550" s="25">
        <f>COUNTIF($V$4:V550,V550)</f>
        <v>407</v>
      </c>
      <c r="U550" s="25" t="str">
        <f>IF(T550=1,COUNTIF($T$4:T550,1),"")</f>
        <v/>
      </c>
      <c r="V550" s="26" t="str">
        <f>'施設状況(要更新)'!$E550&amp;'施設状況(要更新)'!$C550</f>
        <v/>
      </c>
      <c r="W550" s="26">
        <f>'施設状況(要更新)'!$F550</f>
        <v>0</v>
      </c>
      <c r="X550" s="27"/>
      <c r="Y550" s="26"/>
    </row>
    <row r="551" spans="1:25" s="10" customFormat="1" ht="11.25">
      <c r="A551" s="18"/>
      <c r="B551" s="44"/>
      <c r="C551" s="40"/>
      <c r="D551" s="40"/>
      <c r="E551" s="40"/>
      <c r="F551" s="41"/>
      <c r="G551" s="41"/>
      <c r="H551" s="41"/>
      <c r="I551" s="41"/>
      <c r="J551" s="41"/>
      <c r="K551" s="41"/>
      <c r="L551" s="41"/>
      <c r="M551" s="41"/>
      <c r="N551" s="41"/>
      <c r="O551" s="41"/>
      <c r="P551" s="41"/>
      <c r="Q551" s="41"/>
      <c r="R551" s="40"/>
      <c r="S551" s="25">
        <f t="shared" si="20"/>
        <v>0</v>
      </c>
      <c r="T551" s="25">
        <f>COUNTIF($V$4:V551,V551)</f>
        <v>408</v>
      </c>
      <c r="U551" s="25" t="str">
        <f>IF(T551=1,COUNTIF($T$4:T551,1),"")</f>
        <v/>
      </c>
      <c r="V551" s="26" t="str">
        <f>'施設状況(要更新)'!$E551&amp;'施設状況(要更新)'!$C551</f>
        <v/>
      </c>
      <c r="W551" s="26">
        <f>'施設状況(要更新)'!$F551</f>
        <v>0</v>
      </c>
      <c r="X551" s="27"/>
      <c r="Y551" s="26"/>
    </row>
    <row r="552" spans="1:25" s="10" customFormat="1" ht="11.25">
      <c r="A552" s="18"/>
      <c r="B552" s="44"/>
      <c r="C552" s="40"/>
      <c r="D552" s="40"/>
      <c r="E552" s="40"/>
      <c r="F552" s="41"/>
      <c r="G552" s="41"/>
      <c r="H552" s="41"/>
      <c r="I552" s="41"/>
      <c r="J552" s="41"/>
      <c r="K552" s="41"/>
      <c r="L552" s="41"/>
      <c r="M552" s="41"/>
      <c r="N552" s="41"/>
      <c r="O552" s="41"/>
      <c r="P552" s="41"/>
      <c r="Q552" s="41"/>
      <c r="R552" s="40"/>
      <c r="S552" s="25">
        <f t="shared" si="20"/>
        <v>0</v>
      </c>
      <c r="T552" s="25">
        <f>COUNTIF($V$4:V552,V552)</f>
        <v>409</v>
      </c>
      <c r="U552" s="25" t="str">
        <f>IF(T552=1,COUNTIF($T$4:T552,1),"")</f>
        <v/>
      </c>
      <c r="V552" s="26" t="str">
        <f>'施設状況(要更新)'!$E552&amp;'施設状況(要更新)'!$C552</f>
        <v/>
      </c>
      <c r="W552" s="26">
        <f>'施設状況(要更新)'!$F552</f>
        <v>0</v>
      </c>
      <c r="X552" s="27"/>
      <c r="Y552" s="26"/>
    </row>
    <row r="553" spans="1:25" s="10" customFormat="1" ht="11.25">
      <c r="A553" s="18"/>
      <c r="B553" s="44"/>
      <c r="C553" s="40"/>
      <c r="D553" s="40"/>
      <c r="E553" s="40"/>
      <c r="F553" s="41"/>
      <c r="G553" s="41"/>
      <c r="H553" s="41"/>
      <c r="I553" s="41"/>
      <c r="J553" s="41"/>
      <c r="K553" s="41"/>
      <c r="L553" s="41"/>
      <c r="M553" s="41"/>
      <c r="N553" s="41"/>
      <c r="O553" s="41"/>
      <c r="P553" s="41"/>
      <c r="Q553" s="41"/>
      <c r="R553" s="40"/>
      <c r="S553" s="25">
        <f t="shared" si="20"/>
        <v>0</v>
      </c>
      <c r="T553" s="25">
        <f>COUNTIF($V$4:V553,V553)</f>
        <v>410</v>
      </c>
      <c r="U553" s="25" t="str">
        <f>IF(T553=1,COUNTIF($T$4:T553,1),"")</f>
        <v/>
      </c>
      <c r="V553" s="26" t="str">
        <f>'施設状況(要更新)'!$E553&amp;'施設状況(要更新)'!$C553</f>
        <v/>
      </c>
      <c r="W553" s="26">
        <f>'施設状況(要更新)'!$F553</f>
        <v>0</v>
      </c>
      <c r="X553" s="27"/>
      <c r="Y553" s="26"/>
    </row>
    <row r="554" spans="1:25" s="10" customFormat="1" ht="11.25">
      <c r="A554" s="18"/>
      <c r="B554" s="44"/>
      <c r="C554" s="40"/>
      <c r="D554" s="40"/>
      <c r="E554" s="40"/>
      <c r="F554" s="41"/>
      <c r="G554" s="41"/>
      <c r="H554" s="41"/>
      <c r="I554" s="41"/>
      <c r="J554" s="41"/>
      <c r="K554" s="41"/>
      <c r="L554" s="41"/>
      <c r="M554" s="41"/>
      <c r="N554" s="41"/>
      <c r="O554" s="41"/>
      <c r="P554" s="41"/>
      <c r="Q554" s="41"/>
      <c r="R554" s="40"/>
      <c r="S554" s="25">
        <f t="shared" si="20"/>
        <v>0</v>
      </c>
      <c r="T554" s="25">
        <f>COUNTIF($V$4:V554,V554)</f>
        <v>411</v>
      </c>
      <c r="U554" s="25" t="str">
        <f>IF(T554=1,COUNTIF($T$4:T554,1),"")</f>
        <v/>
      </c>
      <c r="V554" s="26" t="str">
        <f>'施設状況(要更新)'!$E554&amp;'施設状況(要更新)'!$C554</f>
        <v/>
      </c>
      <c r="W554" s="26">
        <f>'施設状況(要更新)'!$F554</f>
        <v>0</v>
      </c>
      <c r="X554" s="27"/>
      <c r="Y554" s="26"/>
    </row>
    <row r="555" spans="1:25" s="10" customFormat="1" ht="11.25">
      <c r="A555" s="18"/>
      <c r="B555" s="44"/>
      <c r="C555" s="40"/>
      <c r="D555" s="40"/>
      <c r="E555" s="40"/>
      <c r="F555" s="41"/>
      <c r="G555" s="41"/>
      <c r="H555" s="41"/>
      <c r="I555" s="41"/>
      <c r="J555" s="41"/>
      <c r="K555" s="41"/>
      <c r="L555" s="41"/>
      <c r="M555" s="41"/>
      <c r="N555" s="41"/>
      <c r="O555" s="41"/>
      <c r="P555" s="41"/>
      <c r="Q555" s="41"/>
      <c r="R555" s="40"/>
      <c r="S555" s="25">
        <f t="shared" si="20"/>
        <v>0</v>
      </c>
      <c r="T555" s="25">
        <f>COUNTIF($V$4:V555,V555)</f>
        <v>412</v>
      </c>
      <c r="U555" s="25" t="str">
        <f>IF(T555=1,COUNTIF($T$4:T555,1),"")</f>
        <v/>
      </c>
      <c r="V555" s="26" t="str">
        <f>'施設状況(要更新)'!$E555&amp;'施設状況(要更新)'!$C555</f>
        <v/>
      </c>
      <c r="W555" s="26">
        <f>'施設状況(要更新)'!$F555</f>
        <v>0</v>
      </c>
      <c r="X555" s="27"/>
      <c r="Y555" s="26"/>
    </row>
    <row r="556" spans="1:25" s="10" customFormat="1" ht="11.25">
      <c r="A556" s="18"/>
      <c r="B556" s="44"/>
      <c r="C556" s="40"/>
      <c r="D556" s="40"/>
      <c r="E556" s="40"/>
      <c r="F556" s="41"/>
      <c r="G556" s="41"/>
      <c r="H556" s="41"/>
      <c r="I556" s="41"/>
      <c r="J556" s="41"/>
      <c r="K556" s="41"/>
      <c r="L556" s="41"/>
      <c r="M556" s="41"/>
      <c r="N556" s="41"/>
      <c r="O556" s="41"/>
      <c r="P556" s="41"/>
      <c r="Q556" s="41"/>
      <c r="R556" s="40"/>
      <c r="S556" s="25">
        <f t="shared" si="20"/>
        <v>0</v>
      </c>
      <c r="T556" s="25">
        <f>COUNTIF($V$4:V556,V556)</f>
        <v>413</v>
      </c>
      <c r="U556" s="25" t="str">
        <f>IF(T556=1,COUNTIF($T$4:T556,1),"")</f>
        <v/>
      </c>
      <c r="V556" s="26" t="str">
        <f>'施設状況(要更新)'!$E556&amp;'施設状況(要更新)'!$C556</f>
        <v/>
      </c>
      <c r="W556" s="26">
        <f>'施設状況(要更新)'!$F556</f>
        <v>0</v>
      </c>
      <c r="X556" s="27"/>
      <c r="Y556" s="26"/>
    </row>
    <row r="557" spans="1:25" s="10" customFormat="1" ht="11.25">
      <c r="A557" s="18"/>
      <c r="B557" s="44"/>
      <c r="C557" s="40"/>
      <c r="D557" s="40"/>
      <c r="E557" s="40"/>
      <c r="F557" s="41"/>
      <c r="G557" s="41"/>
      <c r="H557" s="41"/>
      <c r="I557" s="41"/>
      <c r="J557" s="41"/>
      <c r="K557" s="41"/>
      <c r="L557" s="41"/>
      <c r="M557" s="41"/>
      <c r="N557" s="41"/>
      <c r="O557" s="41"/>
      <c r="P557" s="41"/>
      <c r="Q557" s="41"/>
      <c r="R557" s="40"/>
      <c r="S557" s="25">
        <f t="shared" si="20"/>
        <v>0</v>
      </c>
      <c r="T557" s="25">
        <f>COUNTIF($V$4:V557,V557)</f>
        <v>414</v>
      </c>
      <c r="U557" s="25" t="str">
        <f>IF(T557=1,COUNTIF($T$4:T557,1),"")</f>
        <v/>
      </c>
      <c r="V557" s="26" t="str">
        <f>'施設状況(要更新)'!$E557&amp;'施設状況(要更新)'!$C557</f>
        <v/>
      </c>
      <c r="W557" s="26">
        <f>'施設状況(要更新)'!$F557</f>
        <v>0</v>
      </c>
      <c r="X557" s="27"/>
      <c r="Y557" s="26"/>
    </row>
    <row r="558" spans="1:25" s="10" customFormat="1" ht="11.25">
      <c r="A558" s="18"/>
      <c r="B558" s="44"/>
      <c r="C558" s="40"/>
      <c r="D558" s="40"/>
      <c r="E558" s="40"/>
      <c r="F558" s="41"/>
      <c r="G558" s="41"/>
      <c r="H558" s="41"/>
      <c r="I558" s="41"/>
      <c r="J558" s="41"/>
      <c r="K558" s="41"/>
      <c r="L558" s="41"/>
      <c r="M558" s="41"/>
      <c r="N558" s="41"/>
      <c r="O558" s="41"/>
      <c r="P558" s="41"/>
      <c r="Q558" s="41"/>
      <c r="R558" s="40"/>
      <c r="S558" s="25">
        <f t="shared" si="20"/>
        <v>0</v>
      </c>
      <c r="T558" s="25">
        <f>COUNTIF($V$4:V558,V558)</f>
        <v>415</v>
      </c>
      <c r="U558" s="25" t="str">
        <f>IF(T558=1,COUNTIF($T$4:T558,1),"")</f>
        <v/>
      </c>
      <c r="V558" s="26" t="str">
        <f>'施設状況(要更新)'!$E558&amp;'施設状況(要更新)'!$C558</f>
        <v/>
      </c>
      <c r="W558" s="26">
        <f>'施設状況(要更新)'!$F558</f>
        <v>0</v>
      </c>
      <c r="X558" s="27"/>
      <c r="Y558" s="26"/>
    </row>
    <row r="559" spans="1:25" s="10" customFormat="1" ht="11.25">
      <c r="A559" s="18"/>
      <c r="B559" s="44"/>
      <c r="C559" s="40"/>
      <c r="D559" s="40"/>
      <c r="E559" s="40"/>
      <c r="F559" s="41"/>
      <c r="G559" s="41"/>
      <c r="H559" s="41"/>
      <c r="I559" s="41"/>
      <c r="J559" s="41"/>
      <c r="K559" s="41"/>
      <c r="L559" s="41"/>
      <c r="M559" s="41"/>
      <c r="N559" s="41"/>
      <c r="O559" s="41"/>
      <c r="P559" s="41"/>
      <c r="Q559" s="41"/>
      <c r="R559" s="40"/>
      <c r="S559" s="25">
        <f t="shared" si="20"/>
        <v>0</v>
      </c>
      <c r="T559" s="25">
        <f>COUNTIF($V$4:V559,V559)</f>
        <v>416</v>
      </c>
      <c r="U559" s="25" t="str">
        <f>IF(T559=1,COUNTIF($T$4:T559,1),"")</f>
        <v/>
      </c>
      <c r="V559" s="26" t="str">
        <f>'施設状況(要更新)'!$E559&amp;'施設状況(要更新)'!$C559</f>
        <v/>
      </c>
      <c r="W559" s="26">
        <f>'施設状況(要更新)'!$F559</f>
        <v>0</v>
      </c>
      <c r="X559" s="27"/>
      <c r="Y559" s="26"/>
    </row>
    <row r="560" spans="1:25" s="10" customFormat="1" ht="11.25">
      <c r="A560" s="18"/>
      <c r="B560" s="44"/>
      <c r="C560" s="40"/>
      <c r="D560" s="40"/>
      <c r="E560" s="40"/>
      <c r="F560" s="41"/>
      <c r="G560" s="41"/>
      <c r="H560" s="41"/>
      <c r="I560" s="41"/>
      <c r="J560" s="41"/>
      <c r="K560" s="41"/>
      <c r="L560" s="41"/>
      <c r="M560" s="41"/>
      <c r="N560" s="41"/>
      <c r="O560" s="41"/>
      <c r="P560" s="41"/>
      <c r="Q560" s="41"/>
      <c r="R560" s="40"/>
      <c r="S560" s="25">
        <f t="shared" si="20"/>
        <v>0</v>
      </c>
      <c r="T560" s="25">
        <f>COUNTIF($V$4:V560,V560)</f>
        <v>417</v>
      </c>
      <c r="U560" s="25" t="str">
        <f>IF(T560=1,COUNTIF($T$4:T560,1),"")</f>
        <v/>
      </c>
      <c r="V560" s="26" t="str">
        <f>'施設状況(要更新)'!$E560&amp;'施設状況(要更新)'!$C560</f>
        <v/>
      </c>
      <c r="W560" s="26">
        <f>'施設状況(要更新)'!$F560</f>
        <v>0</v>
      </c>
      <c r="X560" s="27"/>
      <c r="Y560" s="26"/>
    </row>
    <row r="561" spans="1:25" s="10" customFormat="1" ht="11.25">
      <c r="A561" s="18"/>
      <c r="B561" s="44"/>
      <c r="C561" s="40"/>
      <c r="D561" s="40"/>
      <c r="E561" s="40"/>
      <c r="F561" s="41"/>
      <c r="G561" s="41"/>
      <c r="H561" s="41"/>
      <c r="I561" s="41"/>
      <c r="J561" s="41"/>
      <c r="K561" s="41"/>
      <c r="L561" s="41"/>
      <c r="M561" s="41"/>
      <c r="N561" s="41"/>
      <c r="O561" s="41"/>
      <c r="P561" s="41"/>
      <c r="Q561" s="41"/>
      <c r="R561" s="40"/>
      <c r="S561" s="25">
        <f t="shared" si="20"/>
        <v>0</v>
      </c>
      <c r="T561" s="25">
        <f>COUNTIF($V$4:V561,V561)</f>
        <v>418</v>
      </c>
      <c r="U561" s="25" t="str">
        <f>IF(T561=1,COUNTIF($T$4:T561,1),"")</f>
        <v/>
      </c>
      <c r="V561" s="26" t="str">
        <f>'施設状況(要更新)'!$E561&amp;'施設状況(要更新)'!$C561</f>
        <v/>
      </c>
      <c r="W561" s="26">
        <f>'施設状況(要更新)'!$F561</f>
        <v>0</v>
      </c>
      <c r="X561" s="27"/>
      <c r="Y561" s="26"/>
    </row>
    <row r="562" spans="1:25" s="10" customFormat="1" ht="11.25">
      <c r="A562" s="18"/>
      <c r="B562" s="44"/>
      <c r="C562" s="40"/>
      <c r="D562" s="40"/>
      <c r="E562" s="40"/>
      <c r="F562" s="41"/>
      <c r="G562" s="41"/>
      <c r="H562" s="41"/>
      <c r="I562" s="41"/>
      <c r="J562" s="41"/>
      <c r="K562" s="41"/>
      <c r="L562" s="41"/>
      <c r="M562" s="41"/>
      <c r="N562" s="41"/>
      <c r="O562" s="41"/>
      <c r="P562" s="41"/>
      <c r="Q562" s="41"/>
      <c r="R562" s="40"/>
      <c r="S562" s="25">
        <f t="shared" si="20"/>
        <v>0</v>
      </c>
      <c r="T562" s="25">
        <f>COUNTIF($V$4:V562,V562)</f>
        <v>419</v>
      </c>
      <c r="U562" s="25" t="str">
        <f>IF(T562=1,COUNTIF($T$4:T562,1),"")</f>
        <v/>
      </c>
      <c r="V562" s="26" t="str">
        <f>'施設状況(要更新)'!$E562&amp;'施設状況(要更新)'!$C562</f>
        <v/>
      </c>
      <c r="W562" s="26">
        <f>'施設状況(要更新)'!$F562</f>
        <v>0</v>
      </c>
      <c r="X562" s="27"/>
      <c r="Y562" s="26"/>
    </row>
    <row r="563" spans="1:25" s="10" customFormat="1" ht="11.25">
      <c r="A563" s="18"/>
      <c r="B563" s="44"/>
      <c r="C563" s="40"/>
      <c r="D563" s="40"/>
      <c r="E563" s="40"/>
      <c r="F563" s="41"/>
      <c r="G563" s="41"/>
      <c r="H563" s="41"/>
      <c r="I563" s="41"/>
      <c r="J563" s="41"/>
      <c r="K563" s="41"/>
      <c r="L563" s="41"/>
      <c r="M563" s="41"/>
      <c r="N563" s="41"/>
      <c r="O563" s="41"/>
      <c r="P563" s="41"/>
      <c r="Q563" s="41"/>
      <c r="R563" s="40"/>
      <c r="S563" s="25">
        <f t="shared" si="20"/>
        <v>0</v>
      </c>
      <c r="T563" s="25">
        <f>COUNTIF($V$4:V563,V563)</f>
        <v>420</v>
      </c>
      <c r="U563" s="25" t="str">
        <f>IF(T563=1,COUNTIF($T$4:T563,1),"")</f>
        <v/>
      </c>
      <c r="V563" s="26" t="str">
        <f>'施設状況(要更新)'!$E563&amp;'施設状況(要更新)'!$C563</f>
        <v/>
      </c>
      <c r="W563" s="26">
        <f>'施設状況(要更新)'!$F563</f>
        <v>0</v>
      </c>
      <c r="X563" s="27"/>
      <c r="Y563" s="26"/>
    </row>
    <row r="564" spans="1:25" s="10" customFormat="1" ht="11.25">
      <c r="A564" s="18"/>
      <c r="B564" s="44"/>
      <c r="C564" s="40"/>
      <c r="D564" s="40"/>
      <c r="E564" s="40"/>
      <c r="F564" s="41"/>
      <c r="G564" s="41"/>
      <c r="H564" s="41"/>
      <c r="I564" s="41"/>
      <c r="J564" s="41"/>
      <c r="K564" s="41"/>
      <c r="L564" s="41"/>
      <c r="M564" s="41"/>
      <c r="N564" s="41"/>
      <c r="O564" s="41"/>
      <c r="P564" s="41"/>
      <c r="Q564" s="41"/>
      <c r="R564" s="40"/>
      <c r="S564" s="25">
        <f t="shared" si="20"/>
        <v>0</v>
      </c>
      <c r="T564" s="25">
        <f>COUNTIF($V$4:V564,V564)</f>
        <v>421</v>
      </c>
      <c r="U564" s="25" t="str">
        <f>IF(T564=1,COUNTIF($T$4:T564,1),"")</f>
        <v/>
      </c>
      <c r="V564" s="26" t="str">
        <f>'施設状況(要更新)'!$E564&amp;'施設状況(要更新)'!$C564</f>
        <v/>
      </c>
      <c r="W564" s="26">
        <f>'施設状況(要更新)'!$F564</f>
        <v>0</v>
      </c>
      <c r="X564" s="27"/>
      <c r="Y564" s="26"/>
    </row>
    <row r="565" spans="1:25" s="10" customFormat="1" ht="11.25">
      <c r="A565" s="18"/>
      <c r="B565" s="44"/>
      <c r="C565" s="40"/>
      <c r="D565" s="40"/>
      <c r="E565" s="40"/>
      <c r="F565" s="41"/>
      <c r="G565" s="41"/>
      <c r="H565" s="41"/>
      <c r="I565" s="41"/>
      <c r="J565" s="41"/>
      <c r="K565" s="41"/>
      <c r="L565" s="41"/>
      <c r="M565" s="41"/>
      <c r="N565" s="41"/>
      <c r="O565" s="41"/>
      <c r="P565" s="41"/>
      <c r="Q565" s="41"/>
      <c r="R565" s="40"/>
      <c r="S565" s="25">
        <f t="shared" si="20"/>
        <v>0</v>
      </c>
      <c r="T565" s="25">
        <f>COUNTIF($V$4:V565,V565)</f>
        <v>422</v>
      </c>
      <c r="U565" s="25" t="str">
        <f>IF(T565=1,COUNTIF($T$4:T565,1),"")</f>
        <v/>
      </c>
      <c r="V565" s="26" t="str">
        <f>'施設状況(要更新)'!$E565&amp;'施設状況(要更新)'!$C565</f>
        <v/>
      </c>
      <c r="W565" s="26">
        <f>'施設状況(要更新)'!$F565</f>
        <v>0</v>
      </c>
      <c r="X565" s="27"/>
      <c r="Y565" s="26"/>
    </row>
    <row r="566" spans="1:25" s="10" customFormat="1" ht="11.25">
      <c r="A566" s="18"/>
      <c r="B566" s="44"/>
      <c r="C566" s="40"/>
      <c r="D566" s="40"/>
      <c r="E566" s="40"/>
      <c r="F566" s="41"/>
      <c r="G566" s="41"/>
      <c r="H566" s="41"/>
      <c r="I566" s="41"/>
      <c r="J566" s="41"/>
      <c r="K566" s="41"/>
      <c r="L566" s="41"/>
      <c r="M566" s="41"/>
      <c r="N566" s="41"/>
      <c r="O566" s="41"/>
      <c r="P566" s="41"/>
      <c r="Q566" s="41"/>
      <c r="R566" s="40"/>
      <c r="S566" s="25">
        <f t="shared" si="20"/>
        <v>0</v>
      </c>
      <c r="T566" s="25">
        <f>COUNTIF($V$4:V566,V566)</f>
        <v>423</v>
      </c>
      <c r="U566" s="25" t="str">
        <f>IF(T566=1,COUNTIF($T$4:T566,1),"")</f>
        <v/>
      </c>
      <c r="V566" s="26" t="str">
        <f>'施設状況(要更新)'!$E566&amp;'施設状況(要更新)'!$C566</f>
        <v/>
      </c>
      <c r="W566" s="26">
        <f>'施設状況(要更新)'!$F566</f>
        <v>0</v>
      </c>
      <c r="X566" s="27"/>
      <c r="Y566" s="26"/>
    </row>
    <row r="567" spans="1:25" s="10" customFormat="1" ht="11.25">
      <c r="A567" s="18"/>
      <c r="B567" s="44"/>
      <c r="C567" s="40"/>
      <c r="D567" s="40"/>
      <c r="E567" s="40"/>
      <c r="F567" s="41"/>
      <c r="G567" s="41"/>
      <c r="H567" s="41"/>
      <c r="I567" s="41"/>
      <c r="J567" s="41"/>
      <c r="K567" s="41"/>
      <c r="L567" s="41"/>
      <c r="M567" s="41"/>
      <c r="N567" s="41"/>
      <c r="O567" s="41"/>
      <c r="P567" s="41"/>
      <c r="Q567" s="41"/>
      <c r="R567" s="40"/>
      <c r="S567" s="25">
        <f t="shared" si="20"/>
        <v>0</v>
      </c>
      <c r="T567" s="25">
        <f>COUNTIF($V$4:V567,V567)</f>
        <v>424</v>
      </c>
      <c r="U567" s="25" t="str">
        <f>IF(T567=1,COUNTIF($T$4:T567,1),"")</f>
        <v/>
      </c>
      <c r="V567" s="26" t="str">
        <f>'施設状況(要更新)'!$E567&amp;'施設状況(要更新)'!$C567</f>
        <v/>
      </c>
      <c r="W567" s="26">
        <f>'施設状況(要更新)'!$F567</f>
        <v>0</v>
      </c>
      <c r="X567" s="27"/>
      <c r="Y567" s="26"/>
    </row>
    <row r="568" spans="1:25" s="10" customFormat="1" ht="11.25">
      <c r="A568" s="18"/>
      <c r="B568" s="44"/>
      <c r="C568" s="40"/>
      <c r="D568" s="40"/>
      <c r="E568" s="40"/>
      <c r="F568" s="41"/>
      <c r="G568" s="41"/>
      <c r="H568" s="41"/>
      <c r="I568" s="41"/>
      <c r="J568" s="41"/>
      <c r="K568" s="41"/>
      <c r="L568" s="41"/>
      <c r="M568" s="41"/>
      <c r="N568" s="41"/>
      <c r="O568" s="41"/>
      <c r="P568" s="41"/>
      <c r="Q568" s="41"/>
      <c r="R568" s="40"/>
      <c r="S568" s="25">
        <f t="shared" si="20"/>
        <v>0</v>
      </c>
      <c r="T568" s="25">
        <f>COUNTIF($V$4:V568,V568)</f>
        <v>425</v>
      </c>
      <c r="U568" s="25" t="str">
        <f>IF(T568=1,COUNTIF($T$4:T568,1),"")</f>
        <v/>
      </c>
      <c r="V568" s="26" t="str">
        <f>'施設状況(要更新)'!$E568&amp;'施設状況(要更新)'!$C568</f>
        <v/>
      </c>
      <c r="W568" s="26">
        <f>'施設状況(要更新)'!$F568</f>
        <v>0</v>
      </c>
      <c r="X568" s="27"/>
      <c r="Y568" s="26"/>
    </row>
    <row r="569" spans="1:25" s="10" customFormat="1" ht="11.25">
      <c r="A569" s="18"/>
      <c r="B569" s="44"/>
      <c r="C569" s="40"/>
      <c r="D569" s="40"/>
      <c r="E569" s="40"/>
      <c r="F569" s="41"/>
      <c r="G569" s="41"/>
      <c r="H569" s="41"/>
      <c r="I569" s="41"/>
      <c r="J569" s="41"/>
      <c r="K569" s="41"/>
      <c r="L569" s="41"/>
      <c r="M569" s="41"/>
      <c r="N569" s="41"/>
      <c r="O569" s="41"/>
      <c r="P569" s="41"/>
      <c r="Q569" s="41"/>
      <c r="R569" s="40"/>
      <c r="S569" s="25">
        <f t="shared" si="20"/>
        <v>0</v>
      </c>
      <c r="T569" s="25">
        <f>COUNTIF($V$4:V569,V569)</f>
        <v>426</v>
      </c>
      <c r="U569" s="25" t="str">
        <f>IF(T569=1,COUNTIF($T$4:T569,1),"")</f>
        <v/>
      </c>
      <c r="V569" s="26" t="str">
        <f>'施設状況(要更新)'!$E569&amp;'施設状況(要更新)'!$C569</f>
        <v/>
      </c>
      <c r="W569" s="26">
        <f>'施設状況(要更新)'!$F569</f>
        <v>0</v>
      </c>
      <c r="X569" s="27"/>
      <c r="Y569" s="26"/>
    </row>
    <row r="570" spans="1:25" s="10" customFormat="1" ht="11.25">
      <c r="A570" s="18"/>
      <c r="B570" s="44"/>
      <c r="C570" s="40"/>
      <c r="D570" s="40"/>
      <c r="E570" s="40"/>
      <c r="F570" s="41"/>
      <c r="G570" s="41"/>
      <c r="H570" s="41"/>
      <c r="I570" s="41"/>
      <c r="J570" s="41"/>
      <c r="K570" s="41"/>
      <c r="L570" s="41"/>
      <c r="M570" s="41"/>
      <c r="N570" s="41"/>
      <c r="O570" s="41"/>
      <c r="P570" s="41"/>
      <c r="Q570" s="41"/>
      <c r="R570" s="40"/>
      <c r="S570" s="25">
        <f t="shared" si="20"/>
        <v>0</v>
      </c>
      <c r="T570" s="25">
        <f>COUNTIF($V$4:V570,V570)</f>
        <v>427</v>
      </c>
      <c r="U570" s="25" t="str">
        <f>IF(T570=1,COUNTIF($T$4:T570,1),"")</f>
        <v/>
      </c>
      <c r="V570" s="26" t="str">
        <f>'施設状況(要更新)'!$E570&amp;'施設状況(要更新)'!$C570</f>
        <v/>
      </c>
      <c r="W570" s="26">
        <f>'施設状況(要更新)'!$F570</f>
        <v>0</v>
      </c>
      <c r="X570" s="27"/>
      <c r="Y570" s="26"/>
    </row>
    <row r="571" spans="1:25" s="10" customFormat="1" ht="11.25">
      <c r="A571" s="18"/>
      <c r="B571" s="44"/>
      <c r="C571" s="40"/>
      <c r="D571" s="40"/>
      <c r="E571" s="40"/>
      <c r="F571" s="41"/>
      <c r="G571" s="41"/>
      <c r="H571" s="41"/>
      <c r="I571" s="41"/>
      <c r="J571" s="41"/>
      <c r="K571" s="41"/>
      <c r="L571" s="41"/>
      <c r="M571" s="41"/>
      <c r="N571" s="41"/>
      <c r="O571" s="41"/>
      <c r="P571" s="41"/>
      <c r="Q571" s="41"/>
      <c r="R571" s="40"/>
      <c r="S571" s="25">
        <f t="shared" si="20"/>
        <v>0</v>
      </c>
      <c r="T571" s="25">
        <f>COUNTIF($V$4:V571,V571)</f>
        <v>428</v>
      </c>
      <c r="U571" s="25" t="str">
        <f>IF(T571=1,COUNTIF($T$4:T571,1),"")</f>
        <v/>
      </c>
      <c r="V571" s="26" t="str">
        <f>'施設状況(要更新)'!$E571&amp;'施設状況(要更新)'!$C571</f>
        <v/>
      </c>
      <c r="W571" s="26">
        <f>'施設状況(要更新)'!$F571</f>
        <v>0</v>
      </c>
      <c r="X571" s="27"/>
      <c r="Y571" s="26"/>
    </row>
    <row r="572" spans="1:25" s="10" customFormat="1" ht="11.25">
      <c r="A572" s="18"/>
      <c r="B572" s="44"/>
      <c r="C572" s="40"/>
      <c r="D572" s="40"/>
      <c r="E572" s="40"/>
      <c r="F572" s="41"/>
      <c r="G572" s="41"/>
      <c r="H572" s="41"/>
      <c r="I572" s="41"/>
      <c r="J572" s="41"/>
      <c r="K572" s="41"/>
      <c r="L572" s="41"/>
      <c r="M572" s="41"/>
      <c r="N572" s="41"/>
      <c r="O572" s="41"/>
      <c r="P572" s="41"/>
      <c r="Q572" s="41"/>
      <c r="R572" s="40"/>
      <c r="S572" s="25">
        <f t="shared" si="20"/>
        <v>0</v>
      </c>
      <c r="T572" s="25">
        <f>COUNTIF($V$4:V572,V572)</f>
        <v>429</v>
      </c>
      <c r="U572" s="25" t="str">
        <f>IF(T572=1,COUNTIF($T$4:T572,1),"")</f>
        <v/>
      </c>
      <c r="V572" s="26" t="str">
        <f>'施設状況(要更新)'!$E572&amp;'施設状況(要更新)'!$C572</f>
        <v/>
      </c>
      <c r="W572" s="26">
        <f>'施設状況(要更新)'!$F572</f>
        <v>0</v>
      </c>
      <c r="X572" s="27"/>
      <c r="Y572" s="26"/>
    </row>
    <row r="573" spans="1:25" s="10" customFormat="1" ht="11.25">
      <c r="A573" s="18"/>
      <c r="B573" s="44"/>
      <c r="C573" s="40"/>
      <c r="D573" s="40"/>
      <c r="E573" s="40"/>
      <c r="F573" s="41"/>
      <c r="G573" s="41"/>
      <c r="H573" s="41"/>
      <c r="I573" s="41"/>
      <c r="J573" s="41"/>
      <c r="K573" s="41"/>
      <c r="L573" s="41"/>
      <c r="M573" s="41"/>
      <c r="N573" s="41"/>
      <c r="O573" s="41"/>
      <c r="P573" s="41"/>
      <c r="Q573" s="41"/>
      <c r="R573" s="40"/>
      <c r="S573" s="25">
        <f t="shared" si="20"/>
        <v>0</v>
      </c>
      <c r="T573" s="25">
        <f>COUNTIF($V$4:V573,V573)</f>
        <v>430</v>
      </c>
      <c r="U573" s="25" t="str">
        <f>IF(T573=1,COUNTIF($T$4:T573,1),"")</f>
        <v/>
      </c>
      <c r="V573" s="26" t="str">
        <f>'施設状況(要更新)'!$E573&amp;'施設状況(要更新)'!$C573</f>
        <v/>
      </c>
      <c r="W573" s="26">
        <f>'施設状況(要更新)'!$F573</f>
        <v>0</v>
      </c>
      <c r="X573" s="27"/>
      <c r="Y573" s="26"/>
    </row>
    <row r="574" spans="1:25" s="10" customFormat="1" ht="11.25">
      <c r="A574" s="18"/>
      <c r="B574" s="44"/>
      <c r="C574" s="40"/>
      <c r="D574" s="40"/>
      <c r="E574" s="40"/>
      <c r="F574" s="41"/>
      <c r="G574" s="41"/>
      <c r="H574" s="41"/>
      <c r="I574" s="41"/>
      <c r="J574" s="41"/>
      <c r="K574" s="41"/>
      <c r="L574" s="41"/>
      <c r="M574" s="41"/>
      <c r="N574" s="41"/>
      <c r="O574" s="41"/>
      <c r="P574" s="41"/>
      <c r="Q574" s="41"/>
      <c r="R574" s="40"/>
      <c r="S574" s="25">
        <f t="shared" si="20"/>
        <v>0</v>
      </c>
      <c r="T574" s="25">
        <f>COUNTIF($V$4:V574,V574)</f>
        <v>431</v>
      </c>
      <c r="U574" s="25" t="str">
        <f>IF(T574=1,COUNTIF($T$4:T574,1),"")</f>
        <v/>
      </c>
      <c r="V574" s="26" t="str">
        <f>'施設状況(要更新)'!$E574&amp;'施設状況(要更新)'!$C574</f>
        <v/>
      </c>
      <c r="W574" s="26">
        <f>'施設状況(要更新)'!$F574</f>
        <v>0</v>
      </c>
      <c r="X574" s="27"/>
      <c r="Y574" s="26"/>
    </row>
    <row r="575" spans="1:25" s="10" customFormat="1" ht="11.25">
      <c r="A575" s="18"/>
      <c r="B575" s="44"/>
      <c r="C575" s="40"/>
      <c r="D575" s="40"/>
      <c r="E575" s="40"/>
      <c r="F575" s="41"/>
      <c r="G575" s="41"/>
      <c r="H575" s="41"/>
      <c r="I575" s="41"/>
      <c r="J575" s="41"/>
      <c r="K575" s="41"/>
      <c r="L575" s="41"/>
      <c r="M575" s="41"/>
      <c r="N575" s="41"/>
      <c r="O575" s="41"/>
      <c r="P575" s="41"/>
      <c r="Q575" s="41"/>
      <c r="R575" s="40"/>
      <c r="S575" s="25">
        <f t="shared" si="20"/>
        <v>0</v>
      </c>
      <c r="T575" s="25">
        <f>COUNTIF($V$4:V575,V575)</f>
        <v>432</v>
      </c>
      <c r="U575" s="25" t="str">
        <f>IF(T575=1,COUNTIF($T$4:T575,1),"")</f>
        <v/>
      </c>
      <c r="V575" s="26" t="str">
        <f>'施設状況(要更新)'!$E575&amp;'施設状況(要更新)'!$C575</f>
        <v/>
      </c>
      <c r="W575" s="26">
        <f>'施設状況(要更新)'!$F575</f>
        <v>0</v>
      </c>
      <c r="X575" s="27"/>
      <c r="Y575" s="26"/>
    </row>
    <row r="576" spans="1:25" s="10" customFormat="1" ht="11.25">
      <c r="A576" s="18"/>
      <c r="B576" s="44"/>
      <c r="C576" s="40"/>
      <c r="D576" s="40"/>
      <c r="E576" s="40"/>
      <c r="F576" s="41"/>
      <c r="G576" s="41"/>
      <c r="H576" s="41"/>
      <c r="I576" s="41"/>
      <c r="J576" s="41"/>
      <c r="K576" s="41"/>
      <c r="L576" s="41"/>
      <c r="M576" s="41"/>
      <c r="N576" s="41"/>
      <c r="O576" s="41"/>
      <c r="P576" s="41"/>
      <c r="Q576" s="41"/>
      <c r="R576" s="40"/>
      <c r="S576" s="25">
        <f t="shared" si="20"/>
        <v>0</v>
      </c>
      <c r="T576" s="25">
        <f>COUNTIF($V$4:V576,V576)</f>
        <v>433</v>
      </c>
      <c r="U576" s="25" t="str">
        <f>IF(T576=1,COUNTIF($T$4:T576,1),"")</f>
        <v/>
      </c>
      <c r="V576" s="26" t="str">
        <f>'施設状況(要更新)'!$E576&amp;'施設状況(要更新)'!$C576</f>
        <v/>
      </c>
      <c r="W576" s="26">
        <f>'施設状況(要更新)'!$F576</f>
        <v>0</v>
      </c>
      <c r="X576" s="27"/>
      <c r="Y576" s="26"/>
    </row>
    <row r="577" spans="1:25" s="10" customFormat="1" ht="11.25">
      <c r="A577" s="18"/>
      <c r="B577" s="44"/>
      <c r="C577" s="40"/>
      <c r="D577" s="40"/>
      <c r="E577" s="40"/>
      <c r="F577" s="41"/>
      <c r="G577" s="41"/>
      <c r="H577" s="41"/>
      <c r="I577" s="41"/>
      <c r="J577" s="41"/>
      <c r="K577" s="41"/>
      <c r="L577" s="41"/>
      <c r="M577" s="41"/>
      <c r="N577" s="41"/>
      <c r="O577" s="41"/>
      <c r="P577" s="41"/>
      <c r="Q577" s="41"/>
      <c r="R577" s="40"/>
      <c r="S577" s="25">
        <f t="shared" si="20"/>
        <v>0</v>
      </c>
      <c r="T577" s="25">
        <f>COUNTIF($V$4:V577,V577)</f>
        <v>434</v>
      </c>
      <c r="U577" s="25" t="str">
        <f>IF(T577=1,COUNTIF($T$4:T577,1),"")</f>
        <v/>
      </c>
      <c r="V577" s="26" t="str">
        <f>'施設状況(要更新)'!$E577&amp;'施設状況(要更新)'!$C577</f>
        <v/>
      </c>
      <c r="W577" s="26">
        <f>'施設状況(要更新)'!$F577</f>
        <v>0</v>
      </c>
      <c r="X577" s="27"/>
      <c r="Y577" s="26"/>
    </row>
    <row r="578" spans="1:25" s="10" customFormat="1" ht="11.25">
      <c r="A578" s="18"/>
      <c r="B578" s="44"/>
      <c r="C578" s="40"/>
      <c r="D578" s="40"/>
      <c r="E578" s="40"/>
      <c r="F578" s="41"/>
      <c r="G578" s="41"/>
      <c r="H578" s="41"/>
      <c r="I578" s="41"/>
      <c r="J578" s="41"/>
      <c r="K578" s="41"/>
      <c r="L578" s="41"/>
      <c r="M578" s="41"/>
      <c r="N578" s="41"/>
      <c r="O578" s="41"/>
      <c r="P578" s="41"/>
      <c r="Q578" s="41"/>
      <c r="R578" s="40"/>
      <c r="S578" s="25">
        <f t="shared" si="20"/>
        <v>0</v>
      </c>
      <c r="T578" s="25">
        <f>COUNTIF($V$4:V578,V578)</f>
        <v>435</v>
      </c>
      <c r="U578" s="25" t="str">
        <f>IF(T578=1,COUNTIF($T$4:T578,1),"")</f>
        <v/>
      </c>
      <c r="V578" s="26" t="str">
        <f>'施設状況(要更新)'!$E578&amp;'施設状況(要更新)'!$C578</f>
        <v/>
      </c>
      <c r="W578" s="26">
        <f>'施設状況(要更新)'!$F578</f>
        <v>0</v>
      </c>
      <c r="X578" s="27"/>
      <c r="Y578" s="26"/>
    </row>
    <row r="579" spans="1:25" s="10" customFormat="1" ht="11.25">
      <c r="A579" s="18"/>
      <c r="B579" s="44"/>
      <c r="C579" s="40"/>
      <c r="D579" s="40"/>
      <c r="E579" s="40"/>
      <c r="F579" s="41"/>
      <c r="G579" s="41"/>
      <c r="H579" s="41"/>
      <c r="I579" s="41"/>
      <c r="J579" s="41"/>
      <c r="K579" s="41"/>
      <c r="L579" s="41"/>
      <c r="M579" s="41"/>
      <c r="N579" s="41"/>
      <c r="O579" s="41"/>
      <c r="P579" s="41"/>
      <c r="Q579" s="41"/>
      <c r="R579" s="40"/>
      <c r="S579" s="25">
        <f t="shared" si="20"/>
        <v>0</v>
      </c>
      <c r="T579" s="25">
        <f>COUNTIF($V$4:V579,V579)</f>
        <v>436</v>
      </c>
      <c r="U579" s="25" t="str">
        <f>IF(T579=1,COUNTIF($T$4:T579,1),"")</f>
        <v/>
      </c>
      <c r="V579" s="26" t="str">
        <f>'施設状況(要更新)'!$E579&amp;'施設状況(要更新)'!$C579</f>
        <v/>
      </c>
      <c r="W579" s="26">
        <f>'施設状況(要更新)'!$F579</f>
        <v>0</v>
      </c>
      <c r="X579" s="27"/>
      <c r="Y579" s="26"/>
    </row>
    <row r="580" spans="1:25" s="10" customFormat="1" ht="11.25">
      <c r="A580" s="18"/>
      <c r="B580" s="44"/>
      <c r="C580" s="40"/>
      <c r="D580" s="40"/>
      <c r="E580" s="40"/>
      <c r="F580" s="41"/>
      <c r="G580" s="41"/>
      <c r="H580" s="41"/>
      <c r="I580" s="41"/>
      <c r="J580" s="41"/>
      <c r="K580" s="41"/>
      <c r="L580" s="41"/>
      <c r="M580" s="41"/>
      <c r="N580" s="41"/>
      <c r="O580" s="41"/>
      <c r="P580" s="41"/>
      <c r="Q580" s="41"/>
      <c r="R580" s="40"/>
      <c r="S580" s="25">
        <f t="shared" si="20"/>
        <v>0</v>
      </c>
      <c r="T580" s="25">
        <f>COUNTIF($V$4:V580,V580)</f>
        <v>437</v>
      </c>
      <c r="U580" s="25" t="str">
        <f>IF(T580=1,COUNTIF($T$4:T580,1),"")</f>
        <v/>
      </c>
      <c r="V580" s="26" t="str">
        <f>'施設状況(要更新)'!$E580&amp;'施設状況(要更新)'!$C580</f>
        <v/>
      </c>
      <c r="W580" s="26">
        <f>'施設状況(要更新)'!$F580</f>
        <v>0</v>
      </c>
      <c r="X580" s="27"/>
      <c r="Y580" s="26"/>
    </row>
    <row r="581" spans="1:25" s="10" customFormat="1" ht="11.25">
      <c r="A581" s="18"/>
      <c r="B581" s="44"/>
      <c r="C581" s="40"/>
      <c r="D581" s="40"/>
      <c r="E581" s="40"/>
      <c r="F581" s="41"/>
      <c r="G581" s="41"/>
      <c r="H581" s="41"/>
      <c r="I581" s="41"/>
      <c r="J581" s="41"/>
      <c r="K581" s="41"/>
      <c r="L581" s="41"/>
      <c r="M581" s="41"/>
      <c r="N581" s="41"/>
      <c r="O581" s="41"/>
      <c r="P581" s="41"/>
      <c r="Q581" s="41"/>
      <c r="R581" s="40"/>
      <c r="S581" s="25">
        <f t="shared" ref="S581:S644" si="21">A581</f>
        <v>0</v>
      </c>
      <c r="T581" s="25">
        <f>COUNTIF($V$4:V581,V581)</f>
        <v>438</v>
      </c>
      <c r="U581" s="25" t="str">
        <f>IF(T581=1,COUNTIF($T$4:T581,1),"")</f>
        <v/>
      </c>
      <c r="V581" s="26" t="str">
        <f>'施設状況(要更新)'!$E581&amp;'施設状況(要更新)'!$C581</f>
        <v/>
      </c>
      <c r="W581" s="26">
        <f>'施設状況(要更新)'!$F581</f>
        <v>0</v>
      </c>
      <c r="X581" s="27"/>
      <c r="Y581" s="26"/>
    </row>
    <row r="582" spans="1:25" s="10" customFormat="1" ht="11.25">
      <c r="A582" s="18"/>
      <c r="B582" s="44"/>
      <c r="C582" s="40"/>
      <c r="D582" s="40"/>
      <c r="E582" s="40"/>
      <c r="F582" s="41"/>
      <c r="G582" s="41"/>
      <c r="H582" s="41"/>
      <c r="I582" s="41"/>
      <c r="J582" s="41"/>
      <c r="K582" s="41"/>
      <c r="L582" s="41"/>
      <c r="M582" s="41"/>
      <c r="N582" s="41"/>
      <c r="O582" s="41"/>
      <c r="P582" s="41"/>
      <c r="Q582" s="41"/>
      <c r="R582" s="40"/>
      <c r="S582" s="25">
        <f t="shared" si="21"/>
        <v>0</v>
      </c>
      <c r="T582" s="25">
        <f>COUNTIF($V$4:V582,V582)</f>
        <v>439</v>
      </c>
      <c r="U582" s="25" t="str">
        <f>IF(T582=1,COUNTIF($T$4:T582,1),"")</f>
        <v/>
      </c>
      <c r="V582" s="26" t="str">
        <f>'施設状況(要更新)'!$E582&amp;'施設状況(要更新)'!$C582</f>
        <v/>
      </c>
      <c r="W582" s="26">
        <f>'施設状況(要更新)'!$F582</f>
        <v>0</v>
      </c>
      <c r="X582" s="27"/>
      <c r="Y582" s="26"/>
    </row>
    <row r="583" spans="1:25" s="10" customFormat="1" ht="11.25">
      <c r="A583" s="18"/>
      <c r="B583" s="44"/>
      <c r="C583" s="40"/>
      <c r="D583" s="40"/>
      <c r="E583" s="40"/>
      <c r="F583" s="41"/>
      <c r="G583" s="41"/>
      <c r="H583" s="41"/>
      <c r="I583" s="41"/>
      <c r="J583" s="41"/>
      <c r="K583" s="41"/>
      <c r="L583" s="41"/>
      <c r="M583" s="41"/>
      <c r="N583" s="41"/>
      <c r="O583" s="41"/>
      <c r="P583" s="41"/>
      <c r="Q583" s="41"/>
      <c r="R583" s="40"/>
      <c r="S583" s="25">
        <f t="shared" si="21"/>
        <v>0</v>
      </c>
      <c r="T583" s="25">
        <f>COUNTIF($V$4:V583,V583)</f>
        <v>440</v>
      </c>
      <c r="U583" s="25" t="str">
        <f>IF(T583=1,COUNTIF($T$4:T583,1),"")</f>
        <v/>
      </c>
      <c r="V583" s="26" t="str">
        <f>'施設状況(要更新)'!$E583&amp;'施設状況(要更新)'!$C583</f>
        <v/>
      </c>
      <c r="W583" s="26">
        <f>'施設状況(要更新)'!$F583</f>
        <v>0</v>
      </c>
      <c r="X583" s="27"/>
      <c r="Y583" s="26"/>
    </row>
    <row r="584" spans="1:25" s="10" customFormat="1" ht="11.25">
      <c r="A584" s="18"/>
      <c r="B584" s="44"/>
      <c r="C584" s="40"/>
      <c r="D584" s="40"/>
      <c r="E584" s="40"/>
      <c r="F584" s="41"/>
      <c r="G584" s="41"/>
      <c r="H584" s="41"/>
      <c r="I584" s="41"/>
      <c r="J584" s="41"/>
      <c r="K584" s="41"/>
      <c r="L584" s="41"/>
      <c r="M584" s="41"/>
      <c r="N584" s="41"/>
      <c r="O584" s="41"/>
      <c r="P584" s="41"/>
      <c r="Q584" s="41"/>
      <c r="R584" s="40"/>
      <c r="S584" s="25">
        <f t="shared" si="21"/>
        <v>0</v>
      </c>
      <c r="T584" s="25">
        <f>COUNTIF($V$4:V584,V584)</f>
        <v>441</v>
      </c>
      <c r="U584" s="25" t="str">
        <f>IF(T584=1,COUNTIF($T$4:T584,1),"")</f>
        <v/>
      </c>
      <c r="V584" s="26" t="str">
        <f>'施設状況(要更新)'!$E584&amp;'施設状況(要更新)'!$C584</f>
        <v/>
      </c>
      <c r="W584" s="26">
        <f>'施設状況(要更新)'!$F584</f>
        <v>0</v>
      </c>
      <c r="X584" s="27"/>
      <c r="Y584" s="26"/>
    </row>
    <row r="585" spans="1:25" s="10" customFormat="1" ht="11.25">
      <c r="A585" s="18"/>
      <c r="B585" s="44"/>
      <c r="C585" s="40"/>
      <c r="D585" s="40"/>
      <c r="E585" s="40"/>
      <c r="F585" s="41"/>
      <c r="G585" s="41"/>
      <c r="H585" s="41"/>
      <c r="I585" s="41"/>
      <c r="J585" s="41"/>
      <c r="K585" s="41"/>
      <c r="L585" s="41"/>
      <c r="M585" s="41"/>
      <c r="N585" s="41"/>
      <c r="O585" s="41"/>
      <c r="P585" s="41"/>
      <c r="Q585" s="41"/>
      <c r="R585" s="40"/>
      <c r="S585" s="25">
        <f t="shared" si="21"/>
        <v>0</v>
      </c>
      <c r="T585" s="25">
        <f>COUNTIF($V$4:V585,V585)</f>
        <v>442</v>
      </c>
      <c r="U585" s="25" t="str">
        <f>IF(T585=1,COUNTIF($T$4:T585,1),"")</f>
        <v/>
      </c>
      <c r="V585" s="26" t="str">
        <f>'施設状況(要更新)'!$E585&amp;'施設状況(要更新)'!$C585</f>
        <v/>
      </c>
      <c r="W585" s="26">
        <f>'施設状況(要更新)'!$F585</f>
        <v>0</v>
      </c>
      <c r="X585" s="27"/>
      <c r="Y585" s="26"/>
    </row>
    <row r="586" spans="1:25" s="10" customFormat="1" ht="11.25">
      <c r="A586" s="18"/>
      <c r="B586" s="44"/>
      <c r="C586" s="40"/>
      <c r="D586" s="40"/>
      <c r="E586" s="40"/>
      <c r="F586" s="41"/>
      <c r="G586" s="41"/>
      <c r="H586" s="41"/>
      <c r="I586" s="41"/>
      <c r="J586" s="41"/>
      <c r="K586" s="41"/>
      <c r="L586" s="41"/>
      <c r="M586" s="41"/>
      <c r="N586" s="41"/>
      <c r="O586" s="41"/>
      <c r="P586" s="41"/>
      <c r="Q586" s="41"/>
      <c r="R586" s="40"/>
      <c r="S586" s="25">
        <f t="shared" si="21"/>
        <v>0</v>
      </c>
      <c r="T586" s="25">
        <f>COUNTIF($V$4:V586,V586)</f>
        <v>443</v>
      </c>
      <c r="U586" s="25" t="str">
        <f>IF(T586=1,COUNTIF($T$4:T586,1),"")</f>
        <v/>
      </c>
      <c r="V586" s="26" t="str">
        <f>'施設状況(要更新)'!$E586&amp;'施設状況(要更新)'!$C586</f>
        <v/>
      </c>
      <c r="W586" s="26">
        <f>'施設状況(要更新)'!$F586</f>
        <v>0</v>
      </c>
      <c r="X586" s="27"/>
      <c r="Y586" s="26"/>
    </row>
    <row r="587" spans="1:25" s="10" customFormat="1" ht="11.25">
      <c r="A587" s="18"/>
      <c r="B587" s="44"/>
      <c r="C587" s="40"/>
      <c r="D587" s="40"/>
      <c r="E587" s="40"/>
      <c r="F587" s="41"/>
      <c r="G587" s="41"/>
      <c r="H587" s="41"/>
      <c r="I587" s="41"/>
      <c r="J587" s="41"/>
      <c r="K587" s="41"/>
      <c r="L587" s="41"/>
      <c r="M587" s="41"/>
      <c r="N587" s="41"/>
      <c r="O587" s="41"/>
      <c r="P587" s="41"/>
      <c r="Q587" s="41"/>
      <c r="R587" s="40"/>
      <c r="S587" s="25">
        <f t="shared" si="21"/>
        <v>0</v>
      </c>
      <c r="T587" s="25">
        <f>COUNTIF($V$4:V587,V587)</f>
        <v>444</v>
      </c>
      <c r="U587" s="25" t="str">
        <f>IF(T587=1,COUNTIF($T$4:T587,1),"")</f>
        <v/>
      </c>
      <c r="V587" s="26" t="str">
        <f>'施設状況(要更新)'!$E587&amp;'施設状況(要更新)'!$C587</f>
        <v/>
      </c>
      <c r="W587" s="26">
        <f>'施設状況(要更新)'!$F587</f>
        <v>0</v>
      </c>
      <c r="X587" s="27"/>
      <c r="Y587" s="26"/>
    </row>
    <row r="588" spans="1:25" s="10" customFormat="1" ht="11.25">
      <c r="A588" s="18"/>
      <c r="B588" s="44"/>
      <c r="C588" s="40"/>
      <c r="D588" s="40"/>
      <c r="E588" s="40"/>
      <c r="F588" s="41"/>
      <c r="G588" s="41"/>
      <c r="H588" s="41"/>
      <c r="I588" s="41"/>
      <c r="J588" s="41"/>
      <c r="K588" s="41"/>
      <c r="L588" s="41"/>
      <c r="M588" s="41"/>
      <c r="N588" s="41"/>
      <c r="O588" s="41"/>
      <c r="P588" s="41"/>
      <c r="Q588" s="41"/>
      <c r="R588" s="40"/>
      <c r="S588" s="25">
        <f t="shared" si="21"/>
        <v>0</v>
      </c>
      <c r="T588" s="25">
        <f>COUNTIF($V$4:V588,V588)</f>
        <v>445</v>
      </c>
      <c r="U588" s="25" t="str">
        <f>IF(T588=1,COUNTIF($T$4:T588,1),"")</f>
        <v/>
      </c>
      <c r="V588" s="26" t="str">
        <f>'施設状況(要更新)'!$E588&amp;'施設状況(要更新)'!$C588</f>
        <v/>
      </c>
      <c r="W588" s="26">
        <f>'施設状況(要更新)'!$F588</f>
        <v>0</v>
      </c>
      <c r="X588" s="27"/>
      <c r="Y588" s="26"/>
    </row>
    <row r="589" spans="1:25" s="10" customFormat="1" ht="11.25">
      <c r="A589" s="18"/>
      <c r="B589" s="44"/>
      <c r="C589" s="40"/>
      <c r="D589" s="40"/>
      <c r="E589" s="40"/>
      <c r="F589" s="41"/>
      <c r="G589" s="41"/>
      <c r="H589" s="41"/>
      <c r="I589" s="41"/>
      <c r="J589" s="41"/>
      <c r="K589" s="41"/>
      <c r="L589" s="41"/>
      <c r="M589" s="41"/>
      <c r="N589" s="41"/>
      <c r="O589" s="41"/>
      <c r="P589" s="41"/>
      <c r="Q589" s="41"/>
      <c r="R589" s="40"/>
      <c r="S589" s="25">
        <f t="shared" si="21"/>
        <v>0</v>
      </c>
      <c r="T589" s="25">
        <f>COUNTIF($V$4:V589,V589)</f>
        <v>446</v>
      </c>
      <c r="U589" s="25" t="str">
        <f>IF(T589=1,COUNTIF($T$4:T589,1),"")</f>
        <v/>
      </c>
      <c r="V589" s="26" t="str">
        <f>'施設状況(要更新)'!$E589&amp;'施設状況(要更新)'!$C589</f>
        <v/>
      </c>
      <c r="W589" s="26">
        <f>'施設状況(要更新)'!$F589</f>
        <v>0</v>
      </c>
      <c r="X589" s="27"/>
      <c r="Y589" s="26"/>
    </row>
    <row r="590" spans="1:25" s="10" customFormat="1" ht="11.25">
      <c r="A590" s="18"/>
      <c r="B590" s="44"/>
      <c r="C590" s="40"/>
      <c r="D590" s="40"/>
      <c r="E590" s="40"/>
      <c r="F590" s="41"/>
      <c r="G590" s="41"/>
      <c r="H590" s="41"/>
      <c r="I590" s="41"/>
      <c r="J590" s="41"/>
      <c r="K590" s="41"/>
      <c r="L590" s="41"/>
      <c r="M590" s="41"/>
      <c r="N590" s="41"/>
      <c r="O590" s="41"/>
      <c r="P590" s="41"/>
      <c r="Q590" s="41"/>
      <c r="R590" s="40"/>
      <c r="S590" s="25">
        <f t="shared" si="21"/>
        <v>0</v>
      </c>
      <c r="T590" s="25">
        <f>COUNTIF($V$4:V590,V590)</f>
        <v>447</v>
      </c>
      <c r="U590" s="25" t="str">
        <f>IF(T590=1,COUNTIF($T$4:T590,1),"")</f>
        <v/>
      </c>
      <c r="V590" s="26" t="str">
        <f>'施設状況(要更新)'!$E590&amp;'施設状況(要更新)'!$C590</f>
        <v/>
      </c>
      <c r="W590" s="26">
        <f>'施設状況(要更新)'!$F590</f>
        <v>0</v>
      </c>
      <c r="X590" s="27"/>
      <c r="Y590" s="26"/>
    </row>
    <row r="591" spans="1:25" s="10" customFormat="1" ht="11.25">
      <c r="A591" s="18"/>
      <c r="B591" s="44"/>
      <c r="C591" s="40"/>
      <c r="D591" s="40"/>
      <c r="E591" s="40"/>
      <c r="F591" s="41"/>
      <c r="G591" s="41"/>
      <c r="H591" s="41"/>
      <c r="I591" s="41"/>
      <c r="J591" s="41"/>
      <c r="K591" s="41"/>
      <c r="L591" s="41"/>
      <c r="M591" s="41"/>
      <c r="N591" s="41"/>
      <c r="O591" s="41"/>
      <c r="P591" s="41"/>
      <c r="Q591" s="41"/>
      <c r="R591" s="40"/>
      <c r="S591" s="25">
        <f t="shared" si="21"/>
        <v>0</v>
      </c>
      <c r="T591" s="25">
        <f>COUNTIF($V$4:V591,V591)</f>
        <v>448</v>
      </c>
      <c r="U591" s="25" t="str">
        <f>IF(T591=1,COUNTIF($T$4:T591,1),"")</f>
        <v/>
      </c>
      <c r="V591" s="26" t="str">
        <f>'施設状況(要更新)'!$E591&amp;'施設状況(要更新)'!$C591</f>
        <v/>
      </c>
      <c r="W591" s="26">
        <f>'施設状況(要更新)'!$F591</f>
        <v>0</v>
      </c>
      <c r="X591" s="27"/>
      <c r="Y591" s="26"/>
    </row>
    <row r="592" spans="1:25" s="10" customFormat="1" ht="11.25">
      <c r="A592" s="18"/>
      <c r="B592" s="44"/>
      <c r="C592" s="40"/>
      <c r="D592" s="40"/>
      <c r="E592" s="40"/>
      <c r="F592" s="41"/>
      <c r="G592" s="41"/>
      <c r="H592" s="41"/>
      <c r="I592" s="41"/>
      <c r="J592" s="41"/>
      <c r="K592" s="41"/>
      <c r="L592" s="41"/>
      <c r="M592" s="41"/>
      <c r="N592" s="41"/>
      <c r="O592" s="41"/>
      <c r="P592" s="41"/>
      <c r="Q592" s="41"/>
      <c r="R592" s="40"/>
      <c r="S592" s="25">
        <f t="shared" si="21"/>
        <v>0</v>
      </c>
      <c r="T592" s="25">
        <f>COUNTIF($V$4:V592,V592)</f>
        <v>449</v>
      </c>
      <c r="U592" s="25" t="str">
        <f>IF(T592=1,COUNTIF($T$4:T592,1),"")</f>
        <v/>
      </c>
      <c r="V592" s="26" t="str">
        <f>'施設状況(要更新)'!$E592&amp;'施設状況(要更新)'!$C592</f>
        <v/>
      </c>
      <c r="W592" s="26">
        <f>'施設状況(要更新)'!$F592</f>
        <v>0</v>
      </c>
      <c r="X592" s="27"/>
      <c r="Y592" s="26"/>
    </row>
    <row r="593" spans="1:25" s="10" customFormat="1" ht="11.25">
      <c r="A593" s="18"/>
      <c r="B593" s="44"/>
      <c r="C593" s="40"/>
      <c r="D593" s="40"/>
      <c r="E593" s="40"/>
      <c r="F593" s="41"/>
      <c r="G593" s="41"/>
      <c r="H593" s="41"/>
      <c r="I593" s="41"/>
      <c r="J593" s="41"/>
      <c r="K593" s="41"/>
      <c r="L593" s="41"/>
      <c r="M593" s="41"/>
      <c r="N593" s="41"/>
      <c r="O593" s="41"/>
      <c r="P593" s="41"/>
      <c r="Q593" s="41"/>
      <c r="R593" s="40"/>
      <c r="S593" s="25">
        <f t="shared" si="21"/>
        <v>0</v>
      </c>
      <c r="T593" s="25">
        <f>COUNTIF($V$4:V593,V593)</f>
        <v>450</v>
      </c>
      <c r="U593" s="25" t="str">
        <f>IF(T593=1,COUNTIF($T$4:T593,1),"")</f>
        <v/>
      </c>
      <c r="V593" s="26" t="str">
        <f>'施設状況(要更新)'!$E593&amp;'施設状況(要更新)'!$C593</f>
        <v/>
      </c>
      <c r="W593" s="26">
        <f>'施設状況(要更新)'!$F593</f>
        <v>0</v>
      </c>
      <c r="X593" s="27"/>
      <c r="Y593" s="26"/>
    </row>
    <row r="594" spans="1:25" s="10" customFormat="1" ht="11.25">
      <c r="A594" s="18"/>
      <c r="B594" s="44"/>
      <c r="C594" s="40"/>
      <c r="D594" s="40"/>
      <c r="E594" s="40"/>
      <c r="F594" s="41"/>
      <c r="G594" s="41"/>
      <c r="H594" s="41"/>
      <c r="I594" s="41"/>
      <c r="J594" s="41"/>
      <c r="K594" s="41"/>
      <c r="L594" s="41"/>
      <c r="M594" s="41"/>
      <c r="N594" s="41"/>
      <c r="O594" s="41"/>
      <c r="P594" s="41"/>
      <c r="Q594" s="41"/>
      <c r="R594" s="40"/>
      <c r="S594" s="25">
        <f t="shared" si="21"/>
        <v>0</v>
      </c>
      <c r="T594" s="25">
        <f>COUNTIF($V$4:V594,V594)</f>
        <v>451</v>
      </c>
      <c r="U594" s="25" t="str">
        <f>IF(T594=1,COUNTIF($T$4:T594,1),"")</f>
        <v/>
      </c>
      <c r="V594" s="26" t="str">
        <f>'施設状況(要更新)'!$E594&amp;'施設状況(要更新)'!$C594</f>
        <v/>
      </c>
      <c r="W594" s="26">
        <f>'施設状況(要更新)'!$F594</f>
        <v>0</v>
      </c>
      <c r="X594" s="27"/>
      <c r="Y594" s="26"/>
    </row>
    <row r="595" spans="1:25" s="10" customFormat="1" ht="11.25">
      <c r="A595" s="18"/>
      <c r="B595" s="44"/>
      <c r="C595" s="40"/>
      <c r="D595" s="40"/>
      <c r="E595" s="40"/>
      <c r="F595" s="41"/>
      <c r="G595" s="41"/>
      <c r="H595" s="41"/>
      <c r="I595" s="41"/>
      <c r="J595" s="41"/>
      <c r="K595" s="41"/>
      <c r="L595" s="41"/>
      <c r="M595" s="41"/>
      <c r="N595" s="41"/>
      <c r="O595" s="41"/>
      <c r="P595" s="41"/>
      <c r="Q595" s="41"/>
      <c r="R595" s="40"/>
      <c r="S595" s="25">
        <f t="shared" si="21"/>
        <v>0</v>
      </c>
      <c r="T595" s="25">
        <f>COUNTIF($V$4:V595,V595)</f>
        <v>452</v>
      </c>
      <c r="U595" s="25" t="str">
        <f>IF(T595=1,COUNTIF($T$4:T595,1),"")</f>
        <v/>
      </c>
      <c r="V595" s="26" t="str">
        <f>'施設状況(要更新)'!$E595&amp;'施設状況(要更新)'!$C595</f>
        <v/>
      </c>
      <c r="W595" s="26">
        <f>'施設状況(要更新)'!$F595</f>
        <v>0</v>
      </c>
      <c r="X595" s="27"/>
      <c r="Y595" s="26"/>
    </row>
    <row r="596" spans="1:25" s="10" customFormat="1" ht="11.25">
      <c r="A596" s="18"/>
      <c r="B596" s="44"/>
      <c r="C596" s="40"/>
      <c r="D596" s="40"/>
      <c r="E596" s="40"/>
      <c r="F596" s="41"/>
      <c r="G596" s="41"/>
      <c r="H596" s="41"/>
      <c r="I596" s="41"/>
      <c r="J596" s="41"/>
      <c r="K596" s="41"/>
      <c r="L596" s="41"/>
      <c r="M596" s="41"/>
      <c r="N596" s="41"/>
      <c r="O596" s="41"/>
      <c r="P596" s="41"/>
      <c r="Q596" s="41"/>
      <c r="R596" s="40"/>
      <c r="S596" s="25">
        <f t="shared" si="21"/>
        <v>0</v>
      </c>
      <c r="T596" s="25">
        <f>COUNTIF($V$4:V596,V596)</f>
        <v>453</v>
      </c>
      <c r="U596" s="25" t="str">
        <f>IF(T596=1,COUNTIF($T$4:T596,1),"")</f>
        <v/>
      </c>
      <c r="V596" s="26" t="str">
        <f>'施設状況(要更新)'!$E596&amp;'施設状況(要更新)'!$C596</f>
        <v/>
      </c>
      <c r="W596" s="26">
        <f>'施設状況(要更新)'!$F596</f>
        <v>0</v>
      </c>
      <c r="X596" s="27"/>
      <c r="Y596" s="26"/>
    </row>
    <row r="597" spans="1:25" s="10" customFormat="1" ht="11.25">
      <c r="A597" s="18"/>
      <c r="B597" s="44"/>
      <c r="C597" s="40"/>
      <c r="D597" s="40"/>
      <c r="E597" s="40"/>
      <c r="F597" s="41"/>
      <c r="G597" s="41"/>
      <c r="H597" s="41"/>
      <c r="I597" s="41"/>
      <c r="J597" s="41"/>
      <c r="K597" s="41"/>
      <c r="L597" s="41"/>
      <c r="M597" s="41"/>
      <c r="N597" s="41"/>
      <c r="O597" s="41"/>
      <c r="P597" s="41"/>
      <c r="Q597" s="41"/>
      <c r="R597" s="40"/>
      <c r="S597" s="25">
        <f t="shared" si="21"/>
        <v>0</v>
      </c>
      <c r="T597" s="25">
        <f>COUNTIF($V$4:V597,V597)</f>
        <v>454</v>
      </c>
      <c r="U597" s="25" t="str">
        <f>IF(T597=1,COUNTIF($T$4:T597,1),"")</f>
        <v/>
      </c>
      <c r="V597" s="26" t="str">
        <f>'施設状況(要更新)'!$E597&amp;'施設状況(要更新)'!$C597</f>
        <v/>
      </c>
      <c r="W597" s="26">
        <f>'施設状況(要更新)'!$F597</f>
        <v>0</v>
      </c>
      <c r="X597" s="27"/>
      <c r="Y597" s="26"/>
    </row>
    <row r="598" spans="1:25" s="10" customFormat="1" ht="11.25">
      <c r="A598" s="18"/>
      <c r="B598" s="44"/>
      <c r="C598" s="40"/>
      <c r="D598" s="40"/>
      <c r="E598" s="40"/>
      <c r="F598" s="41"/>
      <c r="G598" s="41"/>
      <c r="H598" s="41"/>
      <c r="I598" s="41"/>
      <c r="J598" s="41"/>
      <c r="K598" s="41"/>
      <c r="L598" s="41"/>
      <c r="M598" s="41"/>
      <c r="N598" s="41"/>
      <c r="O598" s="41"/>
      <c r="P598" s="41"/>
      <c r="Q598" s="41"/>
      <c r="R598" s="40"/>
      <c r="S598" s="25">
        <f t="shared" si="21"/>
        <v>0</v>
      </c>
      <c r="T598" s="25">
        <f>COUNTIF($V$4:V598,V598)</f>
        <v>455</v>
      </c>
      <c r="U598" s="25" t="str">
        <f>IF(T598=1,COUNTIF($T$4:T598,1),"")</f>
        <v/>
      </c>
      <c r="V598" s="26" t="str">
        <f>'施設状況(要更新)'!$E598&amp;'施設状況(要更新)'!$C598</f>
        <v/>
      </c>
      <c r="W598" s="26">
        <f>'施設状況(要更新)'!$F598</f>
        <v>0</v>
      </c>
      <c r="X598" s="27"/>
      <c r="Y598" s="26"/>
    </row>
    <row r="599" spans="1:25" s="10" customFormat="1" ht="11.25">
      <c r="A599" s="18"/>
      <c r="B599" s="44"/>
      <c r="C599" s="40"/>
      <c r="D599" s="40"/>
      <c r="E599" s="40"/>
      <c r="F599" s="41"/>
      <c r="G599" s="41"/>
      <c r="H599" s="41"/>
      <c r="I599" s="41"/>
      <c r="J599" s="41"/>
      <c r="K599" s="41"/>
      <c r="L599" s="41"/>
      <c r="M599" s="41"/>
      <c r="N599" s="41"/>
      <c r="O599" s="41"/>
      <c r="P599" s="41"/>
      <c r="Q599" s="41"/>
      <c r="R599" s="40"/>
      <c r="S599" s="25">
        <f t="shared" si="21"/>
        <v>0</v>
      </c>
      <c r="T599" s="25">
        <f>COUNTIF($V$4:V599,V599)</f>
        <v>456</v>
      </c>
      <c r="U599" s="25" t="str">
        <f>IF(T599=1,COUNTIF($T$4:T599,1),"")</f>
        <v/>
      </c>
      <c r="V599" s="26" t="str">
        <f>'施設状況(要更新)'!$E599&amp;'施設状況(要更新)'!$C599</f>
        <v/>
      </c>
      <c r="W599" s="26">
        <f>'施設状況(要更新)'!$F599</f>
        <v>0</v>
      </c>
      <c r="X599" s="27"/>
      <c r="Y599" s="26"/>
    </row>
    <row r="600" spans="1:25" s="10" customFormat="1" ht="11.25">
      <c r="A600" s="18"/>
      <c r="B600" s="44"/>
      <c r="C600" s="40"/>
      <c r="D600" s="40"/>
      <c r="E600" s="40"/>
      <c r="F600" s="41"/>
      <c r="G600" s="41"/>
      <c r="H600" s="41"/>
      <c r="I600" s="41"/>
      <c r="J600" s="41"/>
      <c r="K600" s="41"/>
      <c r="L600" s="41"/>
      <c r="M600" s="41"/>
      <c r="N600" s="41"/>
      <c r="O600" s="41"/>
      <c r="P600" s="41"/>
      <c r="Q600" s="41"/>
      <c r="R600" s="40"/>
      <c r="S600" s="25">
        <f t="shared" si="21"/>
        <v>0</v>
      </c>
      <c r="T600" s="25">
        <f>COUNTIF($V$4:V600,V600)</f>
        <v>457</v>
      </c>
      <c r="U600" s="25" t="str">
        <f>IF(T600=1,COUNTIF($T$4:T600,1),"")</f>
        <v/>
      </c>
      <c r="V600" s="26" t="str">
        <f>'施設状況(要更新)'!$E600&amp;'施設状況(要更新)'!$C600</f>
        <v/>
      </c>
      <c r="W600" s="26">
        <f>'施設状況(要更新)'!$F600</f>
        <v>0</v>
      </c>
      <c r="X600" s="27"/>
      <c r="Y600" s="26"/>
    </row>
    <row r="601" spans="1:25" s="10" customFormat="1" ht="11.25">
      <c r="A601" s="18"/>
      <c r="B601" s="44"/>
      <c r="C601" s="40"/>
      <c r="D601" s="40"/>
      <c r="E601" s="40"/>
      <c r="F601" s="41"/>
      <c r="G601" s="41"/>
      <c r="H601" s="41"/>
      <c r="I601" s="41"/>
      <c r="J601" s="41"/>
      <c r="K601" s="41"/>
      <c r="L601" s="41"/>
      <c r="M601" s="41"/>
      <c r="N601" s="41"/>
      <c r="O601" s="41"/>
      <c r="P601" s="41"/>
      <c r="Q601" s="41"/>
      <c r="R601" s="40"/>
      <c r="S601" s="25">
        <f t="shared" si="21"/>
        <v>0</v>
      </c>
      <c r="T601" s="25">
        <f>COUNTIF($V$4:V601,V601)</f>
        <v>458</v>
      </c>
      <c r="U601" s="25" t="str">
        <f>IF(T601=1,COUNTIF($T$4:T601,1),"")</f>
        <v/>
      </c>
      <c r="V601" s="26" t="str">
        <f>'施設状況(要更新)'!$E601&amp;'施設状況(要更新)'!$C601</f>
        <v/>
      </c>
      <c r="W601" s="26">
        <f>'施設状況(要更新)'!$F601</f>
        <v>0</v>
      </c>
      <c r="X601" s="27"/>
      <c r="Y601" s="26"/>
    </row>
    <row r="602" spans="1:25" s="10" customFormat="1" ht="11.25">
      <c r="A602" s="18"/>
      <c r="B602" s="44"/>
      <c r="C602" s="40"/>
      <c r="D602" s="40"/>
      <c r="E602" s="40"/>
      <c r="F602" s="41"/>
      <c r="G602" s="41"/>
      <c r="H602" s="41"/>
      <c r="I602" s="41"/>
      <c r="J602" s="41"/>
      <c r="K602" s="41"/>
      <c r="L602" s="41"/>
      <c r="M602" s="41"/>
      <c r="N602" s="41"/>
      <c r="O602" s="41"/>
      <c r="P602" s="41"/>
      <c r="Q602" s="41"/>
      <c r="R602" s="40"/>
      <c r="S602" s="25">
        <f t="shared" si="21"/>
        <v>0</v>
      </c>
      <c r="T602" s="25">
        <f>COUNTIF($V$4:V602,V602)</f>
        <v>459</v>
      </c>
      <c r="U602" s="25" t="str">
        <f>IF(T602=1,COUNTIF($T$4:T602,1),"")</f>
        <v/>
      </c>
      <c r="V602" s="26" t="str">
        <f>'施設状況(要更新)'!$E602&amp;'施設状況(要更新)'!$C602</f>
        <v/>
      </c>
      <c r="W602" s="26">
        <f>'施設状況(要更新)'!$F602</f>
        <v>0</v>
      </c>
      <c r="X602" s="27"/>
    </row>
    <row r="603" spans="1:25">
      <c r="A603" s="18"/>
      <c r="B603" s="44"/>
      <c r="C603" s="40"/>
      <c r="D603" s="40"/>
      <c r="E603" s="40"/>
      <c r="F603" s="41"/>
      <c r="G603" s="41"/>
      <c r="H603" s="41"/>
      <c r="I603" s="41"/>
      <c r="J603" s="41"/>
      <c r="K603" s="41"/>
      <c r="L603" s="41"/>
      <c r="M603" s="41"/>
      <c r="N603" s="41"/>
      <c r="O603" s="41"/>
      <c r="P603" s="41"/>
      <c r="Q603" s="41"/>
      <c r="R603" s="40"/>
      <c r="S603" s="25">
        <f t="shared" si="21"/>
        <v>0</v>
      </c>
      <c r="T603" s="25">
        <f>COUNTIF($V$4:V603,V603)</f>
        <v>460</v>
      </c>
      <c r="U603" s="25" t="str">
        <f>IF(T603=1,COUNTIF($T$4:T603,1),"")</f>
        <v/>
      </c>
      <c r="V603" s="26" t="str">
        <f>'施設状況(要更新)'!$E603&amp;'施設状況(要更新)'!$C603</f>
        <v/>
      </c>
      <c r="W603" s="26">
        <f>'施設状況(要更新)'!$F603</f>
        <v>0</v>
      </c>
      <c r="X603" s="27"/>
    </row>
    <row r="604" spans="1:25">
      <c r="A604" s="18"/>
      <c r="B604" s="44"/>
      <c r="C604" s="40"/>
      <c r="D604" s="40"/>
      <c r="E604" s="40"/>
      <c r="F604" s="41"/>
      <c r="G604" s="41"/>
      <c r="H604" s="41"/>
      <c r="I604" s="41"/>
      <c r="J604" s="41"/>
      <c r="K604" s="41"/>
      <c r="L604" s="41"/>
      <c r="M604" s="41"/>
      <c r="N604" s="41"/>
      <c r="O604" s="41"/>
      <c r="P604" s="41"/>
      <c r="Q604" s="41"/>
      <c r="R604" s="40"/>
      <c r="S604" s="25">
        <f t="shared" si="21"/>
        <v>0</v>
      </c>
      <c r="T604" s="25">
        <f>COUNTIF($V$4:V604,V604)</f>
        <v>461</v>
      </c>
      <c r="U604" s="25" t="str">
        <f>IF(T604=1,COUNTIF($T$4:T604,1),"")</f>
        <v/>
      </c>
      <c r="V604" s="26" t="str">
        <f>'施設状況(要更新)'!$E604&amp;'施設状況(要更新)'!$C604</f>
        <v/>
      </c>
      <c r="W604" s="26">
        <f>'施設状況(要更新)'!$F604</f>
        <v>0</v>
      </c>
      <c r="X604" s="27"/>
    </row>
    <row r="605" spans="1:25">
      <c r="A605" s="18"/>
      <c r="B605" s="44"/>
      <c r="C605" s="40"/>
      <c r="D605" s="40"/>
      <c r="E605" s="40"/>
      <c r="F605" s="41"/>
      <c r="G605" s="41"/>
      <c r="H605" s="41"/>
      <c r="I605" s="41"/>
      <c r="J605" s="41"/>
      <c r="K605" s="41"/>
      <c r="L605" s="41"/>
      <c r="M605" s="41"/>
      <c r="N605" s="41"/>
      <c r="O605" s="41"/>
      <c r="P605" s="41"/>
      <c r="Q605" s="41"/>
      <c r="R605" s="40"/>
      <c r="S605" s="25">
        <f t="shared" si="21"/>
        <v>0</v>
      </c>
      <c r="T605" s="25">
        <f>COUNTIF($V$4:V605,V605)</f>
        <v>462</v>
      </c>
      <c r="U605" s="25" t="str">
        <f>IF(T605=1,COUNTIF($T$4:T605,1),"")</f>
        <v/>
      </c>
      <c r="V605" s="26" t="str">
        <f>'施設状況(要更新)'!$E605&amp;'施設状況(要更新)'!$C605</f>
        <v/>
      </c>
      <c r="W605" s="26">
        <f>'施設状況(要更新)'!$F605</f>
        <v>0</v>
      </c>
      <c r="X605" s="27"/>
    </row>
    <row r="606" spans="1:25">
      <c r="A606" s="18"/>
      <c r="B606" s="44"/>
      <c r="C606" s="40"/>
      <c r="D606" s="40"/>
      <c r="E606" s="40"/>
      <c r="F606" s="41"/>
      <c r="G606" s="41"/>
      <c r="H606" s="41"/>
      <c r="I606" s="41"/>
      <c r="J606" s="41"/>
      <c r="K606" s="41"/>
      <c r="L606" s="41"/>
      <c r="M606" s="41"/>
      <c r="N606" s="41"/>
      <c r="O606" s="41"/>
      <c r="P606" s="41"/>
      <c r="Q606" s="41"/>
      <c r="R606" s="40"/>
      <c r="S606" s="25">
        <f t="shared" si="21"/>
        <v>0</v>
      </c>
      <c r="T606" s="25">
        <f>COUNTIF($V$4:V606,V606)</f>
        <v>463</v>
      </c>
      <c r="U606" s="25" t="str">
        <f>IF(T606=1,COUNTIF($T$4:T606,1),"")</f>
        <v/>
      </c>
      <c r="V606" s="26" t="str">
        <f>'施設状況(要更新)'!$E606&amp;'施設状況(要更新)'!$C606</f>
        <v/>
      </c>
      <c r="W606" s="26">
        <f>'施設状況(要更新)'!$F606</f>
        <v>0</v>
      </c>
      <c r="X606" s="27"/>
    </row>
    <row r="607" spans="1:25">
      <c r="A607" s="18"/>
      <c r="B607" s="44"/>
      <c r="C607" s="40"/>
      <c r="D607" s="40"/>
      <c r="E607" s="40"/>
      <c r="F607" s="41"/>
      <c r="G607" s="41"/>
      <c r="H607" s="41"/>
      <c r="I607" s="41"/>
      <c r="J607" s="41"/>
      <c r="K607" s="41"/>
      <c r="L607" s="41"/>
      <c r="M607" s="41"/>
      <c r="N607" s="41"/>
      <c r="O607" s="41"/>
      <c r="P607" s="41"/>
      <c r="Q607" s="41"/>
      <c r="R607" s="40"/>
      <c r="S607" s="25">
        <f t="shared" si="21"/>
        <v>0</v>
      </c>
      <c r="T607" s="25">
        <f>COUNTIF($V$4:V607,V607)</f>
        <v>464</v>
      </c>
      <c r="U607" s="25" t="str">
        <f>IF(T607=1,COUNTIF($T$4:T607,1),"")</f>
        <v/>
      </c>
      <c r="V607" s="26" t="str">
        <f>'施設状況(要更新)'!$E607&amp;'施設状況(要更新)'!$C607</f>
        <v/>
      </c>
      <c r="W607" s="26">
        <f>'施設状況(要更新)'!$F607</f>
        <v>0</v>
      </c>
      <c r="X607" s="27"/>
    </row>
    <row r="608" spans="1:25">
      <c r="A608" s="18"/>
      <c r="B608" s="44"/>
      <c r="C608" s="40"/>
      <c r="D608" s="40"/>
      <c r="E608" s="40"/>
      <c r="F608" s="41"/>
      <c r="G608" s="41"/>
      <c r="H608" s="41"/>
      <c r="I608" s="41"/>
      <c r="J608" s="41"/>
      <c r="K608" s="41"/>
      <c r="L608" s="41"/>
      <c r="M608" s="41"/>
      <c r="N608" s="41"/>
      <c r="O608" s="41"/>
      <c r="P608" s="41"/>
      <c r="Q608" s="41"/>
      <c r="R608" s="40"/>
      <c r="S608" s="25">
        <f t="shared" si="21"/>
        <v>0</v>
      </c>
      <c r="T608" s="25">
        <f>COUNTIF($V$4:V608,V608)</f>
        <v>465</v>
      </c>
      <c r="U608" s="25" t="str">
        <f>IF(T608=1,COUNTIF($T$4:T608,1),"")</f>
        <v/>
      </c>
      <c r="V608" s="26" t="str">
        <f>'施設状況(要更新)'!$E608&amp;'施設状況(要更新)'!$C608</f>
        <v/>
      </c>
      <c r="W608" s="26">
        <f>'施設状況(要更新)'!$F608</f>
        <v>0</v>
      </c>
      <c r="X608" s="27"/>
    </row>
    <row r="609" spans="1:24">
      <c r="A609" s="18"/>
      <c r="B609" s="44"/>
      <c r="C609" s="40"/>
      <c r="D609" s="40"/>
      <c r="E609" s="40"/>
      <c r="F609" s="41"/>
      <c r="G609" s="41"/>
      <c r="H609" s="41"/>
      <c r="I609" s="41"/>
      <c r="J609" s="41"/>
      <c r="K609" s="41"/>
      <c r="L609" s="41"/>
      <c r="M609" s="41"/>
      <c r="N609" s="41"/>
      <c r="O609" s="41"/>
      <c r="P609" s="41"/>
      <c r="Q609" s="41"/>
      <c r="R609" s="40"/>
      <c r="S609" s="25">
        <f t="shared" si="21"/>
        <v>0</v>
      </c>
      <c r="T609" s="25">
        <f>COUNTIF($V$4:V609,V609)</f>
        <v>466</v>
      </c>
      <c r="U609" s="25" t="str">
        <f>IF(T609=1,COUNTIF($T$4:T609,1),"")</f>
        <v/>
      </c>
      <c r="V609" s="26" t="str">
        <f>'施設状況(要更新)'!$E609&amp;'施設状況(要更新)'!$C609</f>
        <v/>
      </c>
      <c r="W609" s="26">
        <f>'施設状況(要更新)'!$F609</f>
        <v>0</v>
      </c>
      <c r="X609" s="27"/>
    </row>
    <row r="610" spans="1:24">
      <c r="A610" s="18"/>
      <c r="B610" s="44"/>
      <c r="C610" s="40"/>
      <c r="D610" s="40"/>
      <c r="E610" s="40"/>
      <c r="F610" s="41"/>
      <c r="G610" s="41"/>
      <c r="H610" s="41"/>
      <c r="I610" s="41"/>
      <c r="J610" s="41"/>
      <c r="K610" s="41"/>
      <c r="L610" s="41"/>
      <c r="M610" s="41"/>
      <c r="N610" s="41"/>
      <c r="O610" s="41"/>
      <c r="P610" s="41"/>
      <c r="Q610" s="41"/>
      <c r="R610" s="40"/>
      <c r="S610" s="25">
        <f t="shared" si="21"/>
        <v>0</v>
      </c>
      <c r="T610" s="25">
        <f>COUNTIF($V$4:V610,V610)</f>
        <v>467</v>
      </c>
      <c r="U610" s="25" t="str">
        <f>IF(T610=1,COUNTIF($T$4:T610,1),"")</f>
        <v/>
      </c>
      <c r="V610" s="26" t="str">
        <f>'施設状況(要更新)'!$E610&amp;'施設状況(要更新)'!$C610</f>
        <v/>
      </c>
      <c r="W610" s="26">
        <f>'施設状況(要更新)'!$F610</f>
        <v>0</v>
      </c>
      <c r="X610" s="27"/>
    </row>
    <row r="611" spans="1:24">
      <c r="A611" s="18"/>
      <c r="B611" s="44"/>
      <c r="C611" s="40"/>
      <c r="D611" s="40"/>
      <c r="E611" s="40"/>
      <c r="F611" s="41"/>
      <c r="G611" s="41"/>
      <c r="H611" s="41"/>
      <c r="I611" s="41"/>
      <c r="J611" s="41"/>
      <c r="K611" s="41"/>
      <c r="L611" s="41"/>
      <c r="M611" s="41"/>
      <c r="N611" s="41"/>
      <c r="O611" s="41"/>
      <c r="P611" s="41"/>
      <c r="Q611" s="41"/>
      <c r="R611" s="40"/>
      <c r="S611" s="25">
        <f t="shared" si="21"/>
        <v>0</v>
      </c>
      <c r="T611" s="25">
        <f>COUNTIF($V$4:V611,V611)</f>
        <v>468</v>
      </c>
      <c r="U611" s="25" t="str">
        <f>IF(T611=1,COUNTIF($T$4:T611,1),"")</f>
        <v/>
      </c>
      <c r="V611" s="26" t="str">
        <f>'施設状況(要更新)'!$E611&amp;'施設状況(要更新)'!$C611</f>
        <v/>
      </c>
      <c r="W611" s="26">
        <f>'施設状況(要更新)'!$F611</f>
        <v>0</v>
      </c>
      <c r="X611" s="27"/>
    </row>
    <row r="612" spans="1:24">
      <c r="A612" s="18"/>
      <c r="B612" s="44"/>
      <c r="C612" s="40"/>
      <c r="D612" s="40"/>
      <c r="E612" s="40"/>
      <c r="F612" s="41"/>
      <c r="G612" s="41"/>
      <c r="H612" s="41"/>
      <c r="I612" s="41"/>
      <c r="J612" s="41"/>
      <c r="K612" s="41"/>
      <c r="L612" s="41"/>
      <c r="M612" s="41"/>
      <c r="N612" s="41"/>
      <c r="O612" s="41"/>
      <c r="P612" s="41"/>
      <c r="Q612" s="41"/>
      <c r="R612" s="40"/>
      <c r="S612" s="25">
        <f t="shared" si="21"/>
        <v>0</v>
      </c>
      <c r="T612" s="25">
        <f>COUNTIF($V$4:V612,V612)</f>
        <v>469</v>
      </c>
      <c r="U612" s="25" t="str">
        <f>IF(T612=1,COUNTIF($T$4:T612,1),"")</f>
        <v/>
      </c>
      <c r="V612" s="26" t="str">
        <f>'施設状況(要更新)'!$E612&amp;'施設状況(要更新)'!$C612</f>
        <v/>
      </c>
      <c r="W612" s="26">
        <f>'施設状況(要更新)'!$F612</f>
        <v>0</v>
      </c>
      <c r="X612" s="27"/>
    </row>
    <row r="613" spans="1:24">
      <c r="A613" s="18"/>
      <c r="B613" s="44"/>
      <c r="C613" s="40"/>
      <c r="D613" s="40"/>
      <c r="E613" s="40"/>
      <c r="F613" s="41"/>
      <c r="G613" s="41"/>
      <c r="H613" s="41"/>
      <c r="I613" s="41"/>
      <c r="J613" s="41"/>
      <c r="K613" s="41"/>
      <c r="L613" s="41"/>
      <c r="M613" s="41"/>
      <c r="N613" s="41"/>
      <c r="O613" s="41"/>
      <c r="P613" s="41"/>
      <c r="Q613" s="41"/>
      <c r="R613" s="40"/>
      <c r="S613" s="25">
        <f t="shared" si="21"/>
        <v>0</v>
      </c>
      <c r="T613" s="25">
        <f>COUNTIF($V$4:V613,V613)</f>
        <v>470</v>
      </c>
      <c r="U613" s="25" t="str">
        <f>IF(T613=1,COUNTIF($T$4:T613,1),"")</f>
        <v/>
      </c>
      <c r="V613" s="26" t="str">
        <f>'施設状況(要更新)'!$E613&amp;'施設状況(要更新)'!$C613</f>
        <v/>
      </c>
      <c r="W613" s="26">
        <f>'施設状況(要更新)'!$F613</f>
        <v>0</v>
      </c>
      <c r="X613" s="27"/>
    </row>
    <row r="614" spans="1:24">
      <c r="A614" s="18"/>
      <c r="B614" s="44"/>
      <c r="C614" s="40"/>
      <c r="D614" s="40"/>
      <c r="E614" s="40"/>
      <c r="F614" s="41"/>
      <c r="G614" s="41"/>
      <c r="H614" s="41"/>
      <c r="I614" s="41"/>
      <c r="J614" s="41"/>
      <c r="K614" s="41"/>
      <c r="L614" s="41"/>
      <c r="M614" s="41"/>
      <c r="N614" s="41"/>
      <c r="O614" s="41"/>
      <c r="P614" s="41"/>
      <c r="Q614" s="41"/>
      <c r="R614" s="40"/>
      <c r="S614" s="25">
        <f t="shared" si="21"/>
        <v>0</v>
      </c>
      <c r="T614" s="25">
        <f>COUNTIF($V$4:V614,V614)</f>
        <v>471</v>
      </c>
      <c r="U614" s="25" t="str">
        <f>IF(T614=1,COUNTIF($T$4:T614,1),"")</f>
        <v/>
      </c>
      <c r="V614" s="26" t="str">
        <f>'施設状況(要更新)'!$E614&amp;'施設状況(要更新)'!$C614</f>
        <v/>
      </c>
      <c r="W614" s="26">
        <f>'施設状況(要更新)'!$F614</f>
        <v>0</v>
      </c>
      <c r="X614" s="27"/>
    </row>
    <row r="615" spans="1:24">
      <c r="A615" s="18"/>
      <c r="B615" s="44"/>
      <c r="C615" s="40"/>
      <c r="D615" s="40"/>
      <c r="E615" s="40"/>
      <c r="F615" s="41"/>
      <c r="G615" s="41"/>
      <c r="H615" s="41"/>
      <c r="I615" s="41"/>
      <c r="J615" s="41"/>
      <c r="K615" s="41"/>
      <c r="L615" s="41"/>
      <c r="M615" s="41"/>
      <c r="N615" s="41"/>
      <c r="O615" s="41"/>
      <c r="P615" s="41"/>
      <c r="Q615" s="41"/>
      <c r="R615" s="40"/>
      <c r="S615" s="25">
        <f t="shared" si="21"/>
        <v>0</v>
      </c>
      <c r="T615" s="25">
        <f>COUNTIF($V$4:V615,V615)</f>
        <v>472</v>
      </c>
      <c r="U615" s="25" t="str">
        <f>IF(T615=1,COUNTIF($T$4:T615,1),"")</f>
        <v/>
      </c>
      <c r="V615" s="26" t="str">
        <f>'施設状況(要更新)'!$E615&amp;'施設状況(要更新)'!$C615</f>
        <v/>
      </c>
      <c r="W615" s="26">
        <f>'施設状況(要更新)'!$F615</f>
        <v>0</v>
      </c>
      <c r="X615" s="27"/>
    </row>
    <row r="616" spans="1:24">
      <c r="A616" s="18"/>
      <c r="B616" s="44"/>
      <c r="C616" s="40"/>
      <c r="D616" s="40"/>
      <c r="E616" s="40"/>
      <c r="F616" s="41"/>
      <c r="G616" s="41"/>
      <c r="H616" s="41"/>
      <c r="I616" s="41"/>
      <c r="J616" s="41"/>
      <c r="K616" s="41"/>
      <c r="L616" s="41"/>
      <c r="M616" s="41"/>
      <c r="N616" s="41"/>
      <c r="O616" s="41"/>
      <c r="P616" s="41"/>
      <c r="Q616" s="41"/>
      <c r="R616" s="40"/>
      <c r="S616" s="25">
        <f t="shared" si="21"/>
        <v>0</v>
      </c>
      <c r="T616" s="25">
        <f>COUNTIF($V$4:V616,V616)</f>
        <v>473</v>
      </c>
      <c r="U616" s="25" t="str">
        <f>IF(T616=1,COUNTIF($T$4:T616,1),"")</f>
        <v/>
      </c>
      <c r="V616" s="26" t="str">
        <f>'施設状況(要更新)'!$E616&amp;'施設状況(要更新)'!$C616</f>
        <v/>
      </c>
      <c r="W616" s="26">
        <f>'施設状況(要更新)'!$F616</f>
        <v>0</v>
      </c>
      <c r="X616" s="27"/>
    </row>
    <row r="617" spans="1:24">
      <c r="A617" s="18"/>
      <c r="B617" s="44"/>
      <c r="C617" s="40"/>
      <c r="D617" s="40"/>
      <c r="E617" s="40"/>
      <c r="F617" s="41"/>
      <c r="G617" s="41"/>
      <c r="H617" s="41"/>
      <c r="I617" s="41"/>
      <c r="J617" s="41"/>
      <c r="K617" s="41"/>
      <c r="L617" s="41"/>
      <c r="M617" s="41"/>
      <c r="N617" s="41"/>
      <c r="O617" s="41"/>
      <c r="P617" s="41"/>
      <c r="Q617" s="41"/>
      <c r="R617" s="40"/>
      <c r="S617" s="25">
        <f t="shared" si="21"/>
        <v>0</v>
      </c>
      <c r="T617" s="25">
        <f>COUNTIF($V$4:V617,V617)</f>
        <v>474</v>
      </c>
      <c r="U617" s="25" t="str">
        <f>IF(T617=1,COUNTIF($T$4:T617,1),"")</f>
        <v/>
      </c>
      <c r="V617" s="26" t="str">
        <f>'施設状況(要更新)'!$E617&amp;'施設状況(要更新)'!$C617</f>
        <v/>
      </c>
      <c r="W617" s="26">
        <f>'施設状況(要更新)'!$F617</f>
        <v>0</v>
      </c>
      <c r="X617" s="27"/>
    </row>
    <row r="618" spans="1:24">
      <c r="A618" s="18"/>
      <c r="B618" s="44"/>
      <c r="C618" s="40"/>
      <c r="D618" s="40"/>
      <c r="E618" s="40"/>
      <c r="F618" s="41"/>
      <c r="G618" s="41"/>
      <c r="H618" s="41"/>
      <c r="I618" s="41"/>
      <c r="J618" s="41"/>
      <c r="K618" s="41"/>
      <c r="L618" s="41"/>
      <c r="M618" s="41"/>
      <c r="N618" s="41"/>
      <c r="O618" s="41"/>
      <c r="P618" s="41"/>
      <c r="Q618" s="41"/>
      <c r="R618" s="40"/>
      <c r="S618" s="25">
        <f t="shared" si="21"/>
        <v>0</v>
      </c>
      <c r="T618" s="25">
        <f>COUNTIF($V$4:V618,V618)</f>
        <v>475</v>
      </c>
      <c r="U618" s="25" t="str">
        <f>IF(T618=1,COUNTIF($T$4:T618,1),"")</f>
        <v/>
      </c>
      <c r="V618" s="26" t="str">
        <f>'施設状況(要更新)'!$E618&amp;'施設状況(要更新)'!$C618</f>
        <v/>
      </c>
      <c r="W618" s="26">
        <f>'施設状況(要更新)'!$F618</f>
        <v>0</v>
      </c>
      <c r="X618" s="27"/>
    </row>
    <row r="619" spans="1:24">
      <c r="A619" s="18"/>
      <c r="B619" s="44"/>
      <c r="C619" s="40"/>
      <c r="D619" s="40"/>
      <c r="E619" s="40"/>
      <c r="F619" s="41"/>
      <c r="G619" s="41"/>
      <c r="H619" s="41"/>
      <c r="I619" s="41"/>
      <c r="J619" s="41"/>
      <c r="K619" s="41"/>
      <c r="L619" s="41"/>
      <c r="M619" s="41"/>
      <c r="N619" s="41"/>
      <c r="O619" s="41"/>
      <c r="P619" s="41"/>
      <c r="Q619" s="41"/>
      <c r="R619" s="40"/>
      <c r="S619" s="25">
        <f t="shared" si="21"/>
        <v>0</v>
      </c>
      <c r="T619" s="25">
        <f>COUNTIF($V$4:V619,V619)</f>
        <v>476</v>
      </c>
      <c r="U619" s="25" t="str">
        <f>IF(T619=1,COUNTIF($T$4:T619,1),"")</f>
        <v/>
      </c>
      <c r="V619" s="26" t="str">
        <f>'施設状況(要更新)'!$E619&amp;'施設状況(要更新)'!$C619</f>
        <v/>
      </c>
      <c r="W619" s="26">
        <f>'施設状況(要更新)'!$F619</f>
        <v>0</v>
      </c>
      <c r="X619" s="27"/>
    </row>
    <row r="620" spans="1:24">
      <c r="A620" s="18"/>
      <c r="B620" s="44"/>
      <c r="C620" s="40"/>
      <c r="D620" s="40"/>
      <c r="E620" s="40"/>
      <c r="F620" s="41"/>
      <c r="G620" s="41"/>
      <c r="H620" s="41"/>
      <c r="I620" s="41"/>
      <c r="J620" s="41"/>
      <c r="K620" s="41"/>
      <c r="L620" s="41"/>
      <c r="M620" s="41"/>
      <c r="N620" s="41"/>
      <c r="O620" s="41"/>
      <c r="P620" s="41"/>
      <c r="Q620" s="41"/>
      <c r="R620" s="40"/>
      <c r="S620" s="25">
        <f t="shared" si="21"/>
        <v>0</v>
      </c>
      <c r="T620" s="25">
        <f>COUNTIF($V$4:V620,V620)</f>
        <v>477</v>
      </c>
      <c r="U620" s="25" t="str">
        <f>IF(T620=1,COUNTIF($T$4:T620,1),"")</f>
        <v/>
      </c>
      <c r="V620" s="26" t="str">
        <f>'施設状況(要更新)'!$E620&amp;'施設状況(要更新)'!$C620</f>
        <v/>
      </c>
      <c r="W620" s="26">
        <f>'施設状況(要更新)'!$F620</f>
        <v>0</v>
      </c>
      <c r="X620" s="27"/>
    </row>
    <row r="621" spans="1:24">
      <c r="A621" s="18"/>
      <c r="B621" s="44"/>
      <c r="C621" s="40"/>
      <c r="D621" s="40"/>
      <c r="E621" s="40"/>
      <c r="F621" s="41"/>
      <c r="G621" s="41"/>
      <c r="H621" s="41"/>
      <c r="I621" s="41"/>
      <c r="J621" s="41"/>
      <c r="K621" s="41"/>
      <c r="L621" s="41"/>
      <c r="M621" s="41"/>
      <c r="N621" s="41"/>
      <c r="O621" s="41"/>
      <c r="P621" s="41"/>
      <c r="Q621" s="41"/>
      <c r="R621" s="40"/>
      <c r="S621" s="25">
        <f t="shared" si="21"/>
        <v>0</v>
      </c>
      <c r="T621" s="25">
        <f>COUNTIF($V$4:V621,V621)</f>
        <v>478</v>
      </c>
      <c r="U621" s="25" t="str">
        <f>IF(T621=1,COUNTIF($T$4:T621,1),"")</f>
        <v/>
      </c>
      <c r="V621" s="26" t="str">
        <f>'施設状況(要更新)'!$E621&amp;'施設状況(要更新)'!$C621</f>
        <v/>
      </c>
      <c r="W621" s="26">
        <f>'施設状況(要更新)'!$F621</f>
        <v>0</v>
      </c>
      <c r="X621" s="27"/>
    </row>
    <row r="622" spans="1:24">
      <c r="A622" s="18"/>
      <c r="B622" s="44"/>
      <c r="C622" s="40"/>
      <c r="D622" s="40"/>
      <c r="E622" s="40"/>
      <c r="F622" s="41"/>
      <c r="G622" s="41"/>
      <c r="H622" s="41"/>
      <c r="I622" s="41"/>
      <c r="J622" s="41"/>
      <c r="K622" s="41"/>
      <c r="L622" s="41"/>
      <c r="M622" s="41"/>
      <c r="N622" s="41"/>
      <c r="O622" s="41"/>
      <c r="P622" s="41"/>
      <c r="Q622" s="41"/>
      <c r="R622" s="40"/>
      <c r="S622" s="25">
        <f t="shared" si="21"/>
        <v>0</v>
      </c>
      <c r="T622" s="25">
        <f>COUNTIF($V$4:V622,V622)</f>
        <v>479</v>
      </c>
      <c r="U622" s="25" t="str">
        <f>IF(T622=1,COUNTIF($T$4:T622,1),"")</f>
        <v/>
      </c>
      <c r="V622" s="26" t="str">
        <f>'施設状況(要更新)'!$E622&amp;'施設状況(要更新)'!$C622</f>
        <v/>
      </c>
      <c r="W622" s="26">
        <f>'施設状況(要更新)'!$F622</f>
        <v>0</v>
      </c>
      <c r="X622" s="27"/>
    </row>
    <row r="623" spans="1:24">
      <c r="A623" s="18"/>
      <c r="B623" s="44"/>
      <c r="C623" s="40"/>
      <c r="D623" s="40"/>
      <c r="E623" s="40"/>
      <c r="F623" s="41"/>
      <c r="G623" s="41"/>
      <c r="H623" s="41"/>
      <c r="I623" s="41"/>
      <c r="J623" s="41"/>
      <c r="K623" s="41"/>
      <c r="L623" s="41"/>
      <c r="M623" s="41"/>
      <c r="N623" s="41"/>
      <c r="O623" s="41"/>
      <c r="P623" s="41"/>
      <c r="Q623" s="41"/>
      <c r="R623" s="40"/>
      <c r="S623" s="25">
        <f t="shared" si="21"/>
        <v>0</v>
      </c>
      <c r="T623" s="25">
        <f>COUNTIF($V$4:V623,V623)</f>
        <v>480</v>
      </c>
      <c r="U623" s="25" t="str">
        <f>IF(T623=1,COUNTIF($T$4:T623,1),"")</f>
        <v/>
      </c>
      <c r="V623" s="26" t="str">
        <f>'施設状況(要更新)'!$E623&amp;'施設状況(要更新)'!$C623</f>
        <v/>
      </c>
      <c r="W623" s="26">
        <f>'施設状況(要更新)'!$F623</f>
        <v>0</v>
      </c>
      <c r="X623" s="27"/>
    </row>
    <row r="624" spans="1:24">
      <c r="A624" s="18"/>
      <c r="B624" s="44"/>
      <c r="C624" s="40"/>
      <c r="D624" s="40"/>
      <c r="E624" s="40"/>
      <c r="F624" s="41"/>
      <c r="G624" s="41"/>
      <c r="H624" s="41"/>
      <c r="I624" s="41"/>
      <c r="J624" s="41"/>
      <c r="K624" s="41"/>
      <c r="L624" s="41"/>
      <c r="M624" s="41"/>
      <c r="N624" s="41"/>
      <c r="O624" s="41"/>
      <c r="P624" s="41"/>
      <c r="Q624" s="41"/>
      <c r="R624" s="40"/>
      <c r="S624" s="25">
        <f t="shared" si="21"/>
        <v>0</v>
      </c>
      <c r="T624" s="25">
        <f>COUNTIF($V$4:V624,V624)</f>
        <v>481</v>
      </c>
      <c r="U624" s="25" t="str">
        <f>IF(T624=1,COUNTIF($T$4:T624,1),"")</f>
        <v/>
      </c>
      <c r="V624" s="26" t="str">
        <f>'施設状況(要更新)'!$E624&amp;'施設状況(要更新)'!$C624</f>
        <v/>
      </c>
      <c r="W624" s="26">
        <f>'施設状況(要更新)'!$F624</f>
        <v>0</v>
      </c>
      <c r="X624" s="27"/>
    </row>
    <row r="625" spans="1:24">
      <c r="A625" s="18"/>
      <c r="B625" s="44"/>
      <c r="C625" s="40"/>
      <c r="D625" s="40"/>
      <c r="E625" s="40"/>
      <c r="F625" s="41"/>
      <c r="G625" s="41"/>
      <c r="H625" s="41"/>
      <c r="I625" s="41"/>
      <c r="J625" s="41"/>
      <c r="K625" s="41"/>
      <c r="L625" s="41"/>
      <c r="M625" s="41"/>
      <c r="N625" s="41"/>
      <c r="O625" s="41"/>
      <c r="P625" s="41"/>
      <c r="Q625" s="41"/>
      <c r="R625" s="40"/>
      <c r="S625" s="25">
        <f t="shared" si="21"/>
        <v>0</v>
      </c>
      <c r="T625" s="25">
        <f>COUNTIF($V$4:V625,V625)</f>
        <v>482</v>
      </c>
      <c r="U625" s="25" t="str">
        <f>IF(T625=1,COUNTIF($T$4:T625,1),"")</f>
        <v/>
      </c>
      <c r="V625" s="26" t="str">
        <f>'施設状況(要更新)'!$E625&amp;'施設状況(要更新)'!$C625</f>
        <v/>
      </c>
      <c r="W625" s="26">
        <f>'施設状況(要更新)'!$F625</f>
        <v>0</v>
      </c>
      <c r="X625" s="27"/>
    </row>
    <row r="626" spans="1:24">
      <c r="A626" s="18"/>
      <c r="B626" s="44"/>
      <c r="C626" s="40"/>
      <c r="D626" s="40"/>
      <c r="E626" s="40"/>
      <c r="F626" s="41"/>
      <c r="G626" s="41"/>
      <c r="H626" s="41"/>
      <c r="I626" s="41"/>
      <c r="J626" s="41"/>
      <c r="K626" s="41"/>
      <c r="L626" s="41"/>
      <c r="M626" s="41"/>
      <c r="N626" s="41"/>
      <c r="O626" s="41"/>
      <c r="P626" s="41"/>
      <c r="Q626" s="41"/>
      <c r="R626" s="40"/>
      <c r="S626" s="25">
        <f t="shared" si="21"/>
        <v>0</v>
      </c>
      <c r="T626" s="25">
        <f>COUNTIF($V$4:V626,V626)</f>
        <v>483</v>
      </c>
      <c r="U626" s="25" t="str">
        <f>IF(T626=1,COUNTIF($T$4:T626,1),"")</f>
        <v/>
      </c>
      <c r="V626" s="26" t="str">
        <f>'施設状況(要更新)'!$E626&amp;'施設状況(要更新)'!$C626</f>
        <v/>
      </c>
      <c r="W626" s="26">
        <f>'施設状況(要更新)'!$F626</f>
        <v>0</v>
      </c>
      <c r="X626" s="27"/>
    </row>
    <row r="627" spans="1:24">
      <c r="A627" s="18"/>
      <c r="B627" s="44"/>
      <c r="C627" s="40"/>
      <c r="D627" s="40"/>
      <c r="E627" s="40"/>
      <c r="F627" s="41"/>
      <c r="G627" s="41"/>
      <c r="H627" s="41"/>
      <c r="I627" s="41"/>
      <c r="J627" s="41"/>
      <c r="K627" s="41"/>
      <c r="L627" s="41"/>
      <c r="M627" s="41"/>
      <c r="N627" s="41"/>
      <c r="O627" s="41"/>
      <c r="P627" s="41"/>
      <c r="Q627" s="41"/>
      <c r="R627" s="40"/>
      <c r="S627" s="25">
        <f t="shared" si="21"/>
        <v>0</v>
      </c>
      <c r="T627" s="25">
        <f>COUNTIF($V$4:V627,V627)</f>
        <v>484</v>
      </c>
      <c r="U627" s="25" t="str">
        <f>IF(T627=1,COUNTIF($T$4:T627,1),"")</f>
        <v/>
      </c>
      <c r="V627" s="26" t="str">
        <f>'施設状況(要更新)'!$E627&amp;'施設状況(要更新)'!$C627</f>
        <v/>
      </c>
      <c r="W627" s="26">
        <f>'施設状況(要更新)'!$F627</f>
        <v>0</v>
      </c>
      <c r="X627" s="27"/>
    </row>
    <row r="628" spans="1:24">
      <c r="A628" s="18"/>
      <c r="B628" s="44"/>
      <c r="C628" s="40"/>
      <c r="D628" s="40"/>
      <c r="E628" s="40"/>
      <c r="F628" s="41"/>
      <c r="G628" s="41"/>
      <c r="H628" s="41"/>
      <c r="I628" s="41"/>
      <c r="J628" s="41"/>
      <c r="K628" s="41"/>
      <c r="L628" s="41"/>
      <c r="M628" s="41"/>
      <c r="N628" s="41"/>
      <c r="O628" s="41"/>
      <c r="P628" s="41"/>
      <c r="Q628" s="41"/>
      <c r="R628" s="40"/>
      <c r="S628" s="25">
        <f t="shared" si="21"/>
        <v>0</v>
      </c>
      <c r="T628" s="25">
        <f>COUNTIF($V$4:V628,V628)</f>
        <v>485</v>
      </c>
      <c r="U628" s="25" t="str">
        <f>IF(T628=1,COUNTIF($T$4:T628,1),"")</f>
        <v/>
      </c>
      <c r="V628" s="26" t="str">
        <f>'施設状況(要更新)'!$E628&amp;'施設状況(要更新)'!$C628</f>
        <v/>
      </c>
      <c r="W628" s="26">
        <f>'施設状況(要更新)'!$F628</f>
        <v>0</v>
      </c>
      <c r="X628" s="27"/>
    </row>
    <row r="629" spans="1:24">
      <c r="A629" s="18"/>
      <c r="B629" s="44"/>
      <c r="C629" s="40"/>
      <c r="D629" s="40"/>
      <c r="E629" s="40"/>
      <c r="F629" s="41"/>
      <c r="G629" s="41"/>
      <c r="H629" s="41"/>
      <c r="I629" s="41"/>
      <c r="J629" s="41"/>
      <c r="K629" s="41"/>
      <c r="L629" s="41"/>
      <c r="M629" s="41"/>
      <c r="N629" s="41"/>
      <c r="O629" s="41"/>
      <c r="P629" s="41"/>
      <c r="Q629" s="41"/>
      <c r="R629" s="40"/>
      <c r="S629" s="25">
        <f t="shared" si="21"/>
        <v>0</v>
      </c>
      <c r="T629" s="25">
        <f>COUNTIF($V$4:V629,V629)</f>
        <v>486</v>
      </c>
      <c r="U629" s="25" t="str">
        <f>IF(T629=1,COUNTIF($T$4:T629,1),"")</f>
        <v/>
      </c>
      <c r="V629" s="26" t="str">
        <f>'施設状況(要更新)'!$E629&amp;'施設状況(要更新)'!$C629</f>
        <v/>
      </c>
      <c r="W629" s="26">
        <f>'施設状況(要更新)'!$F629</f>
        <v>0</v>
      </c>
      <c r="X629" s="27"/>
    </row>
    <row r="630" spans="1:24">
      <c r="A630" s="18"/>
      <c r="B630" s="44"/>
      <c r="C630" s="40"/>
      <c r="D630" s="40"/>
      <c r="E630" s="40"/>
      <c r="F630" s="41"/>
      <c r="G630" s="41"/>
      <c r="H630" s="41"/>
      <c r="I630" s="41"/>
      <c r="J630" s="41"/>
      <c r="K630" s="41"/>
      <c r="L630" s="41"/>
      <c r="M630" s="41"/>
      <c r="N630" s="41"/>
      <c r="O630" s="41"/>
      <c r="P630" s="41"/>
      <c r="Q630" s="41"/>
      <c r="R630" s="40"/>
      <c r="S630" s="25">
        <f t="shared" si="21"/>
        <v>0</v>
      </c>
      <c r="T630" s="25">
        <f>COUNTIF($V$4:V630,V630)</f>
        <v>487</v>
      </c>
      <c r="U630" s="25" t="str">
        <f>IF(T630=1,COUNTIF($T$4:T630,1),"")</f>
        <v/>
      </c>
      <c r="V630" s="26" t="str">
        <f>'施設状況(要更新)'!$E630&amp;'施設状況(要更新)'!$C630</f>
        <v/>
      </c>
      <c r="W630" s="26">
        <f>'施設状況(要更新)'!$F630</f>
        <v>0</v>
      </c>
      <c r="X630" s="27"/>
    </row>
    <row r="631" spans="1:24">
      <c r="A631" s="18"/>
      <c r="B631" s="44"/>
      <c r="C631" s="40"/>
      <c r="D631" s="40"/>
      <c r="E631" s="40"/>
      <c r="F631" s="41"/>
      <c r="G631" s="41"/>
      <c r="H631" s="41"/>
      <c r="I631" s="41"/>
      <c r="J631" s="41"/>
      <c r="K631" s="41"/>
      <c r="L631" s="41"/>
      <c r="M631" s="41"/>
      <c r="N631" s="41"/>
      <c r="O631" s="41"/>
      <c r="P631" s="41"/>
      <c r="Q631" s="41"/>
      <c r="R631" s="40"/>
      <c r="S631" s="25">
        <f t="shared" si="21"/>
        <v>0</v>
      </c>
      <c r="T631" s="25">
        <f>COUNTIF($V$4:V631,V631)</f>
        <v>488</v>
      </c>
      <c r="U631" s="25" t="str">
        <f>IF(T631=1,COUNTIF($T$4:T631,1),"")</f>
        <v/>
      </c>
      <c r="V631" s="26" t="str">
        <f>'施設状況(要更新)'!$E631&amp;'施設状況(要更新)'!$C631</f>
        <v/>
      </c>
      <c r="W631" s="26">
        <f>'施設状況(要更新)'!$F631</f>
        <v>0</v>
      </c>
      <c r="X631" s="27"/>
    </row>
    <row r="632" spans="1:24">
      <c r="A632" s="18"/>
      <c r="B632" s="44"/>
      <c r="C632" s="40"/>
      <c r="D632" s="40"/>
      <c r="E632" s="40"/>
      <c r="F632" s="41"/>
      <c r="G632" s="41"/>
      <c r="H632" s="41"/>
      <c r="I632" s="41"/>
      <c r="J632" s="41"/>
      <c r="K632" s="41"/>
      <c r="L632" s="41"/>
      <c r="M632" s="41"/>
      <c r="N632" s="41"/>
      <c r="O632" s="41"/>
      <c r="P632" s="41"/>
      <c r="Q632" s="41"/>
      <c r="R632" s="40"/>
      <c r="S632" s="25">
        <f t="shared" si="21"/>
        <v>0</v>
      </c>
      <c r="T632" s="25">
        <f>COUNTIF($V$4:V632,V632)</f>
        <v>489</v>
      </c>
      <c r="U632" s="25" t="str">
        <f>IF(T632=1,COUNTIF($T$4:T632,1),"")</f>
        <v/>
      </c>
      <c r="V632" s="26" t="str">
        <f>'施設状況(要更新)'!$E632&amp;'施設状況(要更新)'!$C632</f>
        <v/>
      </c>
      <c r="W632" s="26">
        <f>'施設状況(要更新)'!$F632</f>
        <v>0</v>
      </c>
      <c r="X632" s="27"/>
    </row>
    <row r="633" spans="1:24">
      <c r="A633" s="18"/>
      <c r="B633" s="44"/>
      <c r="C633" s="40"/>
      <c r="D633" s="40"/>
      <c r="E633" s="40"/>
      <c r="F633" s="41"/>
      <c r="G633" s="41"/>
      <c r="H633" s="41"/>
      <c r="I633" s="41"/>
      <c r="J633" s="41"/>
      <c r="K633" s="41"/>
      <c r="L633" s="41"/>
      <c r="M633" s="41"/>
      <c r="N633" s="41"/>
      <c r="O633" s="41"/>
      <c r="P633" s="41"/>
      <c r="Q633" s="41"/>
      <c r="R633" s="40"/>
      <c r="S633" s="25">
        <f t="shared" si="21"/>
        <v>0</v>
      </c>
      <c r="T633" s="25">
        <f>COUNTIF($V$4:V633,V633)</f>
        <v>490</v>
      </c>
      <c r="U633" s="25" t="str">
        <f>IF(T633=1,COUNTIF($T$4:T633,1),"")</f>
        <v/>
      </c>
      <c r="V633" s="26" t="str">
        <f>'施設状況(要更新)'!$E633&amp;'施設状況(要更新)'!$C633</f>
        <v/>
      </c>
      <c r="W633" s="26">
        <f>'施設状況(要更新)'!$F633</f>
        <v>0</v>
      </c>
      <c r="X633" s="27"/>
    </row>
    <row r="634" spans="1:24">
      <c r="A634" s="18"/>
      <c r="B634" s="44"/>
      <c r="C634" s="40"/>
      <c r="D634" s="40"/>
      <c r="E634" s="40"/>
      <c r="F634" s="41"/>
      <c r="G634" s="41"/>
      <c r="H634" s="41"/>
      <c r="I634" s="41"/>
      <c r="J634" s="41"/>
      <c r="K634" s="41"/>
      <c r="L634" s="41"/>
      <c r="M634" s="41"/>
      <c r="N634" s="41"/>
      <c r="O634" s="41"/>
      <c r="P634" s="41"/>
      <c r="Q634" s="41"/>
      <c r="R634" s="40"/>
      <c r="S634" s="25">
        <f t="shared" si="21"/>
        <v>0</v>
      </c>
      <c r="T634" s="25">
        <f>COUNTIF($V$4:V634,V634)</f>
        <v>491</v>
      </c>
      <c r="U634" s="25" t="str">
        <f>IF(T634=1,COUNTIF($T$4:T634,1),"")</f>
        <v/>
      </c>
      <c r="V634" s="26" t="str">
        <f>'施設状況(要更新)'!$E634&amp;'施設状況(要更新)'!$C634</f>
        <v/>
      </c>
      <c r="W634" s="26">
        <f>'施設状況(要更新)'!$F634</f>
        <v>0</v>
      </c>
      <c r="X634" s="27"/>
    </row>
    <row r="635" spans="1:24">
      <c r="A635" s="18"/>
      <c r="B635" s="44"/>
      <c r="C635" s="40"/>
      <c r="D635" s="40"/>
      <c r="E635" s="40"/>
      <c r="F635" s="41"/>
      <c r="G635" s="41"/>
      <c r="H635" s="41"/>
      <c r="I635" s="41"/>
      <c r="J635" s="41"/>
      <c r="K635" s="41"/>
      <c r="L635" s="41"/>
      <c r="M635" s="41"/>
      <c r="N635" s="41"/>
      <c r="O635" s="41"/>
      <c r="P635" s="41"/>
      <c r="Q635" s="41"/>
      <c r="R635" s="40"/>
      <c r="S635" s="25">
        <f t="shared" si="21"/>
        <v>0</v>
      </c>
      <c r="T635" s="25">
        <f>COUNTIF($V$4:V635,V635)</f>
        <v>492</v>
      </c>
      <c r="U635" s="25" t="str">
        <f>IF(T635=1,COUNTIF($T$4:T635,1),"")</f>
        <v/>
      </c>
      <c r="V635" s="26" t="str">
        <f>'施設状況(要更新)'!$E635&amp;'施設状況(要更新)'!$C635</f>
        <v/>
      </c>
      <c r="W635" s="26">
        <f>'施設状況(要更新)'!$F635</f>
        <v>0</v>
      </c>
      <c r="X635" s="27"/>
    </row>
    <row r="636" spans="1:24">
      <c r="A636" s="18"/>
      <c r="B636" s="44"/>
      <c r="C636" s="40"/>
      <c r="D636" s="40"/>
      <c r="E636" s="40"/>
      <c r="F636" s="41"/>
      <c r="G636" s="41"/>
      <c r="H636" s="41"/>
      <c r="I636" s="41"/>
      <c r="J636" s="41"/>
      <c r="K636" s="41"/>
      <c r="L636" s="41"/>
      <c r="M636" s="41"/>
      <c r="N636" s="41"/>
      <c r="O636" s="41"/>
      <c r="P636" s="41"/>
      <c r="Q636" s="41"/>
      <c r="R636" s="40"/>
      <c r="S636" s="25">
        <f t="shared" si="21"/>
        <v>0</v>
      </c>
      <c r="T636" s="25">
        <f>COUNTIF($V$4:V636,V636)</f>
        <v>493</v>
      </c>
      <c r="U636" s="25" t="str">
        <f>IF(T636=1,COUNTIF($T$4:T636,1),"")</f>
        <v/>
      </c>
      <c r="V636" s="26" t="str">
        <f>'施設状況(要更新)'!$E636&amp;'施設状況(要更新)'!$C636</f>
        <v/>
      </c>
      <c r="W636" s="26">
        <f>'施設状況(要更新)'!$F636</f>
        <v>0</v>
      </c>
      <c r="X636" s="27"/>
    </row>
    <row r="637" spans="1:24">
      <c r="A637" s="18"/>
      <c r="B637" s="44"/>
      <c r="C637" s="40"/>
      <c r="D637" s="40"/>
      <c r="E637" s="40"/>
      <c r="F637" s="41"/>
      <c r="G637" s="41"/>
      <c r="H637" s="41"/>
      <c r="I637" s="41"/>
      <c r="J637" s="41"/>
      <c r="K637" s="41"/>
      <c r="L637" s="41"/>
      <c r="M637" s="41"/>
      <c r="N637" s="41"/>
      <c r="O637" s="41"/>
      <c r="P637" s="41"/>
      <c r="Q637" s="41"/>
      <c r="R637" s="40"/>
      <c r="S637" s="25">
        <f t="shared" si="21"/>
        <v>0</v>
      </c>
      <c r="T637" s="25">
        <f>COUNTIF($V$4:V637,V637)</f>
        <v>494</v>
      </c>
      <c r="U637" s="25" t="str">
        <f>IF(T637=1,COUNTIF($T$4:T637,1),"")</f>
        <v/>
      </c>
      <c r="V637" s="26" t="str">
        <f>'施設状況(要更新)'!$E637&amp;'施設状況(要更新)'!$C637</f>
        <v/>
      </c>
      <c r="W637" s="26">
        <f>'施設状況(要更新)'!$F637</f>
        <v>0</v>
      </c>
      <c r="X637" s="27"/>
    </row>
    <row r="638" spans="1:24">
      <c r="A638" s="18"/>
      <c r="B638" s="44"/>
      <c r="C638" s="40"/>
      <c r="D638" s="40"/>
      <c r="E638" s="40"/>
      <c r="F638" s="41"/>
      <c r="G638" s="41"/>
      <c r="H638" s="41"/>
      <c r="I638" s="41"/>
      <c r="J638" s="41"/>
      <c r="K638" s="41"/>
      <c r="L638" s="41"/>
      <c r="M638" s="41"/>
      <c r="N638" s="41"/>
      <c r="O638" s="41"/>
      <c r="P638" s="41"/>
      <c r="Q638" s="41"/>
      <c r="R638" s="40"/>
      <c r="S638" s="25">
        <f t="shared" si="21"/>
        <v>0</v>
      </c>
      <c r="T638" s="25">
        <f>COUNTIF($V$4:V638,V638)</f>
        <v>495</v>
      </c>
      <c r="U638" s="25" t="str">
        <f>IF(T638=1,COUNTIF($T$4:T638,1),"")</f>
        <v/>
      </c>
      <c r="V638" s="26" t="str">
        <f>'施設状況(要更新)'!$E638&amp;'施設状況(要更新)'!$C638</f>
        <v/>
      </c>
      <c r="W638" s="26">
        <f>'施設状況(要更新)'!$F638</f>
        <v>0</v>
      </c>
      <c r="X638" s="27"/>
    </row>
    <row r="639" spans="1:24">
      <c r="A639" s="18"/>
      <c r="B639" s="44"/>
      <c r="C639" s="40"/>
      <c r="D639" s="40"/>
      <c r="E639" s="40"/>
      <c r="F639" s="41"/>
      <c r="G639" s="41"/>
      <c r="H639" s="41"/>
      <c r="I639" s="41"/>
      <c r="J639" s="41"/>
      <c r="K639" s="41"/>
      <c r="L639" s="41"/>
      <c r="M639" s="41"/>
      <c r="N639" s="41"/>
      <c r="O639" s="41"/>
      <c r="P639" s="41"/>
      <c r="Q639" s="41"/>
      <c r="R639" s="40"/>
      <c r="S639" s="25">
        <f t="shared" si="21"/>
        <v>0</v>
      </c>
      <c r="T639" s="25">
        <f>COUNTIF($V$4:V639,V639)</f>
        <v>496</v>
      </c>
      <c r="U639" s="25" t="str">
        <f>IF(T639=1,COUNTIF($T$4:T639,1),"")</f>
        <v/>
      </c>
      <c r="V639" s="26" t="str">
        <f>'施設状況(要更新)'!$E639&amp;'施設状況(要更新)'!$C639</f>
        <v/>
      </c>
      <c r="W639" s="26">
        <f>'施設状況(要更新)'!$F639</f>
        <v>0</v>
      </c>
      <c r="X639" s="27"/>
    </row>
    <row r="640" spans="1:24">
      <c r="A640" s="18"/>
      <c r="B640" s="44"/>
      <c r="C640" s="40"/>
      <c r="D640" s="40"/>
      <c r="E640" s="40"/>
      <c r="F640" s="41"/>
      <c r="G640" s="41"/>
      <c r="H640" s="41"/>
      <c r="I640" s="41"/>
      <c r="J640" s="41"/>
      <c r="K640" s="41"/>
      <c r="L640" s="41"/>
      <c r="M640" s="41"/>
      <c r="N640" s="41"/>
      <c r="O640" s="41"/>
      <c r="P640" s="41"/>
      <c r="Q640" s="41"/>
      <c r="R640" s="40"/>
      <c r="S640" s="25">
        <f t="shared" si="21"/>
        <v>0</v>
      </c>
      <c r="T640" s="25">
        <f>COUNTIF($V$4:V640,V640)</f>
        <v>497</v>
      </c>
      <c r="U640" s="25" t="str">
        <f>IF(T640=1,COUNTIF($T$4:T640,1),"")</f>
        <v/>
      </c>
      <c r="V640" s="26" t="str">
        <f>'施設状況(要更新)'!$E640&amp;'施設状況(要更新)'!$C640</f>
        <v/>
      </c>
      <c r="W640" s="26">
        <f>'施設状況(要更新)'!$F640</f>
        <v>0</v>
      </c>
      <c r="X640" s="27"/>
    </row>
    <row r="641" spans="1:24">
      <c r="A641" s="18"/>
      <c r="B641" s="44"/>
      <c r="C641" s="40"/>
      <c r="D641" s="40"/>
      <c r="E641" s="40"/>
      <c r="F641" s="41"/>
      <c r="G641" s="41"/>
      <c r="H641" s="41"/>
      <c r="I641" s="41"/>
      <c r="J641" s="41"/>
      <c r="K641" s="41"/>
      <c r="L641" s="41"/>
      <c r="M641" s="41"/>
      <c r="N641" s="41"/>
      <c r="O641" s="41"/>
      <c r="P641" s="41"/>
      <c r="Q641" s="41"/>
      <c r="R641" s="40"/>
      <c r="S641" s="25">
        <f t="shared" si="21"/>
        <v>0</v>
      </c>
      <c r="T641" s="25">
        <f>COUNTIF($V$4:V641,V641)</f>
        <v>498</v>
      </c>
      <c r="U641" s="25" t="str">
        <f>IF(T641=1,COUNTIF($T$4:T641,1),"")</f>
        <v/>
      </c>
      <c r="V641" s="26" t="str">
        <f>'施設状況(要更新)'!$E641&amp;'施設状況(要更新)'!$C641</f>
        <v/>
      </c>
      <c r="W641" s="26">
        <f>'施設状況(要更新)'!$F641</f>
        <v>0</v>
      </c>
      <c r="X641" s="27"/>
    </row>
    <row r="642" spans="1:24">
      <c r="A642" s="18"/>
      <c r="B642" s="44"/>
      <c r="C642" s="40"/>
      <c r="D642" s="40"/>
      <c r="E642" s="40"/>
      <c r="F642" s="41"/>
      <c r="G642" s="41"/>
      <c r="H642" s="41"/>
      <c r="I642" s="41"/>
      <c r="J642" s="41"/>
      <c r="K642" s="41"/>
      <c r="L642" s="41"/>
      <c r="M642" s="41"/>
      <c r="N642" s="41"/>
      <c r="O642" s="41"/>
      <c r="P642" s="41"/>
      <c r="Q642" s="41"/>
      <c r="R642" s="40"/>
      <c r="S642" s="25">
        <f t="shared" si="21"/>
        <v>0</v>
      </c>
      <c r="T642" s="25">
        <f>COUNTIF($V$4:V642,V642)</f>
        <v>499</v>
      </c>
      <c r="U642" s="25" t="str">
        <f>IF(T642=1,COUNTIF($T$4:T642,1),"")</f>
        <v/>
      </c>
      <c r="V642" s="26" t="str">
        <f>'施設状況(要更新)'!$E642&amp;'施設状況(要更新)'!$C642</f>
        <v/>
      </c>
      <c r="W642" s="26">
        <f>'施設状況(要更新)'!$F642</f>
        <v>0</v>
      </c>
      <c r="X642" s="27"/>
    </row>
    <row r="643" spans="1:24">
      <c r="A643" s="18"/>
      <c r="B643" s="44"/>
      <c r="C643" s="40"/>
      <c r="D643" s="40"/>
      <c r="E643" s="40"/>
      <c r="F643" s="41"/>
      <c r="G643" s="41"/>
      <c r="H643" s="41"/>
      <c r="I643" s="41"/>
      <c r="J643" s="41"/>
      <c r="K643" s="41"/>
      <c r="L643" s="41"/>
      <c r="M643" s="41"/>
      <c r="N643" s="41"/>
      <c r="O643" s="41"/>
      <c r="P643" s="41"/>
      <c r="Q643" s="41"/>
      <c r="R643" s="40"/>
      <c r="S643" s="25">
        <f t="shared" si="21"/>
        <v>0</v>
      </c>
      <c r="T643" s="25">
        <f>COUNTIF($V$4:V643,V643)</f>
        <v>500</v>
      </c>
      <c r="U643" s="25" t="str">
        <f>IF(T643=1,COUNTIF($T$4:T643,1),"")</f>
        <v/>
      </c>
      <c r="V643" s="26" t="str">
        <f>'施設状況(要更新)'!$E643&amp;'施設状況(要更新)'!$C643</f>
        <v/>
      </c>
      <c r="W643" s="26">
        <f>'施設状況(要更新)'!$F643</f>
        <v>0</v>
      </c>
      <c r="X643" s="27"/>
    </row>
    <row r="644" spans="1:24">
      <c r="A644" s="18"/>
      <c r="B644" s="44"/>
      <c r="C644" s="40"/>
      <c r="D644" s="40"/>
      <c r="E644" s="40"/>
      <c r="F644" s="41"/>
      <c r="G644" s="41"/>
      <c r="H644" s="41"/>
      <c r="I644" s="41"/>
      <c r="J644" s="41"/>
      <c r="K644" s="41"/>
      <c r="L644" s="41"/>
      <c r="M644" s="41"/>
      <c r="N644" s="41"/>
      <c r="O644" s="41"/>
      <c r="P644" s="41"/>
      <c r="Q644" s="41"/>
      <c r="R644" s="40"/>
      <c r="S644" s="25">
        <f t="shared" si="21"/>
        <v>0</v>
      </c>
      <c r="T644" s="25">
        <f>COUNTIF($V$4:V644,V644)</f>
        <v>501</v>
      </c>
      <c r="U644" s="25" t="str">
        <f>IF(T644=1,COUNTIF($T$4:T644,1),"")</f>
        <v/>
      </c>
      <c r="V644" s="26" t="str">
        <f>'施設状況(要更新)'!$E644&amp;'施設状況(要更新)'!$C644</f>
        <v/>
      </c>
      <c r="W644" s="26">
        <f>'施設状況(要更新)'!$F644</f>
        <v>0</v>
      </c>
      <c r="X644" s="27"/>
    </row>
    <row r="645" spans="1:24">
      <c r="A645" s="18"/>
      <c r="B645" s="44"/>
      <c r="C645" s="40"/>
      <c r="D645" s="40"/>
      <c r="E645" s="40"/>
      <c r="F645" s="41"/>
      <c r="G645" s="41"/>
      <c r="H645" s="41"/>
      <c r="I645" s="41"/>
      <c r="J645" s="41"/>
      <c r="K645" s="41"/>
      <c r="L645" s="41"/>
      <c r="M645" s="41"/>
      <c r="N645" s="41"/>
      <c r="O645" s="41"/>
      <c r="P645" s="41"/>
      <c r="Q645" s="41"/>
      <c r="R645" s="40"/>
      <c r="S645" s="25">
        <f t="shared" ref="S645:S700" si="22">A645</f>
        <v>0</v>
      </c>
      <c r="T645" s="25">
        <f>COUNTIF($V$4:V645,V645)</f>
        <v>502</v>
      </c>
      <c r="U645" s="25" t="str">
        <f>IF(T645=1,COUNTIF($T$4:T645,1),"")</f>
        <v/>
      </c>
      <c r="V645" s="26" t="str">
        <f>'施設状況(要更新)'!$E645&amp;'施設状況(要更新)'!$C645</f>
        <v/>
      </c>
      <c r="W645" s="26">
        <f>'施設状況(要更新)'!$F645</f>
        <v>0</v>
      </c>
      <c r="X645" s="27"/>
    </row>
    <row r="646" spans="1:24">
      <c r="A646" s="18"/>
      <c r="B646" s="44"/>
      <c r="C646" s="40"/>
      <c r="D646" s="40"/>
      <c r="E646" s="40"/>
      <c r="F646" s="41"/>
      <c r="G646" s="41"/>
      <c r="H646" s="41"/>
      <c r="I646" s="41"/>
      <c r="J646" s="41"/>
      <c r="K646" s="41"/>
      <c r="L646" s="41"/>
      <c r="M646" s="41"/>
      <c r="N646" s="41"/>
      <c r="O646" s="41"/>
      <c r="P646" s="41"/>
      <c r="Q646" s="41"/>
      <c r="R646" s="40"/>
      <c r="S646" s="25">
        <f t="shared" si="22"/>
        <v>0</v>
      </c>
      <c r="T646" s="25">
        <f>COUNTIF($V$4:V646,V646)</f>
        <v>503</v>
      </c>
      <c r="U646" s="25" t="str">
        <f>IF(T646=1,COUNTIF($T$4:T646,1),"")</f>
        <v/>
      </c>
      <c r="V646" s="26" t="str">
        <f>'施設状況(要更新)'!$E646&amp;'施設状況(要更新)'!$C646</f>
        <v/>
      </c>
      <c r="W646" s="26">
        <f>'施設状況(要更新)'!$F646</f>
        <v>0</v>
      </c>
      <c r="X646" s="27"/>
    </row>
    <row r="647" spans="1:24">
      <c r="A647" s="18"/>
      <c r="B647" s="44"/>
      <c r="C647" s="40"/>
      <c r="D647" s="40"/>
      <c r="E647" s="40"/>
      <c r="F647" s="41"/>
      <c r="G647" s="41"/>
      <c r="H647" s="41"/>
      <c r="I647" s="41"/>
      <c r="J647" s="41"/>
      <c r="K647" s="41"/>
      <c r="L647" s="41"/>
      <c r="M647" s="41"/>
      <c r="N647" s="41"/>
      <c r="O647" s="41"/>
      <c r="P647" s="41"/>
      <c r="Q647" s="41"/>
      <c r="R647" s="40"/>
      <c r="S647" s="25">
        <f t="shared" si="22"/>
        <v>0</v>
      </c>
      <c r="T647" s="25">
        <f>COUNTIF($V$4:V647,V647)</f>
        <v>504</v>
      </c>
      <c r="U647" s="25" t="str">
        <f>IF(T647=1,COUNTIF($T$4:T647,1),"")</f>
        <v/>
      </c>
      <c r="V647" s="26" t="str">
        <f>'施設状況(要更新)'!$E647&amp;'施設状況(要更新)'!$C647</f>
        <v/>
      </c>
      <c r="W647" s="26">
        <f>'施設状況(要更新)'!$F647</f>
        <v>0</v>
      </c>
      <c r="X647" s="27"/>
    </row>
    <row r="648" spans="1:24">
      <c r="A648" s="18"/>
      <c r="B648" s="44"/>
      <c r="C648" s="40"/>
      <c r="D648" s="40"/>
      <c r="E648" s="40"/>
      <c r="F648" s="41"/>
      <c r="G648" s="41"/>
      <c r="H648" s="41"/>
      <c r="I648" s="41"/>
      <c r="J648" s="41"/>
      <c r="K648" s="41"/>
      <c r="L648" s="41"/>
      <c r="M648" s="41"/>
      <c r="N648" s="41"/>
      <c r="O648" s="41"/>
      <c r="P648" s="41"/>
      <c r="Q648" s="41"/>
      <c r="R648" s="40"/>
      <c r="S648" s="25">
        <f t="shared" si="22"/>
        <v>0</v>
      </c>
      <c r="T648" s="25">
        <f>COUNTIF($V$4:V648,V648)</f>
        <v>505</v>
      </c>
      <c r="U648" s="25" t="str">
        <f>IF(T648=1,COUNTIF($T$4:T648,1),"")</f>
        <v/>
      </c>
      <c r="V648" s="26" t="str">
        <f>'施設状況(要更新)'!$E648&amp;'施設状況(要更新)'!$C648</f>
        <v/>
      </c>
      <c r="W648" s="26">
        <f>'施設状況(要更新)'!$F648</f>
        <v>0</v>
      </c>
      <c r="X648" s="27"/>
    </row>
    <row r="649" spans="1:24">
      <c r="A649" s="18"/>
      <c r="B649" s="44"/>
      <c r="C649" s="40"/>
      <c r="D649" s="40"/>
      <c r="E649" s="40"/>
      <c r="F649" s="41"/>
      <c r="G649" s="41"/>
      <c r="H649" s="41"/>
      <c r="I649" s="41"/>
      <c r="J649" s="41"/>
      <c r="K649" s="41"/>
      <c r="L649" s="41"/>
      <c r="M649" s="41"/>
      <c r="N649" s="41"/>
      <c r="O649" s="41"/>
      <c r="P649" s="41"/>
      <c r="Q649" s="41"/>
      <c r="R649" s="40"/>
      <c r="S649" s="25">
        <f t="shared" si="22"/>
        <v>0</v>
      </c>
      <c r="T649" s="25">
        <f>COUNTIF($V$4:V649,V649)</f>
        <v>506</v>
      </c>
      <c r="U649" s="25" t="str">
        <f>IF(T649=1,COUNTIF($T$4:T649,1),"")</f>
        <v/>
      </c>
      <c r="V649" s="26" t="str">
        <f>'施設状況(要更新)'!$E649&amp;'施設状況(要更新)'!$C649</f>
        <v/>
      </c>
      <c r="W649" s="26">
        <f>'施設状況(要更新)'!$F649</f>
        <v>0</v>
      </c>
      <c r="X649" s="27"/>
    </row>
    <row r="650" spans="1:24">
      <c r="A650" s="18"/>
      <c r="B650" s="44"/>
      <c r="C650" s="40"/>
      <c r="D650" s="40"/>
      <c r="E650" s="40"/>
      <c r="F650" s="41"/>
      <c r="G650" s="41"/>
      <c r="H650" s="41"/>
      <c r="I650" s="41"/>
      <c r="J650" s="41"/>
      <c r="K650" s="41"/>
      <c r="L650" s="41"/>
      <c r="M650" s="41"/>
      <c r="N650" s="41"/>
      <c r="O650" s="41"/>
      <c r="P650" s="41"/>
      <c r="Q650" s="41"/>
      <c r="R650" s="40"/>
      <c r="S650" s="25">
        <f t="shared" si="22"/>
        <v>0</v>
      </c>
      <c r="T650" s="25">
        <f>COUNTIF($V$4:V650,V650)</f>
        <v>507</v>
      </c>
      <c r="U650" s="25" t="str">
        <f>IF(T650=1,COUNTIF($T$4:T650,1),"")</f>
        <v/>
      </c>
      <c r="V650" s="26" t="str">
        <f>'施設状況(要更新)'!$E650&amp;'施設状況(要更新)'!$C650</f>
        <v/>
      </c>
      <c r="W650" s="26">
        <f>'施設状況(要更新)'!$F650</f>
        <v>0</v>
      </c>
      <c r="X650" s="27"/>
    </row>
    <row r="651" spans="1:24">
      <c r="A651" s="18"/>
      <c r="B651" s="44"/>
      <c r="C651" s="40"/>
      <c r="D651" s="40"/>
      <c r="E651" s="40"/>
      <c r="F651" s="41"/>
      <c r="G651" s="41"/>
      <c r="H651" s="41"/>
      <c r="I651" s="41"/>
      <c r="J651" s="41"/>
      <c r="K651" s="41"/>
      <c r="L651" s="41"/>
      <c r="M651" s="41"/>
      <c r="N651" s="41"/>
      <c r="O651" s="41"/>
      <c r="P651" s="41"/>
      <c r="Q651" s="41"/>
      <c r="R651" s="40"/>
      <c r="S651" s="25">
        <f t="shared" si="22"/>
        <v>0</v>
      </c>
      <c r="T651" s="25">
        <f>COUNTIF($V$4:V651,V651)</f>
        <v>508</v>
      </c>
      <c r="U651" s="25" t="str">
        <f>IF(T651=1,COUNTIF($T$4:T651,1),"")</f>
        <v/>
      </c>
      <c r="V651" s="26" t="str">
        <f>'施設状況(要更新)'!$E651&amp;'施設状況(要更新)'!$C651</f>
        <v/>
      </c>
      <c r="W651" s="26">
        <f>'施設状況(要更新)'!$F651</f>
        <v>0</v>
      </c>
      <c r="X651" s="27"/>
    </row>
    <row r="652" spans="1:24">
      <c r="A652" s="18"/>
      <c r="B652" s="44"/>
      <c r="C652" s="40"/>
      <c r="D652" s="40"/>
      <c r="E652" s="40"/>
      <c r="F652" s="41"/>
      <c r="G652" s="41"/>
      <c r="H652" s="41"/>
      <c r="I652" s="41"/>
      <c r="J652" s="41"/>
      <c r="K652" s="41"/>
      <c r="L652" s="41"/>
      <c r="M652" s="41"/>
      <c r="N652" s="41"/>
      <c r="O652" s="41"/>
      <c r="P652" s="41"/>
      <c r="Q652" s="41"/>
      <c r="R652" s="40"/>
      <c r="S652" s="25">
        <f t="shared" si="22"/>
        <v>0</v>
      </c>
      <c r="T652" s="25">
        <f>COUNTIF($V$4:V652,V652)</f>
        <v>509</v>
      </c>
      <c r="U652" s="25" t="str">
        <f>IF(T652=1,COUNTIF($T$4:T652,1),"")</f>
        <v/>
      </c>
      <c r="V652" s="26" t="str">
        <f>'施設状況(要更新)'!$E652&amp;'施設状況(要更新)'!$C652</f>
        <v/>
      </c>
      <c r="W652" s="26">
        <f>'施設状況(要更新)'!$F652</f>
        <v>0</v>
      </c>
      <c r="X652" s="27"/>
    </row>
    <row r="653" spans="1:24">
      <c r="A653" s="18"/>
      <c r="B653" s="44"/>
      <c r="C653" s="40"/>
      <c r="D653" s="40"/>
      <c r="E653" s="40"/>
      <c r="F653" s="41"/>
      <c r="G653" s="41"/>
      <c r="H653" s="41"/>
      <c r="I653" s="41"/>
      <c r="J653" s="41"/>
      <c r="K653" s="41"/>
      <c r="L653" s="41"/>
      <c r="M653" s="41"/>
      <c r="N653" s="41"/>
      <c r="O653" s="41"/>
      <c r="P653" s="41"/>
      <c r="Q653" s="41"/>
      <c r="R653" s="40"/>
      <c r="S653" s="25">
        <f t="shared" si="22"/>
        <v>0</v>
      </c>
      <c r="T653" s="25">
        <f>COUNTIF($V$4:V653,V653)</f>
        <v>510</v>
      </c>
      <c r="U653" s="25" t="str">
        <f>IF(T653=1,COUNTIF($T$4:T653,1),"")</f>
        <v/>
      </c>
      <c r="V653" s="26" t="str">
        <f>'施設状況(要更新)'!$E653&amp;'施設状況(要更新)'!$C653</f>
        <v/>
      </c>
      <c r="W653" s="26">
        <f>'施設状況(要更新)'!$F653</f>
        <v>0</v>
      </c>
      <c r="X653" s="27"/>
    </row>
    <row r="654" spans="1:24">
      <c r="A654" s="18"/>
      <c r="B654" s="44"/>
      <c r="C654" s="40"/>
      <c r="D654" s="40"/>
      <c r="E654" s="40"/>
      <c r="F654" s="41"/>
      <c r="G654" s="41"/>
      <c r="H654" s="41"/>
      <c r="I654" s="41"/>
      <c r="J654" s="41"/>
      <c r="K654" s="41"/>
      <c r="L654" s="41"/>
      <c r="M654" s="41"/>
      <c r="N654" s="41"/>
      <c r="O654" s="41"/>
      <c r="P654" s="41"/>
      <c r="Q654" s="41"/>
      <c r="R654" s="40"/>
      <c r="S654" s="25">
        <f t="shared" si="22"/>
        <v>0</v>
      </c>
      <c r="T654" s="25">
        <f>COUNTIF($V$4:V654,V654)</f>
        <v>511</v>
      </c>
      <c r="U654" s="25" t="str">
        <f>IF(T654=1,COUNTIF($T$4:T654,1),"")</f>
        <v/>
      </c>
      <c r="V654" s="26" t="str">
        <f>'施設状況(要更新)'!$E654&amp;'施設状況(要更新)'!$C654</f>
        <v/>
      </c>
      <c r="W654" s="26">
        <f>'施設状況(要更新)'!$F654</f>
        <v>0</v>
      </c>
      <c r="X654" s="27"/>
    </row>
    <row r="655" spans="1:24">
      <c r="A655" s="18"/>
      <c r="B655" s="44"/>
      <c r="C655" s="40"/>
      <c r="D655" s="40"/>
      <c r="E655" s="40"/>
      <c r="F655" s="41"/>
      <c r="G655" s="41"/>
      <c r="H655" s="41"/>
      <c r="I655" s="41"/>
      <c r="J655" s="41"/>
      <c r="K655" s="41"/>
      <c r="L655" s="41"/>
      <c r="M655" s="41"/>
      <c r="N655" s="41"/>
      <c r="O655" s="41"/>
      <c r="P655" s="41"/>
      <c r="Q655" s="41"/>
      <c r="R655" s="40"/>
      <c r="S655" s="25">
        <f t="shared" si="22"/>
        <v>0</v>
      </c>
      <c r="T655" s="25">
        <f>COUNTIF($V$4:V655,V655)</f>
        <v>512</v>
      </c>
      <c r="U655" s="25" t="str">
        <f>IF(T655=1,COUNTIF($T$4:T655,1),"")</f>
        <v/>
      </c>
      <c r="V655" s="26" t="str">
        <f>'施設状況(要更新)'!$E655&amp;'施設状況(要更新)'!$C655</f>
        <v/>
      </c>
      <c r="W655" s="26">
        <f>'施設状況(要更新)'!$F655</f>
        <v>0</v>
      </c>
      <c r="X655" s="27"/>
    </row>
    <row r="656" spans="1:24">
      <c r="A656" s="18"/>
      <c r="B656" s="44"/>
      <c r="C656" s="40"/>
      <c r="D656" s="40"/>
      <c r="E656" s="40"/>
      <c r="F656" s="41"/>
      <c r="G656" s="41"/>
      <c r="H656" s="41"/>
      <c r="I656" s="41"/>
      <c r="J656" s="41"/>
      <c r="K656" s="41"/>
      <c r="L656" s="41"/>
      <c r="M656" s="41"/>
      <c r="N656" s="41"/>
      <c r="O656" s="41"/>
      <c r="P656" s="41"/>
      <c r="Q656" s="41"/>
      <c r="R656" s="40"/>
      <c r="S656" s="25">
        <f t="shared" si="22"/>
        <v>0</v>
      </c>
      <c r="T656" s="25">
        <f>COUNTIF($V$4:V656,V656)</f>
        <v>513</v>
      </c>
      <c r="U656" s="25" t="str">
        <f>IF(T656=1,COUNTIF($T$4:T656,1),"")</f>
        <v/>
      </c>
      <c r="V656" s="26" t="str">
        <f>'施設状況(要更新)'!$E656&amp;'施設状況(要更新)'!$C656</f>
        <v/>
      </c>
      <c r="W656" s="26">
        <f>'施設状況(要更新)'!$F656</f>
        <v>0</v>
      </c>
      <c r="X656" s="27"/>
    </row>
    <row r="657" spans="1:24">
      <c r="A657" s="18"/>
      <c r="B657" s="44"/>
      <c r="C657" s="40"/>
      <c r="D657" s="40"/>
      <c r="E657" s="40"/>
      <c r="F657" s="41"/>
      <c r="G657" s="41"/>
      <c r="H657" s="41"/>
      <c r="I657" s="41"/>
      <c r="J657" s="41"/>
      <c r="K657" s="41"/>
      <c r="L657" s="41"/>
      <c r="M657" s="41"/>
      <c r="N657" s="41"/>
      <c r="O657" s="41"/>
      <c r="P657" s="41"/>
      <c r="Q657" s="41"/>
      <c r="R657" s="40"/>
      <c r="S657" s="25">
        <f t="shared" si="22"/>
        <v>0</v>
      </c>
      <c r="T657" s="25">
        <f>COUNTIF($V$4:V657,V657)</f>
        <v>514</v>
      </c>
      <c r="U657" s="25" t="str">
        <f>IF(T657=1,COUNTIF($T$4:T657,1),"")</f>
        <v/>
      </c>
      <c r="V657" s="26" t="str">
        <f>'施設状況(要更新)'!$E657&amp;'施設状況(要更新)'!$C657</f>
        <v/>
      </c>
      <c r="W657" s="26">
        <f>'施設状況(要更新)'!$F657</f>
        <v>0</v>
      </c>
      <c r="X657" s="27"/>
    </row>
    <row r="658" spans="1:24">
      <c r="A658" s="18"/>
      <c r="B658" s="44"/>
      <c r="C658" s="40"/>
      <c r="D658" s="40"/>
      <c r="E658" s="40"/>
      <c r="F658" s="41"/>
      <c r="G658" s="41"/>
      <c r="H658" s="41"/>
      <c r="I658" s="41"/>
      <c r="J658" s="41"/>
      <c r="K658" s="41"/>
      <c r="L658" s="41"/>
      <c r="M658" s="41"/>
      <c r="N658" s="41"/>
      <c r="O658" s="41"/>
      <c r="P658" s="41"/>
      <c r="Q658" s="41"/>
      <c r="R658" s="40"/>
      <c r="S658" s="25">
        <f t="shared" si="22"/>
        <v>0</v>
      </c>
      <c r="T658" s="25">
        <f>COUNTIF($V$4:V658,V658)</f>
        <v>515</v>
      </c>
      <c r="U658" s="25" t="str">
        <f>IF(T658=1,COUNTIF($T$4:T658,1),"")</f>
        <v/>
      </c>
      <c r="V658" s="26" t="str">
        <f>'施設状況(要更新)'!$E658&amp;'施設状況(要更新)'!$C658</f>
        <v/>
      </c>
      <c r="W658" s="26">
        <f>'施設状況(要更新)'!$F658</f>
        <v>0</v>
      </c>
      <c r="X658" s="27"/>
    </row>
    <row r="659" spans="1:24">
      <c r="A659" s="18"/>
      <c r="B659" s="44"/>
      <c r="C659" s="40"/>
      <c r="D659" s="40"/>
      <c r="E659" s="40"/>
      <c r="F659" s="41"/>
      <c r="G659" s="41"/>
      <c r="H659" s="41"/>
      <c r="I659" s="41"/>
      <c r="J659" s="41"/>
      <c r="K659" s="41"/>
      <c r="L659" s="41"/>
      <c r="M659" s="41"/>
      <c r="N659" s="41"/>
      <c r="O659" s="41"/>
      <c r="P659" s="41"/>
      <c r="Q659" s="41"/>
      <c r="R659" s="40"/>
      <c r="S659" s="25">
        <f t="shared" si="22"/>
        <v>0</v>
      </c>
      <c r="T659" s="25">
        <f>COUNTIF($V$4:V659,V659)</f>
        <v>516</v>
      </c>
      <c r="U659" s="25" t="str">
        <f>IF(T659=1,COUNTIF($T$4:T659,1),"")</f>
        <v/>
      </c>
      <c r="V659" s="26" t="str">
        <f>'施設状況(要更新)'!$E659&amp;'施設状況(要更新)'!$C659</f>
        <v/>
      </c>
      <c r="W659" s="26">
        <f>'施設状況(要更新)'!$F659</f>
        <v>0</v>
      </c>
      <c r="X659" s="27"/>
    </row>
    <row r="660" spans="1:24">
      <c r="A660" s="18"/>
      <c r="B660" s="44"/>
      <c r="C660" s="40"/>
      <c r="D660" s="40"/>
      <c r="E660" s="40"/>
      <c r="F660" s="41"/>
      <c r="G660" s="41"/>
      <c r="H660" s="41"/>
      <c r="I660" s="41"/>
      <c r="J660" s="41"/>
      <c r="K660" s="41"/>
      <c r="L660" s="41"/>
      <c r="M660" s="41"/>
      <c r="N660" s="41"/>
      <c r="O660" s="41"/>
      <c r="P660" s="41"/>
      <c r="Q660" s="41"/>
      <c r="R660" s="40"/>
      <c r="S660" s="25">
        <f t="shared" si="22"/>
        <v>0</v>
      </c>
      <c r="T660" s="25">
        <f>COUNTIF($V$4:V660,V660)</f>
        <v>517</v>
      </c>
      <c r="U660" s="25" t="str">
        <f>IF(T660=1,COUNTIF($T$4:T660,1),"")</f>
        <v/>
      </c>
      <c r="V660" s="26" t="str">
        <f>'施設状況(要更新)'!$E660&amp;'施設状況(要更新)'!$C660</f>
        <v/>
      </c>
      <c r="W660" s="26">
        <f>'施設状況(要更新)'!$F660</f>
        <v>0</v>
      </c>
      <c r="X660" s="27"/>
    </row>
    <row r="661" spans="1:24">
      <c r="A661" s="18"/>
      <c r="B661" s="44"/>
      <c r="C661" s="40"/>
      <c r="D661" s="40"/>
      <c r="E661" s="40"/>
      <c r="F661" s="41"/>
      <c r="G661" s="41"/>
      <c r="H661" s="41"/>
      <c r="I661" s="41"/>
      <c r="J661" s="41"/>
      <c r="K661" s="41"/>
      <c r="L661" s="41"/>
      <c r="M661" s="41"/>
      <c r="N661" s="41"/>
      <c r="O661" s="41"/>
      <c r="P661" s="41"/>
      <c r="Q661" s="41"/>
      <c r="R661" s="40"/>
      <c r="S661" s="25">
        <f t="shared" si="22"/>
        <v>0</v>
      </c>
      <c r="T661" s="25">
        <f>COUNTIF($V$4:V661,V661)</f>
        <v>518</v>
      </c>
      <c r="U661" s="25" t="str">
        <f>IF(T661=1,COUNTIF($T$4:T661,1),"")</f>
        <v/>
      </c>
      <c r="V661" s="26" t="str">
        <f>'施設状況(要更新)'!$E661&amp;'施設状況(要更新)'!$C661</f>
        <v/>
      </c>
      <c r="W661" s="26">
        <f>'施設状況(要更新)'!$F661</f>
        <v>0</v>
      </c>
      <c r="X661" s="27"/>
    </row>
    <row r="662" spans="1:24">
      <c r="A662" s="18"/>
      <c r="B662" s="44"/>
      <c r="C662" s="40"/>
      <c r="D662" s="40"/>
      <c r="E662" s="40"/>
      <c r="F662" s="41"/>
      <c r="G662" s="41"/>
      <c r="H662" s="41"/>
      <c r="I662" s="41"/>
      <c r="J662" s="41"/>
      <c r="K662" s="41"/>
      <c r="L662" s="41"/>
      <c r="M662" s="41"/>
      <c r="N662" s="41"/>
      <c r="O662" s="41"/>
      <c r="P662" s="41"/>
      <c r="Q662" s="41"/>
      <c r="R662" s="40"/>
      <c r="S662" s="25">
        <f t="shared" si="22"/>
        <v>0</v>
      </c>
      <c r="T662" s="25">
        <f>COUNTIF($V$4:V662,V662)</f>
        <v>519</v>
      </c>
      <c r="U662" s="25" t="str">
        <f>IF(T662=1,COUNTIF($T$4:T662,1),"")</f>
        <v/>
      </c>
      <c r="V662" s="26" t="str">
        <f>'施設状況(要更新)'!$E662&amp;'施設状況(要更新)'!$C662</f>
        <v/>
      </c>
      <c r="W662" s="26">
        <f>'施設状況(要更新)'!$F662</f>
        <v>0</v>
      </c>
      <c r="X662" s="27"/>
    </row>
    <row r="663" spans="1:24">
      <c r="A663" s="18"/>
      <c r="B663" s="44"/>
      <c r="C663" s="40"/>
      <c r="D663" s="40"/>
      <c r="E663" s="40"/>
      <c r="F663" s="41"/>
      <c r="G663" s="41"/>
      <c r="H663" s="41"/>
      <c r="I663" s="41"/>
      <c r="J663" s="41"/>
      <c r="K663" s="41"/>
      <c r="L663" s="41"/>
      <c r="M663" s="41"/>
      <c r="N663" s="41"/>
      <c r="O663" s="41"/>
      <c r="P663" s="41"/>
      <c r="Q663" s="41"/>
      <c r="R663" s="40"/>
      <c r="S663" s="25">
        <f t="shared" si="22"/>
        <v>0</v>
      </c>
      <c r="T663" s="25">
        <f>COUNTIF($V$4:V663,V663)</f>
        <v>520</v>
      </c>
      <c r="U663" s="25" t="str">
        <f>IF(T663=1,COUNTIF($T$4:T663,1),"")</f>
        <v/>
      </c>
      <c r="V663" s="26" t="str">
        <f>'施設状況(要更新)'!$E663&amp;'施設状況(要更新)'!$C663</f>
        <v/>
      </c>
      <c r="W663" s="26">
        <f>'施設状況(要更新)'!$F663</f>
        <v>0</v>
      </c>
      <c r="X663" s="27"/>
    </row>
    <row r="664" spans="1:24">
      <c r="A664" s="18"/>
      <c r="B664" s="44"/>
      <c r="C664" s="40"/>
      <c r="D664" s="40"/>
      <c r="E664" s="40"/>
      <c r="F664" s="41"/>
      <c r="G664" s="41"/>
      <c r="H664" s="41"/>
      <c r="I664" s="41"/>
      <c r="J664" s="41"/>
      <c r="K664" s="41"/>
      <c r="L664" s="41"/>
      <c r="M664" s="41"/>
      <c r="N664" s="41"/>
      <c r="O664" s="41"/>
      <c r="P664" s="41"/>
      <c r="Q664" s="41"/>
      <c r="R664" s="40"/>
      <c r="S664" s="25">
        <f t="shared" si="22"/>
        <v>0</v>
      </c>
      <c r="T664" s="25">
        <f>COUNTIF($V$4:V664,V664)</f>
        <v>521</v>
      </c>
      <c r="U664" s="25" t="str">
        <f>IF(T664=1,COUNTIF($T$4:T664,1),"")</f>
        <v/>
      </c>
      <c r="V664" s="26" t="str">
        <f>'施設状況(要更新)'!$E664&amp;'施設状況(要更新)'!$C664</f>
        <v/>
      </c>
      <c r="W664" s="26">
        <f>'施設状況(要更新)'!$F664</f>
        <v>0</v>
      </c>
      <c r="X664" s="27"/>
    </row>
    <row r="665" spans="1:24">
      <c r="A665" s="18"/>
      <c r="B665" s="44"/>
      <c r="C665" s="40"/>
      <c r="D665" s="40"/>
      <c r="E665" s="40"/>
      <c r="F665" s="41"/>
      <c r="G665" s="41"/>
      <c r="H665" s="41"/>
      <c r="I665" s="41"/>
      <c r="J665" s="41"/>
      <c r="K665" s="41"/>
      <c r="L665" s="41"/>
      <c r="M665" s="41"/>
      <c r="N665" s="41"/>
      <c r="O665" s="41"/>
      <c r="P665" s="41"/>
      <c r="Q665" s="41"/>
      <c r="R665" s="40"/>
      <c r="S665" s="25">
        <f t="shared" si="22"/>
        <v>0</v>
      </c>
      <c r="T665" s="25">
        <f>COUNTIF($V$4:V665,V665)</f>
        <v>522</v>
      </c>
      <c r="U665" s="25" t="str">
        <f>IF(T665=1,COUNTIF($T$4:T665,1),"")</f>
        <v/>
      </c>
      <c r="V665" s="26" t="str">
        <f>'施設状況(要更新)'!$E665&amp;'施設状況(要更新)'!$C665</f>
        <v/>
      </c>
      <c r="W665" s="26">
        <f>'施設状況(要更新)'!$F665</f>
        <v>0</v>
      </c>
      <c r="X665" s="27"/>
    </row>
    <row r="666" spans="1:24">
      <c r="A666" s="18"/>
      <c r="B666" s="44"/>
      <c r="C666" s="40"/>
      <c r="D666" s="40"/>
      <c r="E666" s="40"/>
      <c r="F666" s="41"/>
      <c r="G666" s="41"/>
      <c r="H666" s="41"/>
      <c r="I666" s="41"/>
      <c r="J666" s="41"/>
      <c r="K666" s="41"/>
      <c r="L666" s="41"/>
      <c r="M666" s="41"/>
      <c r="N666" s="41"/>
      <c r="O666" s="41"/>
      <c r="P666" s="41"/>
      <c r="Q666" s="41"/>
      <c r="R666" s="40"/>
      <c r="S666" s="25">
        <f t="shared" si="22"/>
        <v>0</v>
      </c>
      <c r="T666" s="25">
        <f>COUNTIF($V$4:V666,V666)</f>
        <v>523</v>
      </c>
      <c r="U666" s="25" t="str">
        <f>IF(T666=1,COUNTIF($T$4:T666,1),"")</f>
        <v/>
      </c>
      <c r="V666" s="26" t="str">
        <f>'施設状況(要更新)'!$E666&amp;'施設状況(要更新)'!$C666</f>
        <v/>
      </c>
      <c r="W666" s="26">
        <f>'施設状況(要更新)'!$F666</f>
        <v>0</v>
      </c>
      <c r="X666" s="27"/>
    </row>
    <row r="667" spans="1:24">
      <c r="A667" s="18"/>
      <c r="B667" s="44"/>
      <c r="C667" s="40"/>
      <c r="D667" s="40"/>
      <c r="E667" s="40"/>
      <c r="F667" s="41"/>
      <c r="G667" s="41"/>
      <c r="H667" s="41"/>
      <c r="I667" s="41"/>
      <c r="J667" s="41"/>
      <c r="K667" s="41"/>
      <c r="L667" s="41"/>
      <c r="M667" s="41"/>
      <c r="N667" s="41"/>
      <c r="O667" s="41"/>
      <c r="P667" s="41"/>
      <c r="Q667" s="41"/>
      <c r="R667" s="40"/>
      <c r="S667" s="25">
        <f t="shared" si="22"/>
        <v>0</v>
      </c>
      <c r="T667" s="25">
        <f>COUNTIF($V$4:V667,V667)</f>
        <v>524</v>
      </c>
      <c r="U667" s="25" t="str">
        <f>IF(T667=1,COUNTIF($T$4:T667,1),"")</f>
        <v/>
      </c>
      <c r="V667" s="26" t="str">
        <f>'施設状況(要更新)'!$E667&amp;'施設状況(要更新)'!$C667</f>
        <v/>
      </c>
      <c r="W667" s="26">
        <f>'施設状況(要更新)'!$F667</f>
        <v>0</v>
      </c>
      <c r="X667" s="27"/>
    </row>
    <row r="668" spans="1:24">
      <c r="A668" s="18"/>
      <c r="B668" s="44"/>
      <c r="C668" s="40"/>
      <c r="D668" s="40"/>
      <c r="E668" s="40"/>
      <c r="F668" s="41"/>
      <c r="G668" s="41"/>
      <c r="H668" s="41"/>
      <c r="I668" s="41"/>
      <c r="J668" s="41"/>
      <c r="K668" s="41"/>
      <c r="L668" s="41"/>
      <c r="M668" s="41"/>
      <c r="N668" s="41"/>
      <c r="O668" s="41"/>
      <c r="P668" s="41"/>
      <c r="Q668" s="41"/>
      <c r="R668" s="40"/>
      <c r="S668" s="25">
        <f t="shared" si="22"/>
        <v>0</v>
      </c>
      <c r="T668" s="25">
        <f>COUNTIF($V$4:V668,V668)</f>
        <v>525</v>
      </c>
      <c r="U668" s="25" t="str">
        <f>IF(T668=1,COUNTIF($T$4:T668,1),"")</f>
        <v/>
      </c>
      <c r="V668" s="26" t="str">
        <f>'施設状況(要更新)'!$E668&amp;'施設状況(要更新)'!$C668</f>
        <v/>
      </c>
      <c r="W668" s="26">
        <f>'施設状況(要更新)'!$F668</f>
        <v>0</v>
      </c>
      <c r="X668" s="27"/>
    </row>
    <row r="669" spans="1:24">
      <c r="A669" s="18"/>
      <c r="B669" s="44"/>
      <c r="C669" s="40"/>
      <c r="D669" s="40"/>
      <c r="E669" s="40"/>
      <c r="F669" s="41"/>
      <c r="G669" s="41"/>
      <c r="H669" s="41"/>
      <c r="I669" s="41"/>
      <c r="J669" s="41"/>
      <c r="K669" s="41"/>
      <c r="L669" s="41"/>
      <c r="M669" s="41"/>
      <c r="N669" s="41"/>
      <c r="O669" s="41"/>
      <c r="P669" s="41"/>
      <c r="Q669" s="41"/>
      <c r="R669" s="40"/>
      <c r="S669" s="25">
        <f t="shared" si="22"/>
        <v>0</v>
      </c>
      <c r="T669" s="25">
        <f>COUNTIF($V$4:V669,V669)</f>
        <v>526</v>
      </c>
      <c r="U669" s="25" t="str">
        <f>IF(T669=1,COUNTIF($T$4:T669,1),"")</f>
        <v/>
      </c>
      <c r="V669" s="26" t="str">
        <f>'施設状況(要更新)'!$E669&amp;'施設状況(要更新)'!$C669</f>
        <v/>
      </c>
      <c r="W669" s="26">
        <f>'施設状況(要更新)'!$F669</f>
        <v>0</v>
      </c>
      <c r="X669" s="27"/>
    </row>
    <row r="670" spans="1:24">
      <c r="A670" s="18"/>
      <c r="B670" s="44"/>
      <c r="C670" s="40"/>
      <c r="D670" s="40"/>
      <c r="E670" s="40"/>
      <c r="F670" s="41"/>
      <c r="G670" s="41"/>
      <c r="H670" s="41"/>
      <c r="I670" s="41"/>
      <c r="J670" s="41"/>
      <c r="K670" s="41"/>
      <c r="L670" s="41"/>
      <c r="M670" s="41"/>
      <c r="N670" s="41"/>
      <c r="O670" s="41"/>
      <c r="P670" s="41"/>
      <c r="Q670" s="41"/>
      <c r="R670" s="40"/>
      <c r="S670" s="25">
        <f t="shared" si="22"/>
        <v>0</v>
      </c>
      <c r="T670" s="25">
        <f>COUNTIF($V$4:V670,V670)</f>
        <v>527</v>
      </c>
      <c r="U670" s="25" t="str">
        <f>IF(T670=1,COUNTIF($T$4:T670,1),"")</f>
        <v/>
      </c>
      <c r="V670" s="26" t="str">
        <f>'施設状況(要更新)'!$E670&amp;'施設状況(要更新)'!$C670</f>
        <v/>
      </c>
      <c r="W670" s="26">
        <f>'施設状況(要更新)'!$F670</f>
        <v>0</v>
      </c>
      <c r="X670" s="27"/>
    </row>
    <row r="671" spans="1:24">
      <c r="A671" s="18"/>
      <c r="B671" s="44"/>
      <c r="C671" s="40"/>
      <c r="D671" s="40"/>
      <c r="E671" s="40"/>
      <c r="F671" s="41"/>
      <c r="G671" s="41"/>
      <c r="H671" s="41"/>
      <c r="I671" s="41"/>
      <c r="J671" s="41"/>
      <c r="K671" s="41"/>
      <c r="L671" s="41"/>
      <c r="M671" s="41"/>
      <c r="N671" s="41"/>
      <c r="O671" s="41"/>
      <c r="P671" s="41"/>
      <c r="Q671" s="41"/>
      <c r="R671" s="40"/>
      <c r="S671" s="25">
        <f t="shared" si="22"/>
        <v>0</v>
      </c>
      <c r="T671" s="25">
        <f>COUNTIF($V$4:V671,V671)</f>
        <v>528</v>
      </c>
      <c r="U671" s="25" t="str">
        <f>IF(T671=1,COUNTIF($T$4:T671,1),"")</f>
        <v/>
      </c>
      <c r="V671" s="26" t="str">
        <f>'施設状況(要更新)'!$E671&amp;'施設状況(要更新)'!$C671</f>
        <v/>
      </c>
      <c r="W671" s="26">
        <f>'施設状況(要更新)'!$F671</f>
        <v>0</v>
      </c>
      <c r="X671" s="27"/>
    </row>
    <row r="672" spans="1:24">
      <c r="A672" s="18"/>
      <c r="B672" s="44"/>
      <c r="C672" s="40"/>
      <c r="D672" s="40"/>
      <c r="E672" s="40"/>
      <c r="F672" s="41"/>
      <c r="G672" s="41"/>
      <c r="H672" s="41"/>
      <c r="I672" s="41"/>
      <c r="J672" s="41"/>
      <c r="K672" s="41"/>
      <c r="L672" s="41"/>
      <c r="M672" s="41"/>
      <c r="N672" s="41"/>
      <c r="O672" s="41"/>
      <c r="P672" s="41"/>
      <c r="Q672" s="41"/>
      <c r="R672" s="40"/>
      <c r="S672" s="25">
        <f t="shared" si="22"/>
        <v>0</v>
      </c>
      <c r="T672" s="25">
        <f>COUNTIF($V$4:V672,V672)</f>
        <v>529</v>
      </c>
      <c r="U672" s="25" t="str">
        <f>IF(T672=1,COUNTIF($T$4:T672,1),"")</f>
        <v/>
      </c>
      <c r="V672" s="26" t="str">
        <f>'施設状況(要更新)'!$E672&amp;'施設状況(要更新)'!$C672</f>
        <v/>
      </c>
      <c r="W672" s="26">
        <f>'施設状況(要更新)'!$F672</f>
        <v>0</v>
      </c>
      <c r="X672" s="27"/>
    </row>
    <row r="673" spans="1:24">
      <c r="A673" s="18"/>
      <c r="B673" s="44"/>
      <c r="C673" s="40"/>
      <c r="D673" s="40"/>
      <c r="E673" s="40"/>
      <c r="F673" s="41"/>
      <c r="G673" s="41"/>
      <c r="H673" s="41"/>
      <c r="I673" s="41"/>
      <c r="J673" s="41"/>
      <c r="K673" s="41"/>
      <c r="L673" s="41"/>
      <c r="M673" s="41"/>
      <c r="N673" s="41"/>
      <c r="O673" s="41"/>
      <c r="P673" s="41"/>
      <c r="Q673" s="41"/>
      <c r="R673" s="40"/>
      <c r="S673" s="25">
        <f t="shared" si="22"/>
        <v>0</v>
      </c>
      <c r="T673" s="25">
        <f>COUNTIF($V$4:V673,V673)</f>
        <v>530</v>
      </c>
      <c r="U673" s="25" t="str">
        <f>IF(T673=1,COUNTIF($T$4:T673,1),"")</f>
        <v/>
      </c>
      <c r="V673" s="26" t="str">
        <f>'施設状況(要更新)'!$E673&amp;'施設状況(要更新)'!$C673</f>
        <v/>
      </c>
      <c r="W673" s="26">
        <f>'施設状況(要更新)'!$F673</f>
        <v>0</v>
      </c>
      <c r="X673" s="27"/>
    </row>
    <row r="674" spans="1:24">
      <c r="A674" s="18"/>
      <c r="B674" s="44"/>
      <c r="C674" s="40"/>
      <c r="D674" s="40"/>
      <c r="E674" s="40"/>
      <c r="F674" s="41"/>
      <c r="G674" s="41"/>
      <c r="H674" s="41"/>
      <c r="I674" s="41"/>
      <c r="J674" s="41"/>
      <c r="K674" s="41"/>
      <c r="L674" s="41"/>
      <c r="M674" s="41"/>
      <c r="N674" s="41"/>
      <c r="O674" s="41"/>
      <c r="P674" s="41"/>
      <c r="Q674" s="41"/>
      <c r="R674" s="40"/>
      <c r="S674" s="25">
        <f t="shared" si="22"/>
        <v>0</v>
      </c>
      <c r="T674" s="25">
        <f>COUNTIF($V$4:V674,V674)</f>
        <v>531</v>
      </c>
      <c r="U674" s="25" t="str">
        <f>IF(T674=1,COUNTIF($T$4:T674,1),"")</f>
        <v/>
      </c>
      <c r="V674" s="26" t="str">
        <f>'施設状況(要更新)'!$E674&amp;'施設状況(要更新)'!$C674</f>
        <v/>
      </c>
      <c r="W674" s="26">
        <f>'施設状況(要更新)'!$F674</f>
        <v>0</v>
      </c>
      <c r="X674" s="27"/>
    </row>
    <row r="675" spans="1:24">
      <c r="A675" s="18"/>
      <c r="B675" s="44"/>
      <c r="C675" s="40"/>
      <c r="D675" s="40"/>
      <c r="E675" s="40"/>
      <c r="F675" s="41"/>
      <c r="G675" s="41"/>
      <c r="H675" s="41"/>
      <c r="I675" s="41"/>
      <c r="J675" s="41"/>
      <c r="K675" s="41"/>
      <c r="L675" s="41"/>
      <c r="M675" s="41"/>
      <c r="N675" s="41"/>
      <c r="O675" s="41"/>
      <c r="P675" s="41"/>
      <c r="Q675" s="41"/>
      <c r="R675" s="40"/>
      <c r="S675" s="25">
        <f t="shared" si="22"/>
        <v>0</v>
      </c>
      <c r="T675" s="25">
        <f>COUNTIF($V$4:V675,V675)</f>
        <v>532</v>
      </c>
      <c r="U675" s="25" t="str">
        <f>IF(T675=1,COUNTIF($T$4:T675,1),"")</f>
        <v/>
      </c>
      <c r="V675" s="26" t="str">
        <f>'施設状況(要更新)'!$E675&amp;'施設状況(要更新)'!$C675</f>
        <v/>
      </c>
      <c r="W675" s="26">
        <f>'施設状況(要更新)'!$F675</f>
        <v>0</v>
      </c>
      <c r="X675" s="27"/>
    </row>
    <row r="676" spans="1:24">
      <c r="A676" s="18"/>
      <c r="B676" s="44"/>
      <c r="C676" s="40"/>
      <c r="D676" s="40"/>
      <c r="E676" s="40"/>
      <c r="F676" s="41"/>
      <c r="G676" s="41"/>
      <c r="H676" s="41"/>
      <c r="I676" s="41"/>
      <c r="J676" s="41"/>
      <c r="K676" s="41"/>
      <c r="L676" s="41"/>
      <c r="M676" s="41"/>
      <c r="N676" s="41"/>
      <c r="O676" s="41"/>
      <c r="P676" s="41"/>
      <c r="Q676" s="41"/>
      <c r="R676" s="40"/>
      <c r="S676" s="25">
        <f t="shared" si="22"/>
        <v>0</v>
      </c>
      <c r="T676" s="25">
        <f>COUNTIF($V$4:V676,V676)</f>
        <v>533</v>
      </c>
      <c r="U676" s="25" t="str">
        <f>IF(T676=1,COUNTIF($T$4:T676,1),"")</f>
        <v/>
      </c>
      <c r="V676" s="26" t="str">
        <f>'施設状況(要更新)'!$E676&amp;'施設状況(要更新)'!$C676</f>
        <v/>
      </c>
      <c r="W676" s="26">
        <f>'施設状況(要更新)'!$F676</f>
        <v>0</v>
      </c>
      <c r="X676" s="27"/>
    </row>
    <row r="677" spans="1:24">
      <c r="A677" s="18"/>
      <c r="B677" s="44"/>
      <c r="C677" s="40"/>
      <c r="D677" s="40"/>
      <c r="E677" s="40"/>
      <c r="F677" s="41"/>
      <c r="G677" s="41"/>
      <c r="H677" s="41"/>
      <c r="I677" s="41"/>
      <c r="J677" s="41"/>
      <c r="K677" s="41"/>
      <c r="L677" s="41"/>
      <c r="M677" s="41"/>
      <c r="N677" s="41"/>
      <c r="O677" s="41"/>
      <c r="P677" s="41"/>
      <c r="Q677" s="41"/>
      <c r="R677" s="40"/>
      <c r="S677" s="25">
        <f t="shared" si="22"/>
        <v>0</v>
      </c>
      <c r="T677" s="25">
        <f>COUNTIF($V$4:V677,V677)</f>
        <v>534</v>
      </c>
      <c r="U677" s="25" t="str">
        <f>IF(T677=1,COUNTIF($T$4:T677,1),"")</f>
        <v/>
      </c>
      <c r="V677" s="26" t="str">
        <f>'施設状況(要更新)'!$E677&amp;'施設状況(要更新)'!$C677</f>
        <v/>
      </c>
      <c r="W677" s="26">
        <f>'施設状況(要更新)'!$F677</f>
        <v>0</v>
      </c>
      <c r="X677" s="27"/>
    </row>
    <row r="678" spans="1:24">
      <c r="A678" s="18"/>
      <c r="B678" s="44"/>
      <c r="C678" s="40"/>
      <c r="D678" s="40"/>
      <c r="E678" s="40"/>
      <c r="F678" s="41"/>
      <c r="G678" s="41"/>
      <c r="H678" s="41"/>
      <c r="I678" s="41"/>
      <c r="J678" s="41"/>
      <c r="K678" s="41"/>
      <c r="L678" s="41"/>
      <c r="M678" s="41"/>
      <c r="N678" s="41"/>
      <c r="O678" s="41"/>
      <c r="P678" s="41"/>
      <c r="Q678" s="41"/>
      <c r="R678" s="40"/>
      <c r="S678" s="25">
        <f t="shared" si="22"/>
        <v>0</v>
      </c>
      <c r="T678" s="25">
        <f>COUNTIF($V$4:V678,V678)</f>
        <v>535</v>
      </c>
      <c r="U678" s="25" t="str">
        <f>IF(T678=1,COUNTIF($T$4:T678,1),"")</f>
        <v/>
      </c>
      <c r="V678" s="26" t="str">
        <f>'施設状況(要更新)'!$E678&amp;'施設状況(要更新)'!$C678</f>
        <v/>
      </c>
      <c r="W678" s="26">
        <f>'施設状況(要更新)'!$F678</f>
        <v>0</v>
      </c>
      <c r="X678" s="27"/>
    </row>
    <row r="679" spans="1:24">
      <c r="A679" s="18"/>
      <c r="B679" s="44"/>
      <c r="C679" s="40"/>
      <c r="D679" s="40"/>
      <c r="E679" s="40"/>
      <c r="F679" s="41"/>
      <c r="G679" s="41"/>
      <c r="H679" s="41"/>
      <c r="I679" s="41"/>
      <c r="J679" s="41"/>
      <c r="K679" s="41"/>
      <c r="L679" s="41"/>
      <c r="M679" s="41"/>
      <c r="N679" s="41"/>
      <c r="O679" s="41"/>
      <c r="P679" s="41"/>
      <c r="Q679" s="41"/>
      <c r="R679" s="40"/>
      <c r="S679" s="25">
        <f t="shared" si="22"/>
        <v>0</v>
      </c>
      <c r="T679" s="25">
        <f>COUNTIF($V$4:V679,V679)</f>
        <v>536</v>
      </c>
      <c r="U679" s="25" t="str">
        <f>IF(T679=1,COUNTIF($T$4:T679,1),"")</f>
        <v/>
      </c>
      <c r="V679" s="26" t="str">
        <f>'施設状況(要更新)'!$E679&amp;'施設状況(要更新)'!$C679</f>
        <v/>
      </c>
      <c r="W679" s="26">
        <f>'施設状況(要更新)'!$F679</f>
        <v>0</v>
      </c>
      <c r="X679" s="27"/>
    </row>
    <row r="680" spans="1:24">
      <c r="A680" s="18"/>
      <c r="B680" s="44"/>
      <c r="C680" s="40"/>
      <c r="D680" s="40"/>
      <c r="E680" s="40"/>
      <c r="F680" s="41"/>
      <c r="G680" s="41"/>
      <c r="H680" s="41"/>
      <c r="I680" s="41"/>
      <c r="J680" s="41"/>
      <c r="K680" s="41"/>
      <c r="L680" s="41"/>
      <c r="M680" s="41"/>
      <c r="N680" s="41"/>
      <c r="O680" s="41"/>
      <c r="P680" s="41"/>
      <c r="Q680" s="41"/>
      <c r="R680" s="40"/>
      <c r="S680" s="25">
        <f t="shared" si="22"/>
        <v>0</v>
      </c>
      <c r="T680" s="25">
        <f>COUNTIF($V$4:V680,V680)</f>
        <v>537</v>
      </c>
      <c r="U680" s="25" t="str">
        <f>IF(T680=1,COUNTIF($T$4:T680,1),"")</f>
        <v/>
      </c>
      <c r="V680" s="26" t="str">
        <f>'施設状況(要更新)'!$E680&amp;'施設状況(要更新)'!$C680</f>
        <v/>
      </c>
      <c r="W680" s="26">
        <f>'施設状況(要更新)'!$F680</f>
        <v>0</v>
      </c>
      <c r="X680" s="27"/>
    </row>
    <row r="681" spans="1:24">
      <c r="A681" s="18"/>
      <c r="B681" s="44"/>
      <c r="C681" s="40"/>
      <c r="D681" s="40"/>
      <c r="E681" s="40"/>
      <c r="F681" s="41"/>
      <c r="G681" s="41"/>
      <c r="H681" s="41"/>
      <c r="I681" s="41"/>
      <c r="J681" s="41"/>
      <c r="K681" s="41"/>
      <c r="L681" s="41"/>
      <c r="M681" s="41"/>
      <c r="N681" s="41"/>
      <c r="O681" s="41"/>
      <c r="P681" s="41"/>
      <c r="Q681" s="41"/>
      <c r="R681" s="40"/>
      <c r="S681" s="25">
        <f t="shared" si="22"/>
        <v>0</v>
      </c>
      <c r="T681" s="25">
        <f>COUNTIF($V$4:V681,V681)</f>
        <v>538</v>
      </c>
      <c r="U681" s="25" t="str">
        <f>IF(T681=1,COUNTIF($T$4:T681,1),"")</f>
        <v/>
      </c>
      <c r="V681" s="26" t="str">
        <f>'施設状況(要更新)'!$E681&amp;'施設状況(要更新)'!$C681</f>
        <v/>
      </c>
      <c r="W681" s="26">
        <f>'施設状況(要更新)'!$F681</f>
        <v>0</v>
      </c>
      <c r="X681" s="27"/>
    </row>
    <row r="682" spans="1:24">
      <c r="A682" s="18"/>
      <c r="B682" s="44"/>
      <c r="C682" s="40"/>
      <c r="D682" s="40"/>
      <c r="E682" s="40"/>
      <c r="F682" s="41"/>
      <c r="G682" s="41"/>
      <c r="H682" s="41"/>
      <c r="I682" s="41"/>
      <c r="J682" s="41"/>
      <c r="K682" s="41"/>
      <c r="L682" s="41"/>
      <c r="M682" s="41"/>
      <c r="N682" s="41"/>
      <c r="O682" s="41"/>
      <c r="P682" s="41"/>
      <c r="Q682" s="41"/>
      <c r="R682" s="40"/>
      <c r="S682" s="25">
        <f t="shared" si="22"/>
        <v>0</v>
      </c>
      <c r="T682" s="25">
        <f>COUNTIF($V$4:V682,V682)</f>
        <v>539</v>
      </c>
      <c r="U682" s="25" t="str">
        <f>IF(T682=1,COUNTIF($T$4:T682,1),"")</f>
        <v/>
      </c>
      <c r="V682" s="26" t="str">
        <f>'施設状況(要更新)'!$E682&amp;'施設状況(要更新)'!$C682</f>
        <v/>
      </c>
      <c r="W682" s="26">
        <f>'施設状況(要更新)'!$F682</f>
        <v>0</v>
      </c>
      <c r="X682" s="27"/>
    </row>
    <row r="683" spans="1:24">
      <c r="A683" s="18"/>
      <c r="B683" s="44"/>
      <c r="C683" s="40"/>
      <c r="D683" s="40"/>
      <c r="E683" s="40"/>
      <c r="F683" s="41"/>
      <c r="G683" s="41"/>
      <c r="H683" s="41"/>
      <c r="I683" s="41"/>
      <c r="J683" s="41"/>
      <c r="K683" s="41"/>
      <c r="L683" s="41"/>
      <c r="M683" s="41"/>
      <c r="N683" s="41"/>
      <c r="O683" s="41"/>
      <c r="P683" s="41"/>
      <c r="Q683" s="41"/>
      <c r="R683" s="40"/>
      <c r="S683" s="25">
        <f t="shared" si="22"/>
        <v>0</v>
      </c>
      <c r="T683" s="25">
        <f>COUNTIF($V$4:V683,V683)</f>
        <v>540</v>
      </c>
      <c r="U683" s="25" t="str">
        <f>IF(T683=1,COUNTIF($T$4:T683,1),"")</f>
        <v/>
      </c>
      <c r="V683" s="26" t="str">
        <f>'施設状況(要更新)'!$E683&amp;'施設状況(要更新)'!$C683</f>
        <v/>
      </c>
      <c r="W683" s="26">
        <f>'施設状況(要更新)'!$F683</f>
        <v>0</v>
      </c>
      <c r="X683" s="27"/>
    </row>
    <row r="684" spans="1:24">
      <c r="A684" s="18"/>
      <c r="B684" s="44"/>
      <c r="C684" s="40"/>
      <c r="D684" s="40"/>
      <c r="E684" s="40"/>
      <c r="F684" s="41"/>
      <c r="G684" s="41"/>
      <c r="H684" s="41"/>
      <c r="I684" s="41"/>
      <c r="J684" s="41"/>
      <c r="K684" s="41"/>
      <c r="L684" s="41"/>
      <c r="M684" s="41"/>
      <c r="N684" s="41"/>
      <c r="O684" s="41"/>
      <c r="P684" s="41"/>
      <c r="Q684" s="41"/>
      <c r="R684" s="40"/>
      <c r="S684" s="25">
        <f t="shared" si="22"/>
        <v>0</v>
      </c>
      <c r="T684" s="25">
        <f>COUNTIF($V$4:V684,V684)</f>
        <v>541</v>
      </c>
      <c r="U684" s="25" t="str">
        <f>IF(T684=1,COUNTIF($T$4:T684,1),"")</f>
        <v/>
      </c>
      <c r="V684" s="26" t="str">
        <f>'施設状況(要更新)'!$E684&amp;'施設状況(要更新)'!$C684</f>
        <v/>
      </c>
      <c r="W684" s="26">
        <f>'施設状況(要更新)'!$F684</f>
        <v>0</v>
      </c>
      <c r="X684" s="27"/>
    </row>
    <row r="685" spans="1:24">
      <c r="A685" s="18"/>
      <c r="B685" s="44"/>
      <c r="C685" s="40"/>
      <c r="D685" s="40"/>
      <c r="E685" s="40"/>
      <c r="F685" s="41"/>
      <c r="G685" s="41"/>
      <c r="H685" s="41"/>
      <c r="I685" s="41"/>
      <c r="J685" s="41"/>
      <c r="K685" s="41"/>
      <c r="L685" s="41"/>
      <c r="M685" s="41"/>
      <c r="N685" s="41"/>
      <c r="O685" s="41"/>
      <c r="P685" s="41"/>
      <c r="Q685" s="41"/>
      <c r="R685" s="40"/>
      <c r="S685" s="25">
        <f t="shared" si="22"/>
        <v>0</v>
      </c>
      <c r="T685" s="25">
        <f>COUNTIF($V$4:V685,V685)</f>
        <v>542</v>
      </c>
      <c r="U685" s="25" t="str">
        <f>IF(T685=1,COUNTIF($T$4:T685,1),"")</f>
        <v/>
      </c>
      <c r="V685" s="26" t="str">
        <f>'施設状況(要更新)'!$E685&amp;'施設状況(要更新)'!$C685</f>
        <v/>
      </c>
      <c r="W685" s="26">
        <f>'施設状況(要更新)'!$F685</f>
        <v>0</v>
      </c>
      <c r="X685" s="27"/>
    </row>
    <row r="686" spans="1:24">
      <c r="A686" s="18"/>
      <c r="B686" s="44"/>
      <c r="C686" s="40"/>
      <c r="D686" s="40"/>
      <c r="E686" s="40"/>
      <c r="F686" s="41"/>
      <c r="G686" s="41"/>
      <c r="H686" s="41"/>
      <c r="I686" s="41"/>
      <c r="J686" s="41"/>
      <c r="K686" s="41"/>
      <c r="L686" s="41"/>
      <c r="M686" s="41"/>
      <c r="N686" s="41"/>
      <c r="O686" s="41"/>
      <c r="P686" s="41"/>
      <c r="Q686" s="41"/>
      <c r="R686" s="40"/>
      <c r="S686" s="25">
        <f t="shared" si="22"/>
        <v>0</v>
      </c>
      <c r="T686" s="25">
        <f>COUNTIF($V$4:V686,V686)</f>
        <v>543</v>
      </c>
      <c r="U686" s="25" t="str">
        <f>IF(T686=1,COUNTIF($T$4:T686,1),"")</f>
        <v/>
      </c>
      <c r="V686" s="26" t="str">
        <f>'施設状況(要更新)'!$E686&amp;'施設状況(要更新)'!$C686</f>
        <v/>
      </c>
      <c r="W686" s="26">
        <f>'施設状況(要更新)'!$F686</f>
        <v>0</v>
      </c>
      <c r="X686" s="27"/>
    </row>
    <row r="687" spans="1:24">
      <c r="A687" s="18"/>
      <c r="B687" s="44"/>
      <c r="C687" s="40"/>
      <c r="D687" s="40"/>
      <c r="E687" s="40"/>
      <c r="F687" s="41"/>
      <c r="G687" s="41"/>
      <c r="H687" s="41"/>
      <c r="I687" s="41"/>
      <c r="J687" s="41"/>
      <c r="K687" s="41"/>
      <c r="L687" s="41"/>
      <c r="M687" s="41"/>
      <c r="N687" s="41"/>
      <c r="O687" s="41"/>
      <c r="P687" s="41"/>
      <c r="Q687" s="41"/>
      <c r="R687" s="40"/>
      <c r="S687" s="25">
        <f t="shared" si="22"/>
        <v>0</v>
      </c>
      <c r="T687" s="25">
        <f>COUNTIF($V$4:V687,V687)</f>
        <v>544</v>
      </c>
      <c r="U687" s="25" t="str">
        <f>IF(T687=1,COUNTIF($T$4:T687,1),"")</f>
        <v/>
      </c>
      <c r="V687" s="26" t="str">
        <f>'施設状況(要更新)'!$E687&amp;'施設状況(要更新)'!$C687</f>
        <v/>
      </c>
      <c r="W687" s="26">
        <f>'施設状況(要更新)'!$F687</f>
        <v>0</v>
      </c>
      <c r="X687" s="27"/>
    </row>
    <row r="688" spans="1:24">
      <c r="A688" s="18"/>
      <c r="B688" s="44"/>
      <c r="C688" s="40"/>
      <c r="D688" s="40"/>
      <c r="E688" s="40"/>
      <c r="F688" s="41"/>
      <c r="G688" s="41"/>
      <c r="H688" s="41"/>
      <c r="I688" s="41"/>
      <c r="J688" s="41"/>
      <c r="K688" s="41"/>
      <c r="L688" s="41"/>
      <c r="M688" s="41"/>
      <c r="N688" s="41"/>
      <c r="O688" s="41"/>
      <c r="P688" s="41"/>
      <c r="Q688" s="41"/>
      <c r="R688" s="40"/>
      <c r="S688" s="25">
        <f t="shared" si="22"/>
        <v>0</v>
      </c>
      <c r="T688" s="25">
        <f>COUNTIF($V$4:V688,V688)</f>
        <v>545</v>
      </c>
      <c r="U688" s="25" t="str">
        <f>IF(T688=1,COUNTIF($T$4:T688,1),"")</f>
        <v/>
      </c>
      <c r="V688" s="26" t="str">
        <f>'施設状況(要更新)'!$E688&amp;'施設状況(要更新)'!$C688</f>
        <v/>
      </c>
      <c r="W688" s="26">
        <f>'施設状況(要更新)'!$F688</f>
        <v>0</v>
      </c>
      <c r="X688" s="27"/>
    </row>
    <row r="689" spans="1:24">
      <c r="A689" s="18"/>
      <c r="B689" s="44"/>
      <c r="C689" s="40"/>
      <c r="D689" s="40"/>
      <c r="E689" s="40"/>
      <c r="F689" s="41"/>
      <c r="G689" s="41"/>
      <c r="H689" s="41"/>
      <c r="I689" s="41"/>
      <c r="J689" s="41"/>
      <c r="K689" s="41"/>
      <c r="L689" s="41"/>
      <c r="M689" s="41"/>
      <c r="N689" s="41"/>
      <c r="O689" s="41"/>
      <c r="P689" s="41"/>
      <c r="Q689" s="41"/>
      <c r="R689" s="40"/>
      <c r="S689" s="25">
        <f t="shared" si="22"/>
        <v>0</v>
      </c>
      <c r="T689" s="25">
        <f>COUNTIF($V$4:V689,V689)</f>
        <v>546</v>
      </c>
      <c r="U689" s="25" t="str">
        <f>IF(T689=1,COUNTIF($T$4:T689,1),"")</f>
        <v/>
      </c>
      <c r="V689" s="26" t="str">
        <f>'施設状況(要更新)'!$E689&amp;'施設状況(要更新)'!$C689</f>
        <v/>
      </c>
      <c r="W689" s="26">
        <f>'施設状況(要更新)'!$F689</f>
        <v>0</v>
      </c>
      <c r="X689" s="27"/>
    </row>
    <row r="690" spans="1:24">
      <c r="A690" s="18"/>
      <c r="B690" s="44"/>
      <c r="C690" s="40"/>
      <c r="D690" s="40"/>
      <c r="E690" s="40"/>
      <c r="F690" s="41"/>
      <c r="G690" s="41"/>
      <c r="H690" s="41"/>
      <c r="I690" s="41"/>
      <c r="J690" s="41"/>
      <c r="K690" s="41"/>
      <c r="L690" s="41"/>
      <c r="M690" s="41"/>
      <c r="N690" s="41"/>
      <c r="O690" s="41"/>
      <c r="P690" s="41"/>
      <c r="Q690" s="41"/>
      <c r="R690" s="40"/>
      <c r="S690" s="25">
        <f t="shared" si="22"/>
        <v>0</v>
      </c>
      <c r="T690" s="25">
        <f>COUNTIF($V$4:V690,V690)</f>
        <v>547</v>
      </c>
      <c r="U690" s="25" t="str">
        <f>IF(T690=1,COUNTIF($T$4:T690,1),"")</f>
        <v/>
      </c>
      <c r="V690" s="26" t="str">
        <f>'施設状況(要更新)'!$E690&amp;'施設状況(要更新)'!$C690</f>
        <v/>
      </c>
      <c r="W690" s="26">
        <f>'施設状況(要更新)'!$F690</f>
        <v>0</v>
      </c>
      <c r="X690" s="27"/>
    </row>
    <row r="691" spans="1:24">
      <c r="A691" s="18"/>
      <c r="B691" s="44"/>
      <c r="C691" s="40"/>
      <c r="D691" s="40"/>
      <c r="E691" s="40"/>
      <c r="F691" s="41"/>
      <c r="G691" s="41"/>
      <c r="H691" s="41"/>
      <c r="I691" s="41"/>
      <c r="J691" s="41"/>
      <c r="K691" s="41"/>
      <c r="L691" s="41"/>
      <c r="M691" s="41"/>
      <c r="N691" s="41"/>
      <c r="O691" s="41"/>
      <c r="P691" s="41"/>
      <c r="Q691" s="41"/>
      <c r="R691" s="40"/>
      <c r="S691" s="25">
        <f t="shared" si="22"/>
        <v>0</v>
      </c>
      <c r="T691" s="25">
        <f>COUNTIF($V$4:V691,V691)</f>
        <v>548</v>
      </c>
      <c r="U691" s="25" t="str">
        <f>IF(T691=1,COUNTIF($T$4:T691,1),"")</f>
        <v/>
      </c>
      <c r="V691" s="26" t="str">
        <f>'施設状況(要更新)'!$E691&amp;'施設状況(要更新)'!$C691</f>
        <v/>
      </c>
      <c r="W691" s="26">
        <f>'施設状況(要更新)'!$F691</f>
        <v>0</v>
      </c>
      <c r="X691" s="27"/>
    </row>
    <row r="692" spans="1:24">
      <c r="A692" s="18"/>
      <c r="B692" s="44"/>
      <c r="C692" s="40"/>
      <c r="D692" s="40"/>
      <c r="E692" s="40"/>
      <c r="F692" s="41"/>
      <c r="G692" s="41"/>
      <c r="H692" s="41"/>
      <c r="I692" s="41"/>
      <c r="J692" s="41"/>
      <c r="K692" s="41"/>
      <c r="L692" s="41"/>
      <c r="M692" s="41"/>
      <c r="N692" s="41"/>
      <c r="O692" s="41"/>
      <c r="P692" s="41"/>
      <c r="Q692" s="41"/>
      <c r="R692" s="40"/>
      <c r="S692" s="25">
        <f t="shared" si="22"/>
        <v>0</v>
      </c>
      <c r="T692" s="25">
        <f>COUNTIF($V$4:V692,V692)</f>
        <v>549</v>
      </c>
      <c r="U692" s="25" t="str">
        <f>IF(T692=1,COUNTIF($T$4:T692,1),"")</f>
        <v/>
      </c>
      <c r="V692" s="26" t="str">
        <f>'施設状況(要更新)'!$E692&amp;'施設状況(要更新)'!$C692</f>
        <v/>
      </c>
      <c r="W692" s="26">
        <f>'施設状況(要更新)'!$F692</f>
        <v>0</v>
      </c>
      <c r="X692" s="27"/>
    </row>
    <row r="693" spans="1:24">
      <c r="A693" s="18"/>
      <c r="B693" s="44"/>
      <c r="C693" s="40"/>
      <c r="D693" s="40"/>
      <c r="E693" s="40"/>
      <c r="F693" s="41"/>
      <c r="G693" s="41"/>
      <c r="H693" s="41"/>
      <c r="I693" s="41"/>
      <c r="J693" s="41"/>
      <c r="K693" s="41"/>
      <c r="L693" s="41"/>
      <c r="M693" s="41"/>
      <c r="N693" s="41"/>
      <c r="O693" s="41"/>
      <c r="P693" s="41"/>
      <c r="Q693" s="41"/>
      <c r="R693" s="40"/>
      <c r="S693" s="25">
        <f t="shared" si="22"/>
        <v>0</v>
      </c>
      <c r="T693" s="25">
        <f>COUNTIF($V$4:V693,V693)</f>
        <v>550</v>
      </c>
      <c r="U693" s="25" t="str">
        <f>IF(T693=1,COUNTIF($T$4:T693,1),"")</f>
        <v/>
      </c>
      <c r="V693" s="26" t="str">
        <f>'施設状況(要更新)'!$E693&amp;'施設状況(要更新)'!$C693</f>
        <v/>
      </c>
      <c r="W693" s="26">
        <f>'施設状況(要更新)'!$F693</f>
        <v>0</v>
      </c>
      <c r="X693" s="27"/>
    </row>
    <row r="694" spans="1:24">
      <c r="A694" s="18"/>
      <c r="B694" s="44"/>
      <c r="C694" s="40"/>
      <c r="D694" s="40"/>
      <c r="E694" s="40"/>
      <c r="F694" s="41"/>
      <c r="G694" s="41"/>
      <c r="H694" s="41"/>
      <c r="I694" s="41"/>
      <c r="J694" s="41"/>
      <c r="K694" s="41"/>
      <c r="L694" s="41"/>
      <c r="M694" s="41"/>
      <c r="N694" s="41"/>
      <c r="O694" s="41"/>
      <c r="P694" s="41"/>
      <c r="Q694" s="41"/>
      <c r="R694" s="40"/>
      <c r="S694" s="25">
        <f t="shared" si="22"/>
        <v>0</v>
      </c>
      <c r="T694" s="25">
        <f>COUNTIF($V$4:V694,V694)</f>
        <v>551</v>
      </c>
      <c r="U694" s="25" t="str">
        <f>IF(T694=1,COUNTIF($T$4:T694,1),"")</f>
        <v/>
      </c>
      <c r="V694" s="26" t="str">
        <f>'施設状況(要更新)'!$E694&amp;'施設状況(要更新)'!$C694</f>
        <v/>
      </c>
      <c r="W694" s="26">
        <f>'施設状況(要更新)'!$F694</f>
        <v>0</v>
      </c>
      <c r="X694" s="27"/>
    </row>
    <row r="695" spans="1:24">
      <c r="A695" s="18"/>
      <c r="B695" s="44"/>
      <c r="C695" s="40"/>
      <c r="D695" s="40"/>
      <c r="E695" s="40"/>
      <c r="F695" s="41"/>
      <c r="G695" s="41"/>
      <c r="H695" s="41"/>
      <c r="I695" s="41"/>
      <c r="J695" s="41"/>
      <c r="K695" s="41"/>
      <c r="L695" s="41"/>
      <c r="M695" s="41"/>
      <c r="N695" s="41"/>
      <c r="O695" s="41"/>
      <c r="P695" s="41"/>
      <c r="Q695" s="41"/>
      <c r="R695" s="40"/>
      <c r="S695" s="25">
        <f t="shared" si="22"/>
        <v>0</v>
      </c>
      <c r="T695" s="25">
        <f>COUNTIF($V$4:V695,V695)</f>
        <v>552</v>
      </c>
      <c r="U695" s="25" t="str">
        <f>IF(T695=1,COUNTIF($T$4:T695,1),"")</f>
        <v/>
      </c>
      <c r="V695" s="26" t="str">
        <f>'施設状況(要更新)'!$E695&amp;'施設状況(要更新)'!$C695</f>
        <v/>
      </c>
      <c r="W695" s="26">
        <f>'施設状況(要更新)'!$F695</f>
        <v>0</v>
      </c>
      <c r="X695" s="27"/>
    </row>
    <row r="696" spans="1:24">
      <c r="A696" s="18"/>
      <c r="B696" s="44"/>
      <c r="C696" s="40"/>
      <c r="D696" s="40"/>
      <c r="E696" s="40"/>
      <c r="F696" s="41"/>
      <c r="G696" s="41"/>
      <c r="H696" s="41"/>
      <c r="I696" s="41"/>
      <c r="J696" s="41"/>
      <c r="K696" s="41"/>
      <c r="L696" s="41"/>
      <c r="M696" s="41"/>
      <c r="N696" s="41"/>
      <c r="O696" s="41"/>
      <c r="P696" s="41"/>
      <c r="Q696" s="41"/>
      <c r="R696" s="40"/>
      <c r="S696" s="25">
        <f t="shared" si="22"/>
        <v>0</v>
      </c>
      <c r="T696" s="25">
        <f>COUNTIF($V$4:V696,V696)</f>
        <v>553</v>
      </c>
      <c r="U696" s="25" t="str">
        <f>IF(T696=1,COUNTIF($T$4:T696,1),"")</f>
        <v/>
      </c>
      <c r="V696" s="26" t="str">
        <f>'施設状況(要更新)'!$E696&amp;'施設状況(要更新)'!$C696</f>
        <v/>
      </c>
      <c r="W696" s="26">
        <f>'施設状況(要更新)'!$F696</f>
        <v>0</v>
      </c>
      <c r="X696" s="27"/>
    </row>
    <row r="697" spans="1:24">
      <c r="A697" s="18"/>
      <c r="B697" s="44"/>
      <c r="C697" s="40"/>
      <c r="D697" s="40"/>
      <c r="E697" s="40"/>
      <c r="F697" s="41"/>
      <c r="G697" s="41"/>
      <c r="H697" s="41"/>
      <c r="I697" s="41"/>
      <c r="J697" s="41"/>
      <c r="K697" s="41"/>
      <c r="L697" s="41"/>
      <c r="M697" s="41"/>
      <c r="N697" s="41"/>
      <c r="O697" s="41"/>
      <c r="P697" s="41"/>
      <c r="Q697" s="41"/>
      <c r="R697" s="40"/>
      <c r="S697" s="25">
        <f t="shared" si="22"/>
        <v>0</v>
      </c>
      <c r="T697" s="25">
        <f>COUNTIF($V$4:V697,V697)</f>
        <v>554</v>
      </c>
      <c r="U697" s="25" t="str">
        <f>IF(T697=1,COUNTIF($T$4:T697,1),"")</f>
        <v/>
      </c>
      <c r="V697" s="26" t="str">
        <f>'施設状況(要更新)'!$E697&amp;'施設状況(要更新)'!$C697</f>
        <v/>
      </c>
      <c r="W697" s="26">
        <f>'施設状況(要更新)'!$F697</f>
        <v>0</v>
      </c>
      <c r="X697" s="27"/>
    </row>
    <row r="698" spans="1:24">
      <c r="A698" s="18"/>
      <c r="B698" s="44"/>
      <c r="C698" s="40"/>
      <c r="D698" s="40"/>
      <c r="E698" s="40"/>
      <c r="F698" s="41"/>
      <c r="G698" s="41"/>
      <c r="H698" s="41"/>
      <c r="I698" s="41"/>
      <c r="J698" s="41"/>
      <c r="K698" s="41"/>
      <c r="L698" s="41"/>
      <c r="M698" s="41"/>
      <c r="N698" s="41"/>
      <c r="O698" s="41"/>
      <c r="P698" s="41"/>
      <c r="Q698" s="41"/>
      <c r="R698" s="40"/>
      <c r="S698" s="25">
        <f t="shared" si="22"/>
        <v>0</v>
      </c>
      <c r="T698" s="25">
        <f>COUNTIF($V$4:V698,V698)</f>
        <v>555</v>
      </c>
      <c r="U698" s="25" t="str">
        <f>IF(T698=1,COUNTIF($T$4:T698,1),"")</f>
        <v/>
      </c>
      <c r="V698" s="26" t="str">
        <f>'施設状況(要更新)'!$E698&amp;'施設状況(要更新)'!$C698</f>
        <v/>
      </c>
      <c r="W698" s="26">
        <f>'施設状況(要更新)'!$F698</f>
        <v>0</v>
      </c>
      <c r="X698" s="27"/>
    </row>
    <row r="699" spans="1:24">
      <c r="A699" s="18"/>
      <c r="B699" s="44"/>
      <c r="C699" s="40"/>
      <c r="D699" s="40"/>
      <c r="E699" s="40"/>
      <c r="F699" s="41"/>
      <c r="G699" s="41"/>
      <c r="H699" s="41"/>
      <c r="I699" s="41"/>
      <c r="J699" s="41"/>
      <c r="K699" s="41"/>
      <c r="L699" s="41"/>
      <c r="M699" s="41"/>
      <c r="N699" s="41"/>
      <c r="O699" s="41"/>
      <c r="P699" s="41"/>
      <c r="Q699" s="41"/>
      <c r="R699" s="40"/>
      <c r="S699" s="25">
        <f t="shared" si="22"/>
        <v>0</v>
      </c>
      <c r="T699" s="25">
        <f>COUNTIF($V$4:V699,V699)</f>
        <v>556</v>
      </c>
      <c r="U699" s="25" t="str">
        <f>IF(T699=1,COUNTIF($T$4:T699,1),"")</f>
        <v/>
      </c>
      <c r="V699" s="26" t="str">
        <f>'施設状況(要更新)'!$E699&amp;'施設状況(要更新)'!$C699</f>
        <v/>
      </c>
      <c r="W699" s="26">
        <f>'施設状況(要更新)'!$F699</f>
        <v>0</v>
      </c>
      <c r="X699" s="27"/>
    </row>
    <row r="700" spans="1:24">
      <c r="A700" s="18"/>
      <c r="B700" s="44"/>
      <c r="C700" s="40"/>
      <c r="D700" s="40"/>
      <c r="E700" s="40"/>
      <c r="F700" s="41"/>
      <c r="G700" s="41"/>
      <c r="H700" s="41"/>
      <c r="I700" s="41"/>
      <c r="J700" s="41"/>
      <c r="K700" s="41"/>
      <c r="L700" s="41"/>
      <c r="M700" s="41"/>
      <c r="N700" s="41"/>
      <c r="O700" s="41"/>
      <c r="P700" s="41"/>
      <c r="Q700" s="41"/>
      <c r="R700" s="40"/>
      <c r="S700" s="25">
        <f t="shared" si="22"/>
        <v>0</v>
      </c>
      <c r="T700" s="25">
        <f>COUNTIF($V$4:V700,V700)</f>
        <v>557</v>
      </c>
      <c r="U700" s="25" t="str">
        <f>IF(T700=1,COUNTIF($T$4:T700,1),"")</f>
        <v/>
      </c>
      <c r="V700" s="26" t="str">
        <f>'施設状況(要更新)'!$E700&amp;'施設状況(要更新)'!$C700</f>
        <v/>
      </c>
      <c r="W700" s="26">
        <f>'施設状況(要更新)'!$F700</f>
        <v>0</v>
      </c>
      <c r="X700" s="27"/>
    </row>
    <row r="701" spans="1:24">
      <c r="A701" s="49"/>
      <c r="B701" s="50"/>
      <c r="C701" s="50"/>
      <c r="D701" s="50" t="s">
        <v>191</v>
      </c>
      <c r="E701" s="50"/>
      <c r="F701" s="51">
        <f>SUBTOTAL(103,'施設状況(要更新)'!$F$4:$F$700)</f>
        <v>140</v>
      </c>
      <c r="G701" s="51">
        <f>SUBTOTAL(109,'施設状況(要更新)'!$G$4:$G$700)</f>
        <v>0</v>
      </c>
      <c r="H701" s="51">
        <f>SUBTOTAL(109,'施設状況(要更新)'!$H$4:$H$700)</f>
        <v>0</v>
      </c>
      <c r="I701" s="51">
        <f>SUBTOTAL(109,'施設状況(要更新)'!$I$4:$I$700)</f>
        <v>0</v>
      </c>
      <c r="J701" s="50" t="s">
        <v>192</v>
      </c>
      <c r="K701" s="51">
        <f>SUBTOTAL(109,'施設状況(要更新)'!$K$4:$K$700)</f>
        <v>0</v>
      </c>
      <c r="L701" s="51">
        <f>SUBTOTAL(109,'施設状況(要更新)'!$L$4:$L$700)</f>
        <v>0</v>
      </c>
      <c r="M701" s="51">
        <f>SUBTOTAL(109,'施設状況(要更新)'!$M$4:$M$700)</f>
        <v>454</v>
      </c>
      <c r="N701" s="51">
        <f>SUBTOTAL(109,'施設状況(要更新)'!$N$4:$N$700)</f>
        <v>1838</v>
      </c>
      <c r="O701" s="51">
        <f>SUBTOTAL(109,'施設状況(要更新)'!$O$4:$O$700)</f>
        <v>2292</v>
      </c>
      <c r="P701" s="51"/>
      <c r="Q701" s="51"/>
      <c r="R701" s="50">
        <f>SUBTOTAL(109,'施設状況(要更新)'!$R$4:$R$700)</f>
        <v>2415</v>
      </c>
      <c r="S701" s="25"/>
      <c r="T701" s="25"/>
      <c r="U701" s="25"/>
      <c r="V701" s="26"/>
      <c r="W701" s="26"/>
      <c r="X701" s="27"/>
    </row>
    <row r="702" spans="1:24">
      <c r="A702" s="25"/>
      <c r="B702" s="25"/>
      <c r="C702" s="25"/>
      <c r="D702" s="25"/>
      <c r="E702" s="25"/>
      <c r="F702" s="52">
        <v>1</v>
      </c>
      <c r="G702" s="52">
        <v>2</v>
      </c>
      <c r="H702" s="52">
        <v>3</v>
      </c>
      <c r="I702" s="52">
        <v>4</v>
      </c>
      <c r="J702" s="52">
        <v>5</v>
      </c>
      <c r="K702" s="52">
        <v>6</v>
      </c>
      <c r="L702" s="52">
        <v>7</v>
      </c>
      <c r="M702" s="52">
        <v>8</v>
      </c>
      <c r="N702" s="52">
        <v>9</v>
      </c>
      <c r="O702" s="52">
        <v>10</v>
      </c>
      <c r="P702" s="52">
        <v>11</v>
      </c>
      <c r="Q702" s="52"/>
      <c r="R702" s="52">
        <v>12</v>
      </c>
      <c r="S702" s="25"/>
      <c r="T702" s="25"/>
      <c r="U702" s="25"/>
      <c r="V702" s="26"/>
      <c r="W702" s="26"/>
      <c r="X702" s="27"/>
    </row>
    <row r="703" spans="1:24">
      <c r="S703" s="25"/>
      <c r="T703" s="25"/>
      <c r="U703" s="25"/>
      <c r="V703" s="26"/>
      <c r="W703" s="26"/>
      <c r="X703" s="27"/>
    </row>
    <row r="704" spans="1:24">
      <c r="S704" s="25"/>
      <c r="T704" s="25"/>
      <c r="U704" s="25"/>
      <c r="V704" s="26"/>
      <c r="W704" s="26"/>
      <c r="X704" s="27"/>
    </row>
    <row r="705" spans="19:24">
      <c r="S705" s="25"/>
      <c r="T705" s="25"/>
      <c r="U705" s="25"/>
      <c r="V705" s="26"/>
      <c r="W705" s="26"/>
      <c r="X705" s="27"/>
    </row>
    <row r="706" spans="19:24">
      <c r="S706" s="25"/>
      <c r="T706" s="25"/>
      <c r="U706" s="25"/>
      <c r="V706" s="26"/>
      <c r="W706" s="26"/>
      <c r="X706" s="27"/>
    </row>
    <row r="707" spans="19:24">
      <c r="S707" s="25"/>
      <c r="T707" s="25"/>
      <c r="U707" s="25"/>
      <c r="V707" s="26"/>
      <c r="W707" s="26"/>
      <c r="X707" s="27"/>
    </row>
    <row r="708" spans="19:24">
      <c r="S708" s="25"/>
      <c r="T708" s="25"/>
      <c r="U708" s="25"/>
      <c r="V708" s="26"/>
      <c r="W708" s="26"/>
      <c r="X708" s="27"/>
    </row>
    <row r="709" spans="19:24">
      <c r="S709" s="25"/>
      <c r="T709" s="25"/>
      <c r="U709" s="25"/>
      <c r="V709" s="26"/>
      <c r="W709" s="26"/>
      <c r="X709" s="27"/>
    </row>
    <row r="710" spans="19:24">
      <c r="S710" s="25"/>
      <c r="T710" s="25"/>
      <c r="U710" s="25"/>
      <c r="V710" s="26"/>
      <c r="W710" s="26"/>
      <c r="X710" s="27"/>
    </row>
    <row r="711" spans="19:24">
      <c r="S711" s="25"/>
      <c r="T711" s="25"/>
      <c r="U711" s="25"/>
      <c r="V711" s="26"/>
      <c r="W711" s="26"/>
      <c r="X711" s="27"/>
    </row>
    <row r="712" spans="19:24">
      <c r="S712" s="25"/>
      <c r="T712" s="25"/>
      <c r="U712" s="25"/>
      <c r="V712" s="26"/>
      <c r="W712" s="26"/>
      <c r="X712" s="27"/>
    </row>
    <row r="713" spans="19:24">
      <c r="S713" s="25"/>
      <c r="T713" s="25"/>
      <c r="U713" s="25"/>
      <c r="V713" s="26"/>
      <c r="W713" s="26"/>
      <c r="X713" s="27"/>
    </row>
    <row r="714" spans="19:24">
      <c r="S714" s="25"/>
      <c r="T714" s="25"/>
      <c r="U714" s="25"/>
      <c r="V714" s="26"/>
      <c r="W714" s="26"/>
      <c r="X714" s="27"/>
    </row>
    <row r="715" spans="19:24">
      <c r="S715" s="25"/>
      <c r="T715" s="25"/>
      <c r="U715" s="25"/>
      <c r="V715" s="26"/>
      <c r="W715" s="26"/>
      <c r="X715" s="27"/>
    </row>
    <row r="716" spans="19:24">
      <c r="S716" s="25"/>
      <c r="T716" s="25"/>
      <c r="U716" s="25"/>
      <c r="V716" s="26"/>
      <c r="W716" s="26"/>
      <c r="X716" s="27"/>
    </row>
    <row r="717" spans="19:24">
      <c r="S717" s="25"/>
      <c r="T717" s="25"/>
      <c r="U717" s="25"/>
      <c r="V717" s="26"/>
      <c r="W717" s="26"/>
      <c r="X717" s="27"/>
    </row>
    <row r="718" spans="19:24">
      <c r="S718" s="25"/>
      <c r="T718" s="25"/>
      <c r="U718" s="25"/>
      <c r="V718" s="26"/>
      <c r="W718" s="26"/>
      <c r="X718" s="27"/>
    </row>
    <row r="719" spans="19:24">
      <c r="S719" s="25"/>
      <c r="T719" s="25"/>
      <c r="U719" s="25"/>
      <c r="V719" s="26"/>
      <c r="W719" s="26"/>
      <c r="X719" s="27"/>
    </row>
    <row r="720" spans="19:24">
      <c r="S720" s="25"/>
      <c r="T720" s="25"/>
      <c r="U720" s="25"/>
      <c r="V720" s="26"/>
      <c r="W720" s="26"/>
      <c r="X720" s="27"/>
    </row>
    <row r="721" spans="19:24">
      <c r="S721" s="25"/>
      <c r="T721" s="25"/>
      <c r="U721" s="25"/>
      <c r="V721" s="26"/>
      <c r="W721" s="26"/>
      <c r="X721" s="27"/>
    </row>
    <row r="722" spans="19:24">
      <c r="S722" s="25"/>
      <c r="T722" s="25"/>
      <c r="U722" s="25"/>
      <c r="V722" s="26"/>
      <c r="W722" s="26"/>
      <c r="X722" s="27"/>
    </row>
    <row r="723" spans="19:24">
      <c r="S723" s="25"/>
      <c r="T723" s="25"/>
      <c r="U723" s="25"/>
      <c r="V723" s="26"/>
      <c r="W723" s="26"/>
      <c r="X723" s="27"/>
    </row>
    <row r="724" spans="19:24">
      <c r="S724" s="25"/>
      <c r="T724" s="25"/>
      <c r="U724" s="25"/>
      <c r="V724" s="26"/>
      <c r="W724" s="26"/>
      <c r="X724" s="27"/>
    </row>
    <row r="725" spans="19:24">
      <c r="S725" s="25"/>
      <c r="T725" s="25"/>
      <c r="U725" s="25"/>
      <c r="V725" s="26"/>
      <c r="W725" s="26"/>
      <c r="X725" s="27"/>
    </row>
    <row r="726" spans="19:24">
      <c r="S726" s="25"/>
      <c r="T726" s="25"/>
      <c r="U726" s="25"/>
      <c r="V726" s="26"/>
      <c r="W726" s="26"/>
      <c r="X726" s="27"/>
    </row>
    <row r="727" spans="19:24">
      <c r="S727" s="25"/>
      <c r="T727" s="25"/>
      <c r="U727" s="25"/>
      <c r="V727" s="26"/>
      <c r="W727" s="26"/>
      <c r="X727" s="27"/>
    </row>
    <row r="728" spans="19:24">
      <c r="S728" s="25"/>
      <c r="T728" s="25"/>
      <c r="U728" s="25"/>
      <c r="V728" s="26"/>
      <c r="W728" s="26"/>
      <c r="X728" s="27"/>
    </row>
    <row r="729" spans="19:24">
      <c r="S729" s="25"/>
      <c r="T729" s="25"/>
      <c r="U729" s="25"/>
      <c r="V729" s="26"/>
      <c r="W729" s="26"/>
      <c r="X729" s="27"/>
    </row>
    <row r="730" spans="19:24">
      <c r="S730" s="25"/>
      <c r="T730" s="25"/>
      <c r="U730" s="25"/>
      <c r="V730" s="26"/>
      <c r="W730" s="26"/>
      <c r="X730" s="27"/>
    </row>
    <row r="731" spans="19:24">
      <c r="S731" s="25"/>
      <c r="T731" s="25"/>
      <c r="U731" s="25"/>
      <c r="V731" s="26"/>
      <c r="W731" s="26"/>
      <c r="X731" s="27"/>
    </row>
    <row r="732" spans="19:24">
      <c r="S732" s="25"/>
      <c r="T732" s="25"/>
      <c r="U732" s="25"/>
      <c r="V732" s="26"/>
      <c r="W732" s="26"/>
      <c r="X732" s="27"/>
    </row>
    <row r="733" spans="19:24">
      <c r="S733" s="25"/>
      <c r="T733" s="25"/>
      <c r="U733" s="25"/>
      <c r="V733" s="26"/>
      <c r="W733" s="26"/>
      <c r="X733" s="27"/>
    </row>
    <row r="734" spans="19:24">
      <c r="S734" s="25"/>
      <c r="T734" s="25"/>
      <c r="U734" s="25"/>
      <c r="V734" s="26"/>
      <c r="W734" s="26"/>
      <c r="X734" s="27"/>
    </row>
    <row r="735" spans="19:24">
      <c r="S735" s="25"/>
      <c r="T735" s="25"/>
      <c r="U735" s="25"/>
      <c r="V735" s="26"/>
      <c r="W735" s="26"/>
      <c r="X735" s="27"/>
    </row>
    <row r="736" spans="19:24">
      <c r="S736" s="25"/>
      <c r="T736" s="25"/>
      <c r="U736" s="25"/>
      <c r="V736" s="26"/>
      <c r="W736" s="26"/>
      <c r="X736" s="27"/>
    </row>
    <row r="737" spans="19:24">
      <c r="S737" s="25"/>
      <c r="T737" s="25"/>
      <c r="U737" s="25"/>
      <c r="V737" s="26"/>
      <c r="W737" s="26"/>
      <c r="X737" s="27"/>
    </row>
    <row r="738" spans="19:24">
      <c r="S738" s="25"/>
      <c r="T738" s="25"/>
      <c r="U738" s="25"/>
      <c r="V738" s="26"/>
      <c r="W738" s="26"/>
      <c r="X738" s="27"/>
    </row>
    <row r="739" spans="19:24">
      <c r="S739" s="25"/>
      <c r="T739" s="25"/>
      <c r="U739" s="25"/>
      <c r="V739" s="26"/>
      <c r="W739" s="26"/>
      <c r="X739" s="27"/>
    </row>
    <row r="740" spans="19:24">
      <c r="S740" s="25"/>
      <c r="T740" s="25"/>
      <c r="U740" s="25"/>
      <c r="V740" s="26"/>
      <c r="W740" s="26"/>
      <c r="X740" s="27"/>
    </row>
    <row r="741" spans="19:24">
      <c r="S741" s="25"/>
      <c r="T741" s="25"/>
      <c r="U741" s="25"/>
      <c r="V741" s="26"/>
      <c r="W741" s="26"/>
      <c r="X741" s="27"/>
    </row>
    <row r="742" spans="19:24">
      <c r="S742" s="25"/>
      <c r="T742" s="25"/>
      <c r="U742" s="25"/>
      <c r="V742" s="26"/>
      <c r="W742" s="26"/>
      <c r="X742" s="27"/>
    </row>
    <row r="743" spans="19:24">
      <c r="S743" s="25"/>
      <c r="T743" s="25"/>
      <c r="U743" s="25"/>
      <c r="V743" s="26"/>
      <c r="W743" s="26"/>
      <c r="X743" s="27"/>
    </row>
    <row r="744" spans="19:24">
      <c r="S744" s="25"/>
      <c r="T744" s="25"/>
      <c r="U744" s="25"/>
      <c r="V744" s="26"/>
      <c r="W744" s="26"/>
      <c r="X744" s="27"/>
    </row>
    <row r="745" spans="19:24">
      <c r="S745" s="25"/>
      <c r="T745" s="25"/>
      <c r="U745" s="25"/>
      <c r="V745" s="26"/>
      <c r="W745" s="26"/>
      <c r="X745" s="27"/>
    </row>
    <row r="746" spans="19:24">
      <c r="S746" s="25"/>
      <c r="T746" s="25"/>
      <c r="U746" s="25"/>
      <c r="V746" s="26"/>
      <c r="W746" s="26"/>
      <c r="X746" s="27"/>
    </row>
    <row r="747" spans="19:24">
      <c r="S747" s="25"/>
      <c r="T747" s="25"/>
      <c r="U747" s="25"/>
      <c r="V747" s="26"/>
      <c r="W747" s="26"/>
      <c r="X747" s="27"/>
    </row>
    <row r="748" spans="19:24">
      <c r="S748" s="25"/>
      <c r="T748" s="25"/>
      <c r="U748" s="25"/>
      <c r="V748" s="26"/>
      <c r="W748" s="26"/>
      <c r="X748" s="27"/>
    </row>
    <row r="749" spans="19:24">
      <c r="S749" s="25"/>
      <c r="T749" s="25"/>
      <c r="U749" s="25"/>
      <c r="V749" s="26"/>
      <c r="W749" s="26"/>
      <c r="X749" s="27"/>
    </row>
    <row r="750" spans="19:24">
      <c r="S750" s="25"/>
      <c r="T750" s="25"/>
      <c r="U750" s="25"/>
      <c r="V750" s="26"/>
      <c r="W750" s="26"/>
      <c r="X750" s="27"/>
    </row>
    <row r="751" spans="19:24">
      <c r="S751" s="25"/>
      <c r="T751" s="25"/>
      <c r="U751" s="25"/>
      <c r="V751" s="26"/>
      <c r="W751" s="26"/>
      <c r="X751" s="27"/>
    </row>
    <row r="752" spans="19:24">
      <c r="S752" s="25"/>
      <c r="T752" s="25"/>
      <c r="U752" s="25"/>
      <c r="V752" s="26"/>
      <c r="W752" s="26"/>
      <c r="X752" s="27"/>
    </row>
    <row r="753" spans="19:24">
      <c r="S753" s="25"/>
      <c r="T753" s="25"/>
      <c r="U753" s="25"/>
      <c r="V753" s="26"/>
      <c r="W753" s="26"/>
      <c r="X753" s="27"/>
    </row>
    <row r="754" spans="19:24">
      <c r="S754" s="25"/>
      <c r="T754" s="25"/>
      <c r="U754" s="25"/>
      <c r="V754" s="26"/>
      <c r="W754" s="26"/>
      <c r="X754" s="27"/>
    </row>
    <row r="755" spans="19:24">
      <c r="S755" s="25"/>
      <c r="T755" s="25"/>
      <c r="U755" s="25"/>
      <c r="V755" s="26"/>
      <c r="W755" s="26"/>
      <c r="X755" s="27"/>
    </row>
    <row r="756" spans="19:24">
      <c r="S756" s="25"/>
      <c r="T756" s="25"/>
      <c r="U756" s="25"/>
      <c r="V756" s="26"/>
      <c r="W756" s="26"/>
      <c r="X756" s="27"/>
    </row>
    <row r="757" spans="19:24">
      <c r="S757" s="25"/>
      <c r="T757" s="25"/>
      <c r="U757" s="25"/>
      <c r="V757" s="26"/>
      <c r="W757" s="26"/>
      <c r="X757" s="27"/>
    </row>
    <row r="758" spans="19:24">
      <c r="S758" s="25"/>
      <c r="T758" s="25"/>
      <c r="U758" s="25"/>
      <c r="V758" s="26"/>
      <c r="W758" s="26"/>
      <c r="X758" s="27"/>
    </row>
    <row r="759" spans="19:24">
      <c r="S759" s="25"/>
      <c r="T759" s="25"/>
      <c r="U759" s="25"/>
      <c r="V759" s="26"/>
      <c r="W759" s="26"/>
      <c r="X759" s="27"/>
    </row>
    <row r="760" spans="19:24">
      <c r="S760" s="25"/>
      <c r="T760" s="25"/>
      <c r="U760" s="25"/>
      <c r="V760" s="26"/>
      <c r="W760" s="26"/>
      <c r="X760" s="27"/>
    </row>
    <row r="761" spans="19:24">
      <c r="S761" s="25"/>
      <c r="T761" s="25"/>
      <c r="U761" s="25"/>
      <c r="V761" s="26"/>
      <c r="W761" s="26"/>
      <c r="X761" s="27"/>
    </row>
    <row r="762" spans="19:24">
      <c r="S762" s="25"/>
      <c r="T762" s="25"/>
      <c r="U762" s="25"/>
      <c r="V762" s="26"/>
      <c r="W762" s="26"/>
      <c r="X762" s="27"/>
    </row>
    <row r="763" spans="19:24">
      <c r="S763" s="25"/>
      <c r="T763" s="25"/>
      <c r="U763" s="25"/>
      <c r="V763" s="26"/>
      <c r="W763" s="26"/>
      <c r="X763" s="27"/>
    </row>
    <row r="764" spans="19:24">
      <c r="S764" s="25"/>
      <c r="T764" s="25"/>
      <c r="U764" s="25"/>
      <c r="V764" s="26"/>
      <c r="W764" s="26"/>
      <c r="X764" s="27"/>
    </row>
    <row r="765" spans="19:24">
      <c r="S765" s="25"/>
      <c r="T765" s="25"/>
      <c r="U765" s="25"/>
      <c r="V765" s="26"/>
      <c r="W765" s="26"/>
      <c r="X765" s="27"/>
    </row>
    <row r="766" spans="19:24">
      <c r="S766" s="25"/>
      <c r="T766" s="25"/>
      <c r="U766" s="25"/>
      <c r="V766" s="26"/>
      <c r="W766" s="26"/>
      <c r="X766" s="27"/>
    </row>
    <row r="767" spans="19:24">
      <c r="S767" s="25"/>
      <c r="T767" s="25"/>
      <c r="U767" s="25"/>
      <c r="V767" s="26"/>
      <c r="W767" s="26"/>
      <c r="X767" s="27"/>
    </row>
    <row r="768" spans="19:24">
      <c r="S768" s="25"/>
      <c r="T768" s="25"/>
      <c r="U768" s="25"/>
      <c r="V768" s="26"/>
      <c r="W768" s="26"/>
      <c r="X768" s="27"/>
    </row>
    <row r="769" spans="19:24">
      <c r="S769" s="25"/>
      <c r="T769" s="25"/>
      <c r="U769" s="25"/>
      <c r="V769" s="26"/>
      <c r="W769" s="26"/>
      <c r="X769" s="27"/>
    </row>
    <row r="770" spans="19:24">
      <c r="S770" s="25"/>
      <c r="T770" s="25"/>
      <c r="U770" s="25"/>
      <c r="V770" s="26"/>
      <c r="W770" s="26"/>
      <c r="X770" s="27"/>
    </row>
    <row r="771" spans="19:24">
      <c r="S771" s="25"/>
      <c r="T771" s="25"/>
      <c r="U771" s="25"/>
      <c r="V771" s="26"/>
      <c r="W771" s="26"/>
      <c r="X771" s="27"/>
    </row>
    <row r="772" spans="19:24">
      <c r="S772" s="25"/>
      <c r="T772" s="25"/>
      <c r="U772" s="25"/>
      <c r="V772" s="26"/>
      <c r="W772" s="26"/>
      <c r="X772" s="27"/>
    </row>
    <row r="773" spans="19:24">
      <c r="S773" s="25"/>
      <c r="T773" s="25"/>
      <c r="U773" s="25"/>
      <c r="V773" s="26"/>
      <c r="W773" s="26"/>
      <c r="X773" s="27"/>
    </row>
    <row r="774" spans="19:24">
      <c r="S774" s="25"/>
      <c r="T774" s="25"/>
      <c r="U774" s="25"/>
      <c r="V774" s="26"/>
      <c r="W774" s="26"/>
      <c r="X774" s="27"/>
    </row>
    <row r="775" spans="19:24">
      <c r="S775" s="25"/>
      <c r="T775" s="25"/>
      <c r="U775" s="25"/>
      <c r="V775" s="26"/>
      <c r="W775" s="26"/>
      <c r="X775" s="27"/>
    </row>
    <row r="776" spans="19:24">
      <c r="S776" s="25"/>
      <c r="T776" s="25"/>
      <c r="U776" s="25"/>
      <c r="V776" s="26"/>
      <c r="W776" s="26"/>
      <c r="X776" s="27"/>
    </row>
    <row r="777" spans="19:24">
      <c r="S777" s="25"/>
      <c r="T777" s="25"/>
      <c r="U777" s="25"/>
      <c r="V777" s="26"/>
      <c r="W777" s="26"/>
      <c r="X777" s="27"/>
    </row>
    <row r="778" spans="19:24">
      <c r="S778" s="25"/>
      <c r="T778" s="25"/>
      <c r="U778" s="25"/>
      <c r="V778" s="26"/>
      <c r="W778" s="26"/>
      <c r="X778" s="27"/>
    </row>
    <row r="779" spans="19:24">
      <c r="S779" s="25"/>
      <c r="T779" s="25"/>
      <c r="U779" s="25"/>
      <c r="V779" s="26"/>
      <c r="W779" s="26"/>
      <c r="X779" s="27"/>
    </row>
    <row r="780" spans="19:24">
      <c r="S780" s="25"/>
      <c r="T780" s="25"/>
      <c r="U780" s="25"/>
      <c r="V780" s="26"/>
      <c r="W780" s="26"/>
      <c r="X780" s="27"/>
    </row>
    <row r="781" spans="19:24">
      <c r="S781" s="25"/>
      <c r="T781" s="25"/>
      <c r="U781" s="25"/>
      <c r="V781" s="26"/>
      <c r="W781" s="26"/>
      <c r="X781" s="27"/>
    </row>
    <row r="782" spans="19:24">
      <c r="S782" s="25"/>
      <c r="T782" s="25"/>
      <c r="U782" s="25"/>
      <c r="V782" s="26"/>
      <c r="W782" s="26"/>
      <c r="X782" s="27"/>
    </row>
    <row r="783" spans="19:24">
      <c r="S783" s="25"/>
      <c r="T783" s="25"/>
      <c r="U783" s="25"/>
      <c r="V783" s="26"/>
      <c r="W783" s="26"/>
      <c r="X783" s="27"/>
    </row>
    <row r="784" spans="19:24">
      <c r="S784" s="25"/>
      <c r="T784" s="25"/>
      <c r="U784" s="25"/>
      <c r="V784" s="26"/>
      <c r="W784" s="26"/>
      <c r="X784" s="27"/>
    </row>
    <row r="785" spans="19:24">
      <c r="S785" s="25"/>
      <c r="T785" s="25"/>
      <c r="U785" s="25"/>
      <c r="V785" s="26"/>
      <c r="W785" s="26"/>
      <c r="X785" s="27"/>
    </row>
    <row r="786" spans="19:24">
      <c r="S786" s="25"/>
      <c r="T786" s="25"/>
      <c r="U786" s="25"/>
      <c r="V786" s="26"/>
      <c r="W786" s="26"/>
      <c r="X786" s="27"/>
    </row>
    <row r="787" spans="19:24">
      <c r="S787" s="25"/>
      <c r="T787" s="25"/>
      <c r="U787" s="25"/>
      <c r="V787" s="26"/>
      <c r="W787" s="26"/>
      <c r="X787" s="27"/>
    </row>
    <row r="788" spans="19:24">
      <c r="S788" s="25"/>
      <c r="T788" s="25"/>
      <c r="U788" s="25"/>
      <c r="V788" s="26"/>
      <c r="W788" s="26"/>
      <c r="X788" s="27"/>
    </row>
    <row r="789" spans="19:24">
      <c r="S789" s="25"/>
      <c r="T789" s="25"/>
      <c r="U789" s="25"/>
      <c r="V789" s="26"/>
      <c r="W789" s="26"/>
      <c r="X789" s="27"/>
    </row>
    <row r="790" spans="19:24">
      <c r="S790" s="25"/>
      <c r="T790" s="25"/>
      <c r="U790" s="25"/>
      <c r="V790" s="26"/>
      <c r="W790" s="26"/>
      <c r="X790" s="27"/>
    </row>
    <row r="791" spans="19:24">
      <c r="S791" s="25"/>
      <c r="T791" s="25"/>
      <c r="U791" s="25"/>
      <c r="V791" s="26"/>
      <c r="W791" s="26"/>
      <c r="X791" s="27"/>
    </row>
    <row r="792" spans="19:24">
      <c r="S792" s="25"/>
      <c r="T792" s="25"/>
      <c r="U792" s="25"/>
      <c r="V792" s="26"/>
      <c r="W792" s="26"/>
      <c r="X792" s="27"/>
    </row>
    <row r="793" spans="19:24">
      <c r="S793" s="25"/>
      <c r="T793" s="25"/>
      <c r="U793" s="25"/>
      <c r="V793" s="26"/>
      <c r="W793" s="26"/>
      <c r="X793" s="27"/>
    </row>
    <row r="794" spans="19:24">
      <c r="S794" s="25"/>
      <c r="T794" s="25"/>
      <c r="U794" s="25"/>
      <c r="V794" s="26"/>
      <c r="W794" s="26"/>
      <c r="X794" s="27"/>
    </row>
    <row r="795" spans="19:24">
      <c r="S795" s="25"/>
      <c r="T795" s="25"/>
      <c r="U795" s="25"/>
      <c r="V795" s="26"/>
      <c r="W795" s="26"/>
      <c r="X795" s="27"/>
    </row>
    <row r="796" spans="19:24">
      <c r="S796" s="25"/>
      <c r="T796" s="25"/>
      <c r="U796" s="25"/>
      <c r="V796" s="26"/>
      <c r="W796" s="26"/>
      <c r="X796" s="27"/>
    </row>
    <row r="797" spans="19:24">
      <c r="S797" s="25"/>
      <c r="T797" s="25"/>
      <c r="U797" s="25"/>
      <c r="V797" s="26"/>
      <c r="W797" s="26"/>
      <c r="X797" s="27"/>
    </row>
    <row r="798" spans="19:24">
      <c r="S798" s="25"/>
      <c r="T798" s="25"/>
      <c r="U798" s="25"/>
      <c r="V798" s="26"/>
      <c r="W798" s="26"/>
      <c r="X798" s="27"/>
    </row>
    <row r="799" spans="19:24">
      <c r="S799" s="25"/>
      <c r="T799" s="25"/>
      <c r="U799" s="25"/>
      <c r="V799" s="26"/>
      <c r="W799" s="26"/>
      <c r="X799" s="27"/>
    </row>
    <row r="800" spans="19:24">
      <c r="S800" s="25"/>
      <c r="T800" s="25"/>
      <c r="U800" s="25"/>
      <c r="V800" s="26"/>
      <c r="W800" s="26"/>
      <c r="X800" s="27"/>
    </row>
    <row r="801" spans="19:24">
      <c r="S801" s="25"/>
      <c r="T801" s="25"/>
      <c r="U801" s="25"/>
      <c r="V801" s="26"/>
      <c r="W801" s="26"/>
      <c r="X801" s="27"/>
    </row>
    <row r="802" spans="19:24">
      <c r="S802" s="25"/>
      <c r="T802" s="25"/>
      <c r="U802" s="25"/>
      <c r="V802" s="26"/>
      <c r="W802" s="26"/>
      <c r="X802" s="27"/>
    </row>
    <row r="803" spans="19:24">
      <c r="S803" s="25"/>
      <c r="T803" s="25"/>
      <c r="U803" s="25"/>
      <c r="V803" s="26"/>
      <c r="W803" s="26"/>
      <c r="X803" s="27"/>
    </row>
    <row r="804" spans="19:24">
      <c r="S804" s="25"/>
      <c r="T804" s="25"/>
      <c r="U804" s="25"/>
      <c r="V804" s="26"/>
      <c r="W804" s="26"/>
      <c r="X804" s="27"/>
    </row>
    <row r="805" spans="19:24">
      <c r="S805" s="25"/>
      <c r="T805" s="25"/>
      <c r="U805" s="25"/>
      <c r="V805" s="26"/>
      <c r="W805" s="26"/>
      <c r="X805" s="27"/>
    </row>
    <row r="806" spans="19:24">
      <c r="S806" s="25"/>
      <c r="T806" s="25"/>
      <c r="U806" s="25"/>
      <c r="V806" s="26"/>
      <c r="W806" s="26"/>
      <c r="X806" s="27"/>
    </row>
    <row r="807" spans="19:24">
      <c r="S807" s="25"/>
      <c r="T807" s="25"/>
      <c r="U807" s="25"/>
      <c r="V807" s="26"/>
      <c r="W807" s="26"/>
      <c r="X807" s="27"/>
    </row>
    <row r="808" spans="19:24">
      <c r="S808" s="25"/>
      <c r="T808" s="25"/>
      <c r="U808" s="25"/>
      <c r="V808" s="26"/>
      <c r="W808" s="26"/>
      <c r="X808" s="27"/>
    </row>
    <row r="809" spans="19:24">
      <c r="S809" s="25"/>
      <c r="T809" s="25"/>
      <c r="U809" s="25"/>
      <c r="V809" s="26"/>
      <c r="W809" s="26"/>
      <c r="X809" s="27"/>
    </row>
    <row r="810" spans="19:24">
      <c r="S810" s="25"/>
      <c r="T810" s="25"/>
      <c r="U810" s="25"/>
      <c r="V810" s="26"/>
      <c r="W810" s="26"/>
      <c r="X810" s="27"/>
    </row>
    <row r="811" spans="19:24">
      <c r="S811" s="25"/>
      <c r="T811" s="25"/>
      <c r="U811" s="25"/>
      <c r="V811" s="26"/>
      <c r="W811" s="26"/>
      <c r="X811" s="27"/>
    </row>
    <row r="812" spans="19:24">
      <c r="S812" s="25"/>
      <c r="T812" s="25"/>
      <c r="U812" s="25"/>
      <c r="V812" s="26"/>
      <c r="W812" s="26"/>
      <c r="X812" s="27"/>
    </row>
    <row r="813" spans="19:24">
      <c r="S813" s="25"/>
      <c r="T813" s="25"/>
      <c r="U813" s="25"/>
      <c r="V813" s="26"/>
      <c r="W813" s="26"/>
      <c r="X813" s="27"/>
    </row>
    <row r="814" spans="19:24">
      <c r="S814" s="25"/>
      <c r="T814" s="25"/>
      <c r="U814" s="25"/>
      <c r="V814" s="26"/>
      <c r="W814" s="26"/>
      <c r="X814" s="27"/>
    </row>
    <row r="815" spans="19:24">
      <c r="S815" s="25"/>
      <c r="T815" s="25"/>
      <c r="U815" s="25"/>
      <c r="V815" s="26"/>
      <c r="W815" s="26"/>
      <c r="X815" s="27"/>
    </row>
    <row r="816" spans="19:24">
      <c r="S816" s="25"/>
      <c r="T816" s="25"/>
      <c r="U816" s="25"/>
      <c r="V816" s="26"/>
      <c r="W816" s="26"/>
      <c r="X816" s="27"/>
    </row>
    <row r="817" spans="19:24">
      <c r="S817" s="25"/>
      <c r="T817" s="25"/>
      <c r="U817" s="25"/>
      <c r="V817" s="26"/>
      <c r="W817" s="26"/>
      <c r="X817" s="27"/>
    </row>
    <row r="818" spans="19:24">
      <c r="S818" s="25"/>
      <c r="T818" s="25"/>
      <c r="U818" s="25"/>
      <c r="V818" s="26"/>
      <c r="W818" s="26"/>
      <c r="X818" s="27"/>
    </row>
    <row r="819" spans="19:24">
      <c r="S819" s="25"/>
      <c r="T819" s="25"/>
      <c r="U819" s="25"/>
      <c r="V819" s="26"/>
      <c r="W819" s="26"/>
      <c r="X819" s="27"/>
    </row>
    <row r="820" spans="19:24">
      <c r="S820" s="25"/>
      <c r="T820" s="25"/>
      <c r="U820" s="25"/>
      <c r="V820" s="26"/>
      <c r="W820" s="26"/>
      <c r="X820" s="27"/>
    </row>
    <row r="821" spans="19:24">
      <c r="S821" s="25"/>
      <c r="T821" s="25"/>
      <c r="U821" s="25"/>
      <c r="V821" s="26"/>
      <c r="W821" s="26"/>
      <c r="X821" s="27"/>
    </row>
    <row r="822" spans="19:24">
      <c r="S822" s="25"/>
      <c r="T822" s="25"/>
      <c r="U822" s="25"/>
      <c r="V822" s="26"/>
      <c r="W822" s="26"/>
      <c r="X822" s="27"/>
    </row>
    <row r="823" spans="19:24">
      <c r="S823" s="25"/>
      <c r="T823" s="25"/>
      <c r="U823" s="25"/>
      <c r="V823" s="26"/>
      <c r="W823" s="26"/>
      <c r="X823" s="27"/>
    </row>
    <row r="824" spans="19:24">
      <c r="S824" s="25"/>
      <c r="T824" s="25"/>
      <c r="U824" s="25"/>
      <c r="V824" s="26"/>
      <c r="W824" s="26"/>
      <c r="X824" s="27"/>
    </row>
    <row r="825" spans="19:24">
      <c r="S825" s="25"/>
      <c r="T825" s="25"/>
      <c r="U825" s="25"/>
      <c r="V825" s="26"/>
      <c r="W825" s="26"/>
      <c r="X825" s="27"/>
    </row>
    <row r="826" spans="19:24">
      <c r="S826" s="25"/>
      <c r="T826" s="25"/>
      <c r="U826" s="25"/>
      <c r="V826" s="26"/>
      <c r="W826" s="26"/>
      <c r="X826" s="27"/>
    </row>
    <row r="827" spans="19:24">
      <c r="S827" s="25"/>
      <c r="T827" s="25"/>
      <c r="U827" s="25"/>
      <c r="V827" s="26"/>
      <c r="W827" s="26"/>
      <c r="X827" s="27"/>
    </row>
    <row r="828" spans="19:24">
      <c r="S828" s="25"/>
      <c r="T828" s="25"/>
      <c r="U828" s="25"/>
      <c r="V828" s="26"/>
      <c r="W828" s="26"/>
      <c r="X828" s="27"/>
    </row>
    <row r="829" spans="19:24">
      <c r="S829" s="25"/>
      <c r="T829" s="25"/>
      <c r="U829" s="25"/>
      <c r="V829" s="26"/>
      <c r="W829" s="26"/>
      <c r="X829" s="27"/>
    </row>
    <row r="830" spans="19:24">
      <c r="S830" s="25"/>
      <c r="T830" s="25"/>
      <c r="U830" s="25"/>
      <c r="V830" s="26"/>
      <c r="W830" s="26"/>
      <c r="X830" s="27"/>
    </row>
    <row r="831" spans="19:24">
      <c r="S831" s="25"/>
      <c r="T831" s="25"/>
      <c r="U831" s="25"/>
      <c r="V831" s="26"/>
      <c r="W831" s="26"/>
      <c r="X831" s="27"/>
    </row>
    <row r="832" spans="19:24">
      <c r="S832" s="25"/>
      <c r="T832" s="25"/>
      <c r="U832" s="25"/>
      <c r="V832" s="26"/>
      <c r="W832" s="26"/>
      <c r="X832" s="27"/>
    </row>
    <row r="833" spans="19:24">
      <c r="S833" s="25"/>
      <c r="T833" s="25"/>
      <c r="U833" s="25"/>
      <c r="V833" s="26"/>
      <c r="W833" s="26"/>
      <c r="X833" s="27"/>
    </row>
    <row r="834" spans="19:24">
      <c r="S834" s="25"/>
      <c r="T834" s="25"/>
      <c r="U834" s="25"/>
      <c r="V834" s="26"/>
      <c r="W834" s="26"/>
      <c r="X834" s="27"/>
    </row>
    <row r="835" spans="19:24">
      <c r="S835" s="25"/>
      <c r="T835" s="25"/>
      <c r="U835" s="25"/>
      <c r="V835" s="26"/>
      <c r="W835" s="26"/>
      <c r="X835" s="27"/>
    </row>
    <row r="836" spans="19:24">
      <c r="S836" s="25"/>
      <c r="T836" s="25"/>
      <c r="U836" s="25"/>
      <c r="V836" s="26"/>
      <c r="W836" s="26"/>
      <c r="X836" s="27"/>
    </row>
    <row r="837" spans="19:24">
      <c r="S837" s="25"/>
      <c r="T837" s="25"/>
      <c r="U837" s="25"/>
      <c r="V837" s="26"/>
      <c r="W837" s="26"/>
      <c r="X837" s="27"/>
    </row>
    <row r="838" spans="19:24">
      <c r="S838" s="25"/>
      <c r="T838" s="25"/>
      <c r="U838" s="25"/>
      <c r="V838" s="26"/>
      <c r="W838" s="26"/>
      <c r="X838" s="27"/>
    </row>
    <row r="839" spans="19:24">
      <c r="S839" s="25"/>
      <c r="T839" s="25"/>
      <c r="U839" s="25"/>
      <c r="V839" s="26"/>
      <c r="W839" s="26"/>
      <c r="X839" s="27"/>
    </row>
    <row r="840" spans="19:24">
      <c r="S840" s="25"/>
      <c r="T840" s="25"/>
      <c r="U840" s="25"/>
      <c r="V840" s="26"/>
      <c r="W840" s="26"/>
      <c r="X840" s="27"/>
    </row>
    <row r="841" spans="19:24">
      <c r="S841" s="25"/>
      <c r="T841" s="25"/>
      <c r="U841" s="25"/>
      <c r="V841" s="26"/>
      <c r="W841" s="26"/>
      <c r="X841" s="27"/>
    </row>
    <row r="842" spans="19:24">
      <c r="S842" s="25"/>
      <c r="T842" s="25"/>
      <c r="U842" s="25"/>
      <c r="V842" s="26"/>
      <c r="W842" s="26"/>
      <c r="X842" s="27"/>
    </row>
    <row r="843" spans="19:24">
      <c r="S843" s="25"/>
      <c r="T843" s="25"/>
      <c r="U843" s="25"/>
      <c r="V843" s="26"/>
      <c r="W843" s="26"/>
      <c r="X843" s="27"/>
    </row>
    <row r="844" spans="19:24">
      <c r="S844" s="25"/>
      <c r="T844" s="25"/>
      <c r="U844" s="25"/>
      <c r="V844" s="26"/>
      <c r="W844" s="26"/>
      <c r="X844" s="27"/>
    </row>
    <row r="845" spans="19:24">
      <c r="S845" s="25"/>
      <c r="T845" s="25"/>
      <c r="U845" s="25"/>
      <c r="V845" s="26"/>
      <c r="W845" s="26"/>
      <c r="X845" s="27"/>
    </row>
    <row r="846" spans="19:24">
      <c r="S846" s="25"/>
      <c r="T846" s="25"/>
      <c r="U846" s="25"/>
      <c r="V846" s="26"/>
      <c r="W846" s="26"/>
      <c r="X846" s="27"/>
    </row>
    <row r="847" spans="19:24">
      <c r="S847" s="25"/>
      <c r="T847" s="25"/>
      <c r="U847" s="25"/>
      <c r="V847" s="26"/>
      <c r="W847" s="26"/>
      <c r="X847" s="27"/>
    </row>
    <row r="848" spans="19:24">
      <c r="S848" s="25"/>
      <c r="T848" s="25"/>
      <c r="U848" s="25"/>
      <c r="V848" s="26"/>
      <c r="W848" s="26"/>
      <c r="X848" s="27"/>
    </row>
    <row r="849" spans="19:24">
      <c r="S849" s="25"/>
      <c r="T849" s="25"/>
      <c r="U849" s="25"/>
      <c r="V849" s="26"/>
      <c r="W849" s="26"/>
      <c r="X849" s="27"/>
    </row>
    <row r="850" spans="19:24">
      <c r="S850" s="25"/>
      <c r="T850" s="25"/>
      <c r="U850" s="25"/>
      <c r="V850" s="26"/>
      <c r="W850" s="26"/>
      <c r="X850" s="27"/>
    </row>
    <row r="851" spans="19:24">
      <c r="S851" s="25"/>
      <c r="T851" s="25"/>
      <c r="U851" s="25"/>
      <c r="V851" s="26"/>
      <c r="W851" s="26"/>
      <c r="X851" s="27"/>
    </row>
    <row r="852" spans="19:24">
      <c r="S852" s="25"/>
      <c r="T852" s="25"/>
      <c r="U852" s="25"/>
      <c r="V852" s="26"/>
      <c r="W852" s="26"/>
      <c r="X852" s="27"/>
    </row>
    <row r="853" spans="19:24">
      <c r="S853" s="25"/>
      <c r="T853" s="25"/>
      <c r="U853" s="25"/>
      <c r="V853" s="26"/>
      <c r="W853" s="26"/>
      <c r="X853" s="27"/>
    </row>
    <row r="854" spans="19:24">
      <c r="S854" s="25"/>
      <c r="T854" s="25"/>
      <c r="U854" s="25"/>
      <c r="V854" s="26"/>
      <c r="W854" s="26"/>
      <c r="X854" s="27"/>
    </row>
    <row r="855" spans="19:24">
      <c r="S855" s="25"/>
      <c r="T855" s="25"/>
      <c r="U855" s="25"/>
      <c r="V855" s="26"/>
      <c r="W855" s="26"/>
      <c r="X855" s="27"/>
    </row>
    <row r="856" spans="19:24">
      <c r="S856" s="25"/>
      <c r="T856" s="25"/>
      <c r="U856" s="25"/>
      <c r="V856" s="26"/>
      <c r="W856" s="26"/>
      <c r="X856" s="27"/>
    </row>
    <row r="857" spans="19:24">
      <c r="S857" s="25"/>
      <c r="T857" s="25"/>
      <c r="U857" s="25"/>
      <c r="V857" s="26"/>
      <c r="W857" s="26"/>
      <c r="X857" s="27"/>
    </row>
    <row r="858" spans="19:24">
      <c r="S858" s="25"/>
      <c r="T858" s="25"/>
      <c r="U858" s="25"/>
      <c r="V858" s="26"/>
      <c r="W858" s="26"/>
      <c r="X858" s="27"/>
    </row>
    <row r="859" spans="19:24">
      <c r="S859" s="25"/>
      <c r="T859" s="25"/>
      <c r="U859" s="25"/>
      <c r="V859" s="26"/>
      <c r="W859" s="26"/>
      <c r="X859" s="27"/>
    </row>
    <row r="860" spans="19:24">
      <c r="S860" s="25"/>
      <c r="T860" s="25"/>
      <c r="U860" s="25"/>
      <c r="V860" s="26"/>
      <c r="W860" s="26"/>
      <c r="X860" s="27"/>
    </row>
    <row r="861" spans="19:24">
      <c r="S861" s="25"/>
      <c r="T861" s="25"/>
      <c r="U861" s="25"/>
      <c r="V861" s="26"/>
      <c r="W861" s="26"/>
      <c r="X861" s="27"/>
    </row>
    <row r="862" spans="19:24">
      <c r="S862" s="25"/>
      <c r="T862" s="25"/>
      <c r="U862" s="25"/>
      <c r="V862" s="26"/>
      <c r="W862" s="26"/>
      <c r="X862" s="27"/>
    </row>
    <row r="863" spans="19:24">
      <c r="S863" s="25"/>
      <c r="T863" s="25"/>
      <c r="U863" s="25"/>
      <c r="V863" s="26"/>
      <c r="W863" s="26"/>
      <c r="X863" s="27"/>
    </row>
    <row r="864" spans="19:24">
      <c r="S864" s="25"/>
      <c r="T864" s="25"/>
      <c r="U864" s="25"/>
      <c r="V864" s="26"/>
      <c r="W864" s="26"/>
      <c r="X864" s="27"/>
    </row>
    <row r="865" spans="19:24">
      <c r="S865" s="25"/>
      <c r="T865" s="25"/>
      <c r="U865" s="25"/>
      <c r="V865" s="26"/>
      <c r="W865" s="26"/>
      <c r="X865" s="27"/>
    </row>
    <row r="866" spans="19:24">
      <c r="S866" s="25"/>
      <c r="T866" s="25"/>
      <c r="U866" s="25"/>
      <c r="V866" s="26"/>
      <c r="W866" s="26"/>
      <c r="X866" s="27"/>
    </row>
    <row r="867" spans="19:24">
      <c r="S867" s="25"/>
      <c r="T867" s="25"/>
      <c r="U867" s="25"/>
      <c r="V867" s="26"/>
      <c r="W867" s="26"/>
      <c r="X867" s="27"/>
    </row>
    <row r="868" spans="19:24">
      <c r="S868" s="25"/>
      <c r="T868" s="25"/>
      <c r="U868" s="25"/>
      <c r="V868" s="26"/>
      <c r="W868" s="26"/>
      <c r="X868" s="27"/>
    </row>
    <row r="869" spans="19:24">
      <c r="S869" s="25"/>
      <c r="T869" s="25"/>
      <c r="U869" s="25"/>
      <c r="V869" s="26"/>
      <c r="W869" s="26"/>
      <c r="X869" s="27"/>
    </row>
    <row r="870" spans="19:24">
      <c r="S870" s="25"/>
      <c r="T870" s="25"/>
      <c r="U870" s="25"/>
      <c r="V870" s="26"/>
      <c r="W870" s="26"/>
      <c r="X870" s="27"/>
    </row>
    <row r="871" spans="19:24">
      <c r="S871" s="25"/>
      <c r="T871" s="25"/>
      <c r="U871" s="25"/>
      <c r="V871" s="26"/>
      <c r="W871" s="26"/>
      <c r="X871" s="27"/>
    </row>
    <row r="872" spans="19:24">
      <c r="S872" s="25"/>
      <c r="T872" s="25"/>
      <c r="U872" s="25"/>
      <c r="V872" s="26"/>
      <c r="W872" s="26"/>
      <c r="X872" s="27"/>
    </row>
    <row r="873" spans="19:24">
      <c r="S873" s="25"/>
      <c r="T873" s="25"/>
      <c r="U873" s="25"/>
      <c r="V873" s="26"/>
      <c r="W873" s="26"/>
      <c r="X873" s="27"/>
    </row>
    <row r="874" spans="19:24">
      <c r="S874" s="25"/>
      <c r="T874" s="25"/>
      <c r="U874" s="25"/>
      <c r="V874" s="26"/>
      <c r="W874" s="26"/>
      <c r="X874" s="27"/>
    </row>
    <row r="875" spans="19:24">
      <c r="S875" s="25"/>
      <c r="T875" s="25"/>
      <c r="U875" s="25"/>
      <c r="V875" s="26"/>
      <c r="W875" s="26"/>
      <c r="X875" s="27"/>
    </row>
    <row r="876" spans="19:24">
      <c r="S876" s="25"/>
      <c r="T876" s="25"/>
      <c r="U876" s="25"/>
      <c r="V876" s="26"/>
      <c r="W876" s="26"/>
      <c r="X876" s="27"/>
    </row>
    <row r="877" spans="19:24">
      <c r="S877" s="25"/>
      <c r="T877" s="25"/>
      <c r="U877" s="25"/>
      <c r="V877" s="26"/>
      <c r="W877" s="26"/>
      <c r="X877" s="27"/>
    </row>
    <row r="878" spans="19:24">
      <c r="S878" s="25"/>
      <c r="T878" s="25"/>
      <c r="U878" s="25"/>
      <c r="V878" s="26"/>
      <c r="W878" s="26"/>
      <c r="X878" s="27"/>
    </row>
    <row r="879" spans="19:24">
      <c r="S879" s="25"/>
      <c r="T879" s="25"/>
      <c r="U879" s="25"/>
      <c r="V879" s="26"/>
      <c r="W879" s="26"/>
      <c r="X879" s="27"/>
    </row>
    <row r="880" spans="19:24">
      <c r="S880" s="25"/>
      <c r="T880" s="25"/>
      <c r="U880" s="25"/>
      <c r="V880" s="26"/>
      <c r="W880" s="26"/>
      <c r="X880" s="27"/>
    </row>
    <row r="881" spans="19:24">
      <c r="S881" s="25"/>
      <c r="T881" s="25"/>
      <c r="U881" s="25"/>
      <c r="V881" s="26"/>
      <c r="W881" s="26"/>
      <c r="X881" s="27"/>
    </row>
    <row r="882" spans="19:24">
      <c r="S882" s="25"/>
      <c r="T882" s="25"/>
      <c r="U882" s="25"/>
      <c r="V882" s="26"/>
      <c r="W882" s="26"/>
      <c r="X882" s="27"/>
    </row>
    <row r="883" spans="19:24">
      <c r="S883" s="25"/>
      <c r="T883" s="25"/>
      <c r="U883" s="25"/>
      <c r="V883" s="26"/>
      <c r="W883" s="26"/>
      <c r="X883" s="27"/>
    </row>
    <row r="884" spans="19:24">
      <c r="S884" s="25"/>
      <c r="T884" s="25"/>
      <c r="U884" s="25"/>
      <c r="V884" s="26"/>
      <c r="W884" s="26"/>
      <c r="X884" s="27"/>
    </row>
    <row r="885" spans="19:24">
      <c r="S885" s="25"/>
      <c r="T885" s="25"/>
      <c r="U885" s="25"/>
      <c r="V885" s="26"/>
      <c r="W885" s="26"/>
      <c r="X885" s="27"/>
    </row>
    <row r="886" spans="19:24">
      <c r="S886" s="25"/>
      <c r="T886" s="25"/>
      <c r="U886" s="25"/>
      <c r="V886" s="26"/>
      <c r="W886" s="26"/>
      <c r="X886" s="27"/>
    </row>
    <row r="887" spans="19:24">
      <c r="S887" s="25"/>
      <c r="T887" s="25"/>
      <c r="U887" s="25"/>
      <c r="V887" s="26"/>
      <c r="W887" s="26"/>
      <c r="X887" s="27"/>
    </row>
    <row r="888" spans="19:24">
      <c r="S888" s="25"/>
      <c r="T888" s="25"/>
      <c r="U888" s="25"/>
      <c r="V888" s="26"/>
      <c r="W888" s="26"/>
      <c r="X888" s="27"/>
    </row>
    <row r="889" spans="19:24">
      <c r="S889" s="25"/>
      <c r="T889" s="25"/>
      <c r="U889" s="25"/>
      <c r="V889" s="26"/>
      <c r="W889" s="26"/>
      <c r="X889" s="27"/>
    </row>
    <row r="890" spans="19:24">
      <c r="S890" s="25"/>
      <c r="T890" s="25"/>
      <c r="U890" s="25"/>
      <c r="V890" s="26"/>
      <c r="W890" s="26"/>
      <c r="X890" s="27"/>
    </row>
    <row r="891" spans="19:24">
      <c r="S891" s="25"/>
      <c r="T891" s="25"/>
      <c r="U891" s="25"/>
      <c r="V891" s="26"/>
      <c r="W891" s="26"/>
      <c r="X891" s="27"/>
    </row>
    <row r="892" spans="19:24">
      <c r="S892" s="25"/>
      <c r="T892" s="25"/>
      <c r="U892" s="25"/>
      <c r="V892" s="26"/>
      <c r="W892" s="26"/>
      <c r="X892" s="27"/>
    </row>
    <row r="893" spans="19:24">
      <c r="S893" s="25"/>
      <c r="T893" s="25"/>
      <c r="U893" s="25"/>
      <c r="V893" s="26"/>
      <c r="W893" s="26"/>
      <c r="X893" s="27"/>
    </row>
    <row r="894" spans="19:24">
      <c r="S894" s="25"/>
      <c r="T894" s="25"/>
      <c r="U894" s="25"/>
      <c r="V894" s="26"/>
      <c r="W894" s="26"/>
      <c r="X894" s="27"/>
    </row>
    <row r="895" spans="19:24">
      <c r="S895" s="25"/>
      <c r="T895" s="25"/>
      <c r="U895" s="25"/>
      <c r="V895" s="26"/>
      <c r="W895" s="26"/>
      <c r="X895" s="27"/>
    </row>
    <row r="896" spans="19:24">
      <c r="S896" s="25"/>
      <c r="T896" s="25"/>
      <c r="U896" s="25"/>
      <c r="V896" s="26"/>
      <c r="W896" s="26"/>
      <c r="X896" s="27"/>
    </row>
    <row r="897" spans="19:24">
      <c r="S897" s="25"/>
      <c r="T897" s="25"/>
      <c r="U897" s="25"/>
      <c r="V897" s="26"/>
      <c r="W897" s="26"/>
      <c r="X897" s="27"/>
    </row>
    <row r="898" spans="19:24">
      <c r="S898" s="25"/>
      <c r="T898" s="25"/>
      <c r="U898" s="25"/>
      <c r="V898" s="26"/>
      <c r="W898" s="26"/>
      <c r="X898" s="27"/>
    </row>
    <row r="899" spans="19:24">
      <c r="S899" s="25"/>
      <c r="T899" s="25"/>
      <c r="U899" s="25"/>
      <c r="V899" s="26"/>
      <c r="W899" s="26"/>
      <c r="X899" s="27"/>
    </row>
    <row r="900" spans="19:24">
      <c r="S900" s="25"/>
      <c r="T900" s="25"/>
      <c r="U900" s="25"/>
      <c r="V900" s="26"/>
      <c r="W900" s="26"/>
      <c r="X900" s="27"/>
    </row>
    <row r="901" spans="19:24">
      <c r="S901" s="25"/>
      <c r="T901" s="25"/>
      <c r="U901" s="25"/>
      <c r="V901" s="26"/>
      <c r="W901" s="26"/>
      <c r="X901" s="27"/>
    </row>
    <row r="902" spans="19:24">
      <c r="S902" s="25"/>
      <c r="T902" s="25"/>
      <c r="U902" s="25"/>
      <c r="V902" s="26"/>
      <c r="W902" s="26"/>
      <c r="X902" s="27"/>
    </row>
    <row r="903" spans="19:24">
      <c r="S903" s="25"/>
      <c r="T903" s="25"/>
      <c r="U903" s="25"/>
      <c r="V903" s="26"/>
      <c r="W903" s="26"/>
      <c r="X903" s="27"/>
    </row>
    <row r="904" spans="19:24">
      <c r="S904" s="25"/>
      <c r="T904" s="25"/>
      <c r="U904" s="25"/>
      <c r="V904" s="26"/>
      <c r="W904" s="26"/>
      <c r="X904" s="27"/>
    </row>
    <row r="905" spans="19:24">
      <c r="S905" s="25"/>
      <c r="T905" s="25"/>
      <c r="U905" s="25"/>
      <c r="V905" s="26"/>
      <c r="W905" s="26"/>
      <c r="X905" s="27"/>
    </row>
    <row r="906" spans="19:24">
      <c r="S906" s="25"/>
      <c r="T906" s="25"/>
      <c r="U906" s="25"/>
      <c r="V906" s="26"/>
      <c r="W906" s="26"/>
      <c r="X906" s="27"/>
    </row>
    <row r="907" spans="19:24">
      <c r="S907" s="25"/>
      <c r="T907" s="25"/>
      <c r="U907" s="25"/>
      <c r="V907" s="26"/>
      <c r="W907" s="26"/>
      <c r="X907" s="27"/>
    </row>
    <row r="908" spans="19:24">
      <c r="S908" s="25"/>
      <c r="T908" s="25"/>
      <c r="U908" s="25"/>
      <c r="V908" s="26"/>
      <c r="W908" s="26"/>
      <c r="X908" s="27"/>
    </row>
    <row r="909" spans="19:24">
      <c r="S909" s="25"/>
      <c r="T909" s="25"/>
      <c r="U909" s="25"/>
      <c r="V909" s="26"/>
      <c r="W909" s="26"/>
      <c r="X909" s="27"/>
    </row>
    <row r="910" spans="19:24">
      <c r="S910" s="25"/>
      <c r="T910" s="25"/>
      <c r="U910" s="25"/>
      <c r="V910" s="26"/>
      <c r="W910" s="26"/>
      <c r="X910" s="27"/>
    </row>
    <row r="911" spans="19:24">
      <c r="S911" s="25"/>
      <c r="T911" s="25"/>
      <c r="U911" s="25"/>
      <c r="V911" s="26"/>
      <c r="W911" s="26"/>
      <c r="X911" s="27"/>
    </row>
    <row r="912" spans="19:24">
      <c r="S912" s="25"/>
      <c r="T912" s="25"/>
      <c r="U912" s="25"/>
      <c r="V912" s="26"/>
      <c r="W912" s="26"/>
      <c r="X912" s="27"/>
    </row>
    <row r="913" spans="19:24">
      <c r="S913" s="25"/>
      <c r="T913" s="25"/>
      <c r="U913" s="25"/>
      <c r="V913" s="26"/>
      <c r="W913" s="26"/>
      <c r="X913" s="27"/>
    </row>
    <row r="914" spans="19:24">
      <c r="S914" s="25"/>
      <c r="T914" s="25"/>
      <c r="U914" s="25"/>
      <c r="V914" s="26"/>
      <c r="W914" s="26"/>
      <c r="X914" s="27"/>
    </row>
    <row r="915" spans="19:24">
      <c r="S915" s="25"/>
      <c r="T915" s="25"/>
      <c r="U915" s="25"/>
      <c r="V915" s="26"/>
      <c r="W915" s="26"/>
      <c r="X915" s="27"/>
    </row>
    <row r="916" spans="19:24">
      <c r="S916" s="25"/>
      <c r="T916" s="25"/>
      <c r="U916" s="25"/>
      <c r="V916" s="26"/>
      <c r="W916" s="26"/>
      <c r="X916" s="27"/>
    </row>
    <row r="917" spans="19:24">
      <c r="S917" s="25"/>
      <c r="T917" s="25"/>
      <c r="U917" s="25"/>
      <c r="V917" s="26"/>
      <c r="W917" s="26"/>
      <c r="X917" s="27"/>
    </row>
    <row r="918" spans="19:24">
      <c r="S918" s="25"/>
      <c r="T918" s="25"/>
      <c r="U918" s="25"/>
      <c r="V918" s="26"/>
      <c r="W918" s="26"/>
      <c r="X918" s="27"/>
    </row>
    <row r="919" spans="19:24">
      <c r="S919" s="25"/>
      <c r="T919" s="25"/>
      <c r="U919" s="25"/>
      <c r="V919" s="26"/>
      <c r="W919" s="26"/>
      <c r="X919" s="27"/>
    </row>
    <row r="920" spans="19:24">
      <c r="S920" s="25"/>
      <c r="T920" s="25"/>
      <c r="U920" s="25"/>
      <c r="V920" s="26"/>
      <c r="W920" s="26"/>
      <c r="X920" s="27"/>
    </row>
    <row r="921" spans="19:24">
      <c r="S921" s="25"/>
      <c r="T921" s="25"/>
      <c r="U921" s="25"/>
      <c r="V921" s="26"/>
      <c r="W921" s="26"/>
      <c r="X921" s="27"/>
    </row>
    <row r="922" spans="19:24">
      <c r="S922" s="25"/>
      <c r="T922" s="25"/>
      <c r="U922" s="25"/>
      <c r="V922" s="26"/>
      <c r="W922" s="26"/>
      <c r="X922" s="27"/>
    </row>
    <row r="923" spans="19:24">
      <c r="S923" s="25"/>
      <c r="T923" s="25"/>
      <c r="U923" s="25"/>
      <c r="V923" s="26"/>
      <c r="W923" s="26"/>
      <c r="X923" s="27"/>
    </row>
    <row r="924" spans="19:24">
      <c r="S924" s="25"/>
      <c r="T924" s="25"/>
      <c r="U924" s="25"/>
      <c r="V924" s="26"/>
      <c r="W924" s="26"/>
      <c r="X924" s="27"/>
    </row>
    <row r="925" spans="19:24">
      <c r="S925" s="25"/>
      <c r="T925" s="25"/>
      <c r="U925" s="25"/>
      <c r="V925" s="26"/>
      <c r="W925" s="26"/>
      <c r="X925" s="27"/>
    </row>
    <row r="926" spans="19:24">
      <c r="S926" s="25"/>
      <c r="T926" s="25"/>
      <c r="U926" s="25"/>
      <c r="V926" s="26"/>
      <c r="W926" s="26"/>
      <c r="X926" s="27"/>
    </row>
    <row r="927" spans="19:24">
      <c r="S927" s="25"/>
      <c r="T927" s="25"/>
      <c r="U927" s="25"/>
      <c r="V927" s="26"/>
      <c r="W927" s="26"/>
      <c r="X927" s="27"/>
    </row>
    <row r="928" spans="19:24">
      <c r="S928" s="25"/>
      <c r="T928" s="25"/>
      <c r="U928" s="25"/>
      <c r="V928" s="26"/>
      <c r="W928" s="26"/>
      <c r="X928" s="27"/>
    </row>
    <row r="929" spans="19:24">
      <c r="S929" s="25"/>
      <c r="T929" s="25"/>
      <c r="U929" s="25"/>
      <c r="V929" s="26"/>
      <c r="W929" s="26"/>
      <c r="X929" s="27"/>
    </row>
    <row r="930" spans="19:24">
      <c r="S930" s="25"/>
      <c r="T930" s="25"/>
      <c r="U930" s="25"/>
      <c r="V930" s="26"/>
      <c r="W930" s="26"/>
      <c r="X930" s="27"/>
    </row>
    <row r="931" spans="19:24">
      <c r="S931" s="25"/>
      <c r="T931" s="25"/>
      <c r="U931" s="25"/>
      <c r="V931" s="26"/>
      <c r="W931" s="26"/>
      <c r="X931" s="27"/>
    </row>
    <row r="932" spans="19:24">
      <c r="S932" s="25"/>
      <c r="T932" s="25"/>
      <c r="U932" s="25"/>
      <c r="V932" s="26"/>
      <c r="W932" s="26"/>
      <c r="X932" s="27"/>
    </row>
    <row r="933" spans="19:24">
      <c r="S933" s="25"/>
      <c r="T933" s="25"/>
      <c r="U933" s="25"/>
      <c r="V933" s="26"/>
      <c r="W933" s="26"/>
      <c r="X933" s="27"/>
    </row>
    <row r="934" spans="19:24">
      <c r="S934" s="25"/>
      <c r="T934" s="25"/>
      <c r="U934" s="25"/>
      <c r="V934" s="26"/>
      <c r="W934" s="26"/>
      <c r="X934" s="27"/>
    </row>
    <row r="935" spans="19:24">
      <c r="S935" s="25"/>
      <c r="T935" s="25"/>
      <c r="U935" s="25"/>
      <c r="V935" s="26"/>
      <c r="W935" s="26"/>
      <c r="X935" s="27"/>
    </row>
    <row r="936" spans="19:24">
      <c r="S936" s="25"/>
      <c r="T936" s="25"/>
      <c r="U936" s="25"/>
      <c r="V936" s="26"/>
      <c r="W936" s="26"/>
      <c r="X936" s="27"/>
    </row>
    <row r="937" spans="19:24">
      <c r="S937" s="25"/>
      <c r="T937" s="25"/>
      <c r="U937" s="25"/>
      <c r="V937" s="26"/>
      <c r="W937" s="26"/>
      <c r="X937" s="27"/>
    </row>
    <row r="938" spans="19:24">
      <c r="S938" s="25"/>
      <c r="T938" s="25"/>
      <c r="U938" s="25"/>
      <c r="V938" s="26"/>
      <c r="W938" s="26"/>
      <c r="X938" s="27"/>
    </row>
    <row r="939" spans="19:24">
      <c r="S939" s="25"/>
      <c r="T939" s="25"/>
      <c r="U939" s="25"/>
      <c r="V939" s="26"/>
      <c r="W939" s="26"/>
      <c r="X939" s="27"/>
    </row>
    <row r="940" spans="19:24">
      <c r="S940" s="25"/>
      <c r="T940" s="25"/>
      <c r="U940" s="25"/>
      <c r="V940" s="26"/>
      <c r="W940" s="26"/>
      <c r="X940" s="27"/>
    </row>
    <row r="941" spans="19:24">
      <c r="S941" s="25"/>
      <c r="T941" s="25"/>
      <c r="U941" s="25"/>
      <c r="V941" s="26"/>
      <c r="W941" s="26"/>
      <c r="X941" s="27"/>
    </row>
    <row r="942" spans="19:24">
      <c r="S942" s="25"/>
      <c r="T942" s="25"/>
      <c r="U942" s="25"/>
      <c r="V942" s="26"/>
      <c r="W942" s="26"/>
      <c r="X942" s="27"/>
    </row>
    <row r="943" spans="19:24">
      <c r="S943" s="25"/>
      <c r="T943" s="25"/>
      <c r="U943" s="25"/>
      <c r="V943" s="26"/>
      <c r="W943" s="26"/>
      <c r="X943" s="27"/>
    </row>
    <row r="944" spans="19:24">
      <c r="S944" s="25"/>
      <c r="T944" s="25"/>
      <c r="U944" s="25"/>
      <c r="V944" s="26"/>
      <c r="W944" s="26"/>
      <c r="X944" s="27"/>
    </row>
    <row r="945" spans="19:24">
      <c r="S945" s="25"/>
      <c r="T945" s="25"/>
      <c r="U945" s="25"/>
      <c r="V945" s="26"/>
      <c r="W945" s="26"/>
      <c r="X945" s="27"/>
    </row>
    <row r="946" spans="19:24">
      <c r="S946" s="25"/>
      <c r="T946" s="25"/>
      <c r="U946" s="25"/>
      <c r="V946" s="26"/>
      <c r="W946" s="26"/>
      <c r="X946" s="27"/>
    </row>
    <row r="947" spans="19:24">
      <c r="S947" s="25"/>
      <c r="T947" s="25"/>
      <c r="U947" s="25"/>
      <c r="V947" s="26"/>
      <c r="W947" s="26"/>
      <c r="X947" s="27"/>
    </row>
    <row r="948" spans="19:24">
      <c r="S948" s="25"/>
      <c r="T948" s="25"/>
      <c r="U948" s="25"/>
      <c r="V948" s="26"/>
      <c r="W948" s="26"/>
      <c r="X948" s="27"/>
    </row>
    <row r="949" spans="19:24">
      <c r="S949" s="25"/>
      <c r="T949" s="25"/>
      <c r="U949" s="25"/>
      <c r="V949" s="26"/>
      <c r="W949" s="26"/>
      <c r="X949" s="27"/>
    </row>
    <row r="950" spans="19:24">
      <c r="S950" s="25"/>
      <c r="T950" s="25"/>
      <c r="U950" s="25"/>
      <c r="V950" s="26"/>
      <c r="W950" s="26"/>
      <c r="X950" s="27"/>
    </row>
    <row r="951" spans="19:24">
      <c r="S951" s="25"/>
      <c r="T951" s="25"/>
      <c r="U951" s="25"/>
      <c r="V951" s="26"/>
      <c r="W951" s="26"/>
      <c r="X951" s="27"/>
    </row>
    <row r="952" spans="19:24">
      <c r="S952" s="25"/>
      <c r="T952" s="25"/>
      <c r="U952" s="25"/>
      <c r="V952" s="26"/>
      <c r="W952" s="26"/>
      <c r="X952" s="27"/>
    </row>
    <row r="953" spans="19:24">
      <c r="S953" s="25"/>
      <c r="T953" s="25"/>
      <c r="U953" s="25"/>
      <c r="V953" s="26"/>
      <c r="W953" s="26"/>
      <c r="X953" s="27"/>
    </row>
    <row r="954" spans="19:24">
      <c r="S954" s="25"/>
      <c r="T954" s="25"/>
      <c r="U954" s="25"/>
      <c r="V954" s="26"/>
      <c r="W954" s="26"/>
      <c r="X954" s="27"/>
    </row>
    <row r="955" spans="19:24">
      <c r="S955" s="25"/>
      <c r="T955" s="25"/>
      <c r="U955" s="25"/>
      <c r="V955" s="26"/>
      <c r="W955" s="26"/>
      <c r="X955" s="27"/>
    </row>
    <row r="956" spans="19:24">
      <c r="S956" s="25"/>
      <c r="T956" s="25"/>
      <c r="U956" s="25"/>
      <c r="V956" s="26"/>
      <c r="W956" s="26"/>
      <c r="X956" s="27"/>
    </row>
    <row r="957" spans="19:24">
      <c r="S957" s="25"/>
      <c r="T957" s="25"/>
      <c r="U957" s="25"/>
      <c r="V957" s="26"/>
      <c r="W957" s="26"/>
      <c r="X957" s="27"/>
    </row>
    <row r="958" spans="19:24">
      <c r="S958" s="25"/>
      <c r="T958" s="25"/>
      <c r="U958" s="25"/>
      <c r="V958" s="26"/>
      <c r="W958" s="26"/>
      <c r="X958" s="27"/>
    </row>
    <row r="959" spans="19:24">
      <c r="S959" s="25"/>
      <c r="T959" s="25"/>
      <c r="U959" s="25"/>
      <c r="V959" s="26"/>
      <c r="W959" s="26"/>
      <c r="X959" s="27"/>
    </row>
    <row r="960" spans="19:24">
      <c r="S960" s="25"/>
      <c r="T960" s="25"/>
      <c r="U960" s="25"/>
      <c r="V960" s="26"/>
      <c r="W960" s="26"/>
      <c r="X960" s="27"/>
    </row>
    <row r="961" spans="19:24">
      <c r="S961" s="25"/>
      <c r="T961" s="25"/>
      <c r="U961" s="25"/>
      <c r="V961" s="26"/>
      <c r="W961" s="26"/>
      <c r="X961" s="27"/>
    </row>
    <row r="962" spans="19:24">
      <c r="S962" s="25"/>
      <c r="T962" s="25"/>
      <c r="U962" s="25"/>
      <c r="V962" s="26"/>
      <c r="W962" s="26"/>
      <c r="X962" s="27"/>
    </row>
    <row r="963" spans="19:24">
      <c r="S963" s="25"/>
      <c r="T963" s="25"/>
      <c r="U963" s="25"/>
      <c r="V963" s="26"/>
      <c r="W963" s="26"/>
      <c r="X963" s="27"/>
    </row>
    <row r="964" spans="19:24">
      <c r="S964" s="25"/>
      <c r="T964" s="25"/>
      <c r="U964" s="25"/>
      <c r="V964" s="26"/>
      <c r="W964" s="26"/>
      <c r="X964" s="27"/>
    </row>
    <row r="965" spans="19:24">
      <c r="S965" s="25"/>
      <c r="T965" s="25"/>
      <c r="U965" s="25"/>
      <c r="V965" s="26"/>
      <c r="W965" s="26"/>
      <c r="X965" s="27"/>
    </row>
    <row r="966" spans="19:24">
      <c r="S966" s="25"/>
      <c r="T966" s="25"/>
      <c r="U966" s="25"/>
      <c r="V966" s="26"/>
      <c r="W966" s="26"/>
      <c r="X966" s="27"/>
    </row>
    <row r="967" spans="19:24">
      <c r="S967" s="25"/>
      <c r="T967" s="25"/>
      <c r="U967" s="25"/>
      <c r="V967" s="26"/>
      <c r="W967" s="26"/>
      <c r="X967" s="27"/>
    </row>
    <row r="968" spans="19:24">
      <c r="S968" s="25"/>
      <c r="T968" s="25"/>
      <c r="U968" s="25"/>
      <c r="V968" s="26"/>
      <c r="W968" s="26"/>
      <c r="X968" s="27"/>
    </row>
    <row r="969" spans="19:24">
      <c r="S969" s="25"/>
      <c r="T969" s="25"/>
      <c r="U969" s="25"/>
      <c r="V969" s="26"/>
      <c r="W969" s="26"/>
      <c r="X969" s="27"/>
    </row>
    <row r="970" spans="19:24">
      <c r="S970" s="25"/>
      <c r="T970" s="25"/>
      <c r="U970" s="25"/>
      <c r="V970" s="26"/>
      <c r="W970" s="26"/>
      <c r="X970" s="27"/>
    </row>
    <row r="971" spans="19:24">
      <c r="S971" s="25"/>
      <c r="T971" s="25"/>
      <c r="U971" s="25"/>
      <c r="V971" s="26"/>
      <c r="W971" s="26"/>
      <c r="X971" s="27"/>
    </row>
    <row r="972" spans="19:24">
      <c r="S972" s="25"/>
      <c r="T972" s="25"/>
      <c r="U972" s="25"/>
      <c r="V972" s="26"/>
      <c r="W972" s="26"/>
      <c r="X972" s="27"/>
    </row>
    <row r="973" spans="19:24">
      <c r="S973" s="25"/>
      <c r="T973" s="25"/>
      <c r="U973" s="25"/>
      <c r="V973" s="26"/>
      <c r="W973" s="26"/>
      <c r="X973" s="27"/>
    </row>
    <row r="974" spans="19:24">
      <c r="S974" s="25"/>
      <c r="T974" s="25"/>
      <c r="U974" s="25"/>
      <c r="V974" s="26"/>
      <c r="W974" s="26"/>
      <c r="X974" s="27"/>
    </row>
    <row r="975" spans="19:24">
      <c r="S975" s="25"/>
      <c r="T975" s="25"/>
      <c r="U975" s="25"/>
      <c r="V975" s="26"/>
      <c r="W975" s="26"/>
      <c r="X975" s="27"/>
    </row>
    <row r="976" spans="19:24">
      <c r="S976" s="25"/>
      <c r="T976" s="25"/>
      <c r="U976" s="25"/>
      <c r="V976" s="26"/>
      <c r="W976" s="26"/>
      <c r="X976" s="27"/>
    </row>
    <row r="977" spans="19:24">
      <c r="S977" s="25"/>
      <c r="T977" s="25"/>
      <c r="U977" s="25"/>
      <c r="V977" s="26"/>
      <c r="W977" s="26"/>
      <c r="X977" s="27"/>
    </row>
    <row r="978" spans="19:24">
      <c r="S978" s="25"/>
      <c r="T978" s="25"/>
      <c r="U978" s="25"/>
      <c r="V978" s="26"/>
      <c r="W978" s="26"/>
      <c r="X978" s="27"/>
    </row>
    <row r="979" spans="19:24">
      <c r="S979" s="25"/>
      <c r="T979" s="25"/>
      <c r="U979" s="25"/>
      <c r="V979" s="26"/>
      <c r="W979" s="26"/>
      <c r="X979" s="27"/>
    </row>
    <row r="980" spans="19:24">
      <c r="S980" s="25"/>
      <c r="T980" s="25"/>
      <c r="U980" s="25"/>
      <c r="V980" s="26"/>
      <c r="W980" s="26"/>
      <c r="X980" s="27"/>
    </row>
    <row r="981" spans="19:24">
      <c r="S981" s="25"/>
      <c r="T981" s="25"/>
      <c r="U981" s="25"/>
      <c r="V981" s="26"/>
      <c r="W981" s="26"/>
      <c r="X981" s="27"/>
    </row>
    <row r="982" spans="19:24">
      <c r="S982" s="25"/>
      <c r="T982" s="25"/>
      <c r="U982" s="25"/>
      <c r="V982" s="26"/>
      <c r="W982" s="26"/>
      <c r="X982" s="27"/>
    </row>
    <row r="983" spans="19:24">
      <c r="S983" s="25"/>
      <c r="T983" s="25"/>
      <c r="U983" s="25"/>
      <c r="V983" s="26"/>
      <c r="W983" s="26"/>
      <c r="X983" s="27"/>
    </row>
    <row r="984" spans="19:24">
      <c r="S984" s="25"/>
      <c r="T984" s="25"/>
      <c r="U984" s="25"/>
      <c r="V984" s="26"/>
      <c r="W984" s="26"/>
      <c r="X984" s="27"/>
    </row>
    <row r="985" spans="19:24">
      <c r="S985" s="25"/>
      <c r="T985" s="25"/>
      <c r="U985" s="25"/>
      <c r="V985" s="26"/>
      <c r="W985" s="26"/>
      <c r="X985" s="27"/>
    </row>
    <row r="986" spans="19:24">
      <c r="S986" s="25"/>
      <c r="T986" s="25"/>
      <c r="U986" s="25"/>
      <c r="V986" s="26"/>
      <c r="W986" s="26"/>
      <c r="X986" s="27"/>
    </row>
    <row r="987" spans="19:24">
      <c r="S987" s="25"/>
      <c r="T987" s="25"/>
      <c r="U987" s="25"/>
      <c r="V987" s="26"/>
      <c r="W987" s="26"/>
      <c r="X987" s="27"/>
    </row>
    <row r="988" spans="19:24">
      <c r="S988" s="25"/>
      <c r="T988" s="25"/>
      <c r="U988" s="25"/>
      <c r="V988" s="26"/>
      <c r="W988" s="26"/>
      <c r="X988" s="27"/>
    </row>
    <row r="989" spans="19:24">
      <c r="S989" s="25"/>
      <c r="T989" s="25"/>
      <c r="U989" s="25"/>
      <c r="V989" s="26"/>
      <c r="W989" s="26"/>
      <c r="X989" s="27"/>
    </row>
    <row r="990" spans="19:24">
      <c r="S990" s="25"/>
      <c r="T990" s="25"/>
      <c r="U990" s="25"/>
      <c r="V990" s="26"/>
      <c r="W990" s="26"/>
      <c r="X990" s="27"/>
    </row>
    <row r="991" spans="19:24">
      <c r="S991" s="25"/>
      <c r="T991" s="25"/>
      <c r="U991" s="25"/>
      <c r="V991" s="26"/>
      <c r="W991" s="26"/>
      <c r="X991" s="27"/>
    </row>
    <row r="992" spans="19:24">
      <c r="S992" s="25"/>
      <c r="T992" s="25"/>
      <c r="U992" s="25"/>
      <c r="V992" s="26"/>
      <c r="W992" s="26"/>
      <c r="X992" s="27"/>
    </row>
    <row r="993" spans="19:24">
      <c r="S993" s="25"/>
      <c r="T993" s="25"/>
      <c r="U993" s="25"/>
      <c r="V993" s="26"/>
      <c r="W993" s="26"/>
      <c r="X993" s="27"/>
    </row>
    <row r="994" spans="19:24">
      <c r="S994" s="25"/>
      <c r="T994" s="25"/>
      <c r="U994" s="25"/>
      <c r="V994" s="26"/>
      <c r="W994" s="26"/>
      <c r="X994" s="27"/>
    </row>
    <row r="995" spans="19:24">
      <c r="S995" s="25"/>
      <c r="T995" s="25"/>
      <c r="U995" s="25"/>
      <c r="V995" s="26"/>
      <c r="W995" s="26"/>
      <c r="X995" s="27"/>
    </row>
    <row r="996" spans="19:24">
      <c r="S996" s="25"/>
      <c r="T996" s="25"/>
      <c r="U996" s="25"/>
      <c r="V996" s="26"/>
      <c r="W996" s="26"/>
      <c r="X996" s="27"/>
    </row>
    <row r="997" spans="19:24">
      <c r="S997" s="25"/>
      <c r="T997" s="25"/>
      <c r="U997" s="25"/>
      <c r="V997" s="26"/>
      <c r="W997" s="26"/>
      <c r="X997" s="27"/>
    </row>
    <row r="998" spans="19:24">
      <c r="S998" s="25"/>
      <c r="T998" s="25"/>
      <c r="U998" s="25"/>
      <c r="V998" s="26"/>
      <c r="W998" s="26"/>
      <c r="X998" s="27"/>
    </row>
    <row r="999" spans="19:24">
      <c r="S999" s="25"/>
      <c r="T999" s="25"/>
      <c r="U999" s="25"/>
      <c r="V999" s="26"/>
      <c r="W999" s="26"/>
      <c r="X999" s="27"/>
    </row>
    <row r="1000" spans="19:24">
      <c r="S1000" s="25"/>
      <c r="T1000" s="25"/>
      <c r="U1000" s="25"/>
      <c r="V1000" s="26"/>
      <c r="W1000" s="26"/>
      <c r="X1000" s="27"/>
    </row>
    <row r="1001" spans="19:24">
      <c r="S1001" s="25"/>
      <c r="T1001" s="25"/>
      <c r="U1001" s="25"/>
      <c r="V1001" s="26"/>
      <c r="W1001" s="26"/>
      <c r="X1001" s="27"/>
    </row>
    <row r="1002" spans="19:24">
      <c r="S1002" s="25"/>
      <c r="T1002" s="25"/>
      <c r="U1002" s="25"/>
      <c r="V1002" s="26"/>
      <c r="W1002" s="26"/>
      <c r="X1002" s="27"/>
    </row>
    <row r="1003" spans="19:24">
      <c r="S1003" s="25"/>
      <c r="T1003" s="25"/>
      <c r="U1003" s="25"/>
      <c r="V1003" s="26"/>
      <c r="W1003" s="26"/>
      <c r="X1003" s="27"/>
    </row>
  </sheetData>
  <sheetProtection algorithmName="SHA-512" hashValue="0bHUCC/GM441+zqfoTfPu72zfvLdAdUI1SzMCAwXEuPImK3GFtnbchObmvMX1MCmJ6hHz5Jz1+qOPWtCO1TUug==" saltValue="i1QJmWkVggzGWUtQj91kuw==" spinCount="100000" sheet="1" objects="1" scenarios="1" selectLockedCells="1"/>
  <mergeCells count="2">
    <mergeCell ref="C1:D1"/>
    <mergeCell ref="P1:Q1"/>
  </mergeCells>
  <phoneticPr fontId="1"/>
  <dataValidations count="2">
    <dataValidation imeMode="hiragana" allowBlank="1" showInputMessage="1" showErrorMessage="1" sqref="C243:D243 B4:D110" xr:uid="{00000000-0002-0000-0000-000000000000}"/>
    <dataValidation imeMode="off" allowBlank="1" showInputMessage="1" showErrorMessage="1" sqref="E4:N110 O4:O146 P4:Q110 R4:R145" xr:uid="{00000000-0002-0000-0000-000001000000}"/>
  </dataValidation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J83"/>
  <sheetViews>
    <sheetView workbookViewId="0">
      <selection activeCell="I18" sqref="I18"/>
    </sheetView>
  </sheetViews>
  <sheetFormatPr defaultColWidth="9" defaultRowHeight="13.5"/>
  <cols>
    <col min="1" max="10" width="10.625" style="12" customWidth="1"/>
    <col min="11" max="16384" width="9" style="12"/>
  </cols>
  <sheetData>
    <row r="1" spans="1:10" ht="28.5">
      <c r="A1" s="60" t="s">
        <v>377</v>
      </c>
      <c r="B1" s="60"/>
      <c r="C1" s="61"/>
      <c r="D1" s="61"/>
      <c r="E1" s="61"/>
      <c r="F1" s="61"/>
      <c r="G1" s="61"/>
      <c r="H1" s="61"/>
      <c r="I1" s="61"/>
      <c r="J1" s="61"/>
    </row>
    <row r="2" spans="1:10" ht="28.5">
      <c r="A2" s="62" t="s">
        <v>378</v>
      </c>
      <c r="B2" s="60"/>
      <c r="C2" s="61"/>
      <c r="D2" s="61"/>
      <c r="E2" s="61"/>
      <c r="F2" s="61"/>
      <c r="G2" s="61"/>
      <c r="H2" s="61"/>
      <c r="I2" s="61"/>
      <c r="J2" s="61"/>
    </row>
    <row r="3" spans="1:10">
      <c r="A3" s="1020">
        <v>2022</v>
      </c>
      <c r="B3" s="1021"/>
      <c r="C3" s="1022">
        <f>A3+1</f>
        <v>2023</v>
      </c>
      <c r="D3" s="1023"/>
      <c r="E3" s="1022">
        <f>C3+1</f>
        <v>2024</v>
      </c>
      <c r="F3" s="1023"/>
      <c r="G3" s="1022">
        <f>E3+1</f>
        <v>2025</v>
      </c>
      <c r="H3" s="1023"/>
      <c r="I3" s="1022">
        <f>G3+1</f>
        <v>2026</v>
      </c>
      <c r="J3" s="1023"/>
    </row>
    <row r="4" spans="1:10">
      <c r="A4" s="63" t="s">
        <v>379</v>
      </c>
      <c r="B4" s="64" t="s">
        <v>380</v>
      </c>
      <c r="C4" s="65" t="str">
        <f>A4</f>
        <v>日付</v>
      </c>
      <c r="D4" s="66" t="str">
        <f>B4</f>
        <v>祝日名</v>
      </c>
      <c r="E4" s="65" t="str">
        <f t="shared" ref="E4:J4" si="0">C4</f>
        <v>日付</v>
      </c>
      <c r="F4" s="66" t="str">
        <f t="shared" si="0"/>
        <v>祝日名</v>
      </c>
      <c r="G4" s="65" t="str">
        <f t="shared" si="0"/>
        <v>日付</v>
      </c>
      <c r="H4" s="66" t="str">
        <f t="shared" si="0"/>
        <v>祝日名</v>
      </c>
      <c r="I4" s="65" t="str">
        <f t="shared" si="0"/>
        <v>日付</v>
      </c>
      <c r="J4" s="66" t="str">
        <f t="shared" si="0"/>
        <v>祝日名</v>
      </c>
    </row>
    <row r="5" spans="1:10">
      <c r="A5" s="67">
        <v>44562</v>
      </c>
      <c r="B5" s="68" t="s">
        <v>381</v>
      </c>
      <c r="C5" s="67">
        <v>44927</v>
      </c>
      <c r="D5" s="68" t="s">
        <v>381</v>
      </c>
      <c r="E5" s="67">
        <v>45292</v>
      </c>
      <c r="F5" s="68" t="s">
        <v>381</v>
      </c>
      <c r="G5" s="67">
        <v>45658</v>
      </c>
      <c r="H5" s="68" t="s">
        <v>381</v>
      </c>
      <c r="I5" s="67"/>
      <c r="J5" s="68"/>
    </row>
    <row r="6" spans="1:10">
      <c r="A6" s="67">
        <v>44571</v>
      </c>
      <c r="B6" s="68" t="s">
        <v>382</v>
      </c>
      <c r="C6" s="67">
        <v>44928</v>
      </c>
      <c r="D6" s="68" t="s">
        <v>531</v>
      </c>
      <c r="E6" s="67">
        <v>45299</v>
      </c>
      <c r="F6" s="68" t="s">
        <v>382</v>
      </c>
      <c r="G6" s="67">
        <v>45670</v>
      </c>
      <c r="H6" s="68" t="s">
        <v>382</v>
      </c>
      <c r="I6" s="67"/>
      <c r="J6" s="68"/>
    </row>
    <row r="7" spans="1:10">
      <c r="A7" s="67">
        <v>44603</v>
      </c>
      <c r="B7" s="68" t="s">
        <v>383</v>
      </c>
      <c r="C7" s="67">
        <v>44935</v>
      </c>
      <c r="D7" s="68" t="s">
        <v>382</v>
      </c>
      <c r="E7" s="67">
        <v>45333</v>
      </c>
      <c r="F7" s="68" t="s">
        <v>383</v>
      </c>
      <c r="G7" s="67">
        <v>45699</v>
      </c>
      <c r="H7" s="68" t="s">
        <v>383</v>
      </c>
      <c r="I7" s="67"/>
      <c r="J7" s="68"/>
    </row>
    <row r="8" spans="1:10">
      <c r="A8" s="67">
        <v>44615</v>
      </c>
      <c r="B8" s="68" t="s">
        <v>385</v>
      </c>
      <c r="C8" s="67">
        <v>44968</v>
      </c>
      <c r="D8" s="68" t="s">
        <v>383</v>
      </c>
      <c r="E8" s="67">
        <v>45334</v>
      </c>
      <c r="F8" s="68" t="s">
        <v>532</v>
      </c>
      <c r="G8" s="67">
        <v>45711</v>
      </c>
      <c r="H8" s="68" t="s">
        <v>385</v>
      </c>
      <c r="I8" s="67"/>
      <c r="J8" s="68"/>
    </row>
    <row r="9" spans="1:10">
      <c r="A9" s="67">
        <v>44641</v>
      </c>
      <c r="B9" s="68" t="s">
        <v>384</v>
      </c>
      <c r="C9" s="67">
        <v>44980</v>
      </c>
      <c r="D9" s="68" t="s">
        <v>385</v>
      </c>
      <c r="E9" s="67">
        <v>45345</v>
      </c>
      <c r="F9" s="68" t="s">
        <v>385</v>
      </c>
      <c r="G9" s="67">
        <v>45712</v>
      </c>
      <c r="H9" s="68" t="s">
        <v>533</v>
      </c>
      <c r="I9" s="67"/>
      <c r="J9" s="68"/>
    </row>
    <row r="10" spans="1:10">
      <c r="A10" s="67">
        <v>44680</v>
      </c>
      <c r="B10" s="68" t="s">
        <v>386</v>
      </c>
      <c r="C10" s="67">
        <v>45006</v>
      </c>
      <c r="D10" s="68" t="s">
        <v>384</v>
      </c>
      <c r="E10" s="67">
        <v>45371</v>
      </c>
      <c r="F10" s="68" t="s">
        <v>384</v>
      </c>
      <c r="G10" s="67">
        <v>45736</v>
      </c>
      <c r="H10" s="68" t="s">
        <v>384</v>
      </c>
      <c r="I10" s="67"/>
      <c r="J10" s="68"/>
    </row>
    <row r="11" spans="1:10">
      <c r="A11" s="67">
        <v>44684</v>
      </c>
      <c r="B11" s="68" t="s">
        <v>387</v>
      </c>
      <c r="C11" s="67">
        <v>45045</v>
      </c>
      <c r="D11" s="68" t="s">
        <v>386</v>
      </c>
      <c r="E11" s="67">
        <v>45411</v>
      </c>
      <c r="F11" s="68" t="s">
        <v>386</v>
      </c>
      <c r="G11" s="67">
        <v>45776</v>
      </c>
      <c r="H11" s="68" t="s">
        <v>386</v>
      </c>
      <c r="I11" s="67"/>
      <c r="J11" s="68"/>
    </row>
    <row r="12" spans="1:10">
      <c r="A12" s="67">
        <v>44685</v>
      </c>
      <c r="B12" s="68" t="s">
        <v>388</v>
      </c>
      <c r="C12" s="67">
        <v>45049</v>
      </c>
      <c r="D12" s="68" t="s">
        <v>387</v>
      </c>
      <c r="E12" s="67">
        <v>45415</v>
      </c>
      <c r="F12" s="68" t="s">
        <v>387</v>
      </c>
      <c r="G12" s="67">
        <v>45780</v>
      </c>
      <c r="H12" s="68" t="s">
        <v>387</v>
      </c>
      <c r="I12" s="67"/>
      <c r="J12" s="68"/>
    </row>
    <row r="13" spans="1:10">
      <c r="A13" s="67">
        <v>44686</v>
      </c>
      <c r="B13" s="68" t="s">
        <v>389</v>
      </c>
      <c r="C13" s="67">
        <v>45050</v>
      </c>
      <c r="D13" s="68" t="s">
        <v>388</v>
      </c>
      <c r="E13" s="67">
        <v>45416</v>
      </c>
      <c r="F13" s="68" t="s">
        <v>388</v>
      </c>
      <c r="G13" s="67">
        <v>45781</v>
      </c>
      <c r="H13" s="68" t="s">
        <v>388</v>
      </c>
      <c r="I13" s="67"/>
      <c r="J13" s="68"/>
    </row>
    <row r="14" spans="1:10">
      <c r="A14" s="67">
        <v>44760</v>
      </c>
      <c r="B14" s="68" t="s">
        <v>390</v>
      </c>
      <c r="C14" s="67">
        <v>45051</v>
      </c>
      <c r="D14" s="68" t="s">
        <v>389</v>
      </c>
      <c r="E14" s="67">
        <v>45417</v>
      </c>
      <c r="F14" s="68" t="s">
        <v>389</v>
      </c>
      <c r="G14" s="67">
        <v>45782</v>
      </c>
      <c r="H14" s="68" t="s">
        <v>389</v>
      </c>
      <c r="I14" s="67"/>
      <c r="J14" s="68"/>
    </row>
    <row r="15" spans="1:10">
      <c r="A15" s="67">
        <v>44784</v>
      </c>
      <c r="B15" s="68" t="s">
        <v>391</v>
      </c>
      <c r="C15" s="67">
        <v>45124</v>
      </c>
      <c r="D15" s="68" t="s">
        <v>390</v>
      </c>
      <c r="E15" s="67">
        <v>45418</v>
      </c>
      <c r="F15" s="68" t="s">
        <v>534</v>
      </c>
      <c r="G15" s="67">
        <v>45783</v>
      </c>
      <c r="H15" s="68" t="s">
        <v>535</v>
      </c>
      <c r="I15" s="67"/>
      <c r="J15" s="68"/>
    </row>
    <row r="16" spans="1:10">
      <c r="A16" s="67">
        <v>44823</v>
      </c>
      <c r="B16" s="68" t="s">
        <v>536</v>
      </c>
      <c r="C16" s="67">
        <v>45149</v>
      </c>
      <c r="D16" s="68" t="s">
        <v>391</v>
      </c>
      <c r="E16" s="67">
        <v>45488</v>
      </c>
      <c r="F16" s="68" t="s">
        <v>537</v>
      </c>
      <c r="G16" s="67">
        <v>45859</v>
      </c>
      <c r="H16" s="68" t="s">
        <v>537</v>
      </c>
      <c r="I16" s="67"/>
      <c r="J16" s="68"/>
    </row>
    <row r="17" spans="1:10">
      <c r="A17" s="67">
        <v>44827</v>
      </c>
      <c r="B17" s="68" t="s">
        <v>394</v>
      </c>
      <c r="C17" s="67">
        <v>45187</v>
      </c>
      <c r="D17" s="68" t="s">
        <v>392</v>
      </c>
      <c r="E17" s="67">
        <v>45515</v>
      </c>
      <c r="F17" s="68" t="s">
        <v>538</v>
      </c>
      <c r="G17" s="67">
        <v>45880</v>
      </c>
      <c r="H17" s="68" t="s">
        <v>538</v>
      </c>
      <c r="I17" s="67"/>
      <c r="J17" s="68"/>
    </row>
    <row r="18" spans="1:10">
      <c r="A18" s="67">
        <v>44844</v>
      </c>
      <c r="B18" s="68" t="s">
        <v>393</v>
      </c>
      <c r="C18" s="67">
        <v>45192</v>
      </c>
      <c r="D18" s="68" t="s">
        <v>394</v>
      </c>
      <c r="E18" s="67">
        <v>45516</v>
      </c>
      <c r="F18" s="68" t="s">
        <v>539</v>
      </c>
      <c r="G18" s="67">
        <v>45915</v>
      </c>
      <c r="H18" s="68" t="s">
        <v>536</v>
      </c>
      <c r="I18" s="67"/>
      <c r="J18" s="68"/>
    </row>
    <row r="19" spans="1:10">
      <c r="A19" s="67">
        <v>44868</v>
      </c>
      <c r="B19" s="68" t="s">
        <v>395</v>
      </c>
      <c r="C19" s="67">
        <v>45208</v>
      </c>
      <c r="D19" s="68" t="s">
        <v>393</v>
      </c>
      <c r="E19" s="67">
        <v>45551</v>
      </c>
      <c r="F19" s="68" t="s">
        <v>536</v>
      </c>
      <c r="G19" s="67">
        <v>45923</v>
      </c>
      <c r="H19" s="68" t="s">
        <v>540</v>
      </c>
      <c r="I19" s="67"/>
      <c r="J19" s="68"/>
    </row>
    <row r="20" spans="1:10">
      <c r="A20" s="67">
        <v>44888</v>
      </c>
      <c r="B20" s="68" t="s">
        <v>396</v>
      </c>
      <c r="C20" s="67">
        <v>45233</v>
      </c>
      <c r="D20" s="68" t="s">
        <v>395</v>
      </c>
      <c r="E20" s="67">
        <v>45557</v>
      </c>
      <c r="F20" s="68" t="s">
        <v>540</v>
      </c>
      <c r="G20" s="67">
        <v>45943</v>
      </c>
      <c r="H20" s="68" t="s">
        <v>393</v>
      </c>
      <c r="I20" s="67"/>
      <c r="J20" s="68"/>
    </row>
    <row r="21" spans="1:10">
      <c r="A21" s="916">
        <v>44926</v>
      </c>
      <c r="B21" s="917" t="s">
        <v>978</v>
      </c>
      <c r="C21" s="67">
        <v>45253</v>
      </c>
      <c r="D21" s="68" t="s">
        <v>396</v>
      </c>
      <c r="E21" s="67">
        <v>45558</v>
      </c>
      <c r="F21" s="68" t="s">
        <v>541</v>
      </c>
      <c r="G21" s="67">
        <v>45964</v>
      </c>
      <c r="H21" s="68" t="s">
        <v>395</v>
      </c>
      <c r="I21" s="67"/>
      <c r="J21" s="68"/>
    </row>
    <row r="22" spans="1:10">
      <c r="A22" s="67"/>
      <c r="B22" s="68"/>
      <c r="C22" s="916">
        <v>45290</v>
      </c>
      <c r="D22" s="917" t="s">
        <v>978</v>
      </c>
      <c r="E22" s="67">
        <v>45579</v>
      </c>
      <c r="F22" s="68" t="s">
        <v>542</v>
      </c>
      <c r="G22" s="67">
        <v>45984</v>
      </c>
      <c r="H22" s="68" t="s">
        <v>396</v>
      </c>
      <c r="I22" s="67"/>
      <c r="J22" s="68"/>
    </row>
    <row r="23" spans="1:10">
      <c r="A23" s="67"/>
      <c r="B23" s="68"/>
      <c r="C23" s="67"/>
      <c r="D23" s="68"/>
      <c r="E23" s="67">
        <v>45599</v>
      </c>
      <c r="F23" s="68" t="s">
        <v>543</v>
      </c>
      <c r="G23" s="67">
        <v>45985</v>
      </c>
      <c r="H23" s="68" t="s">
        <v>544</v>
      </c>
      <c r="I23" s="67"/>
      <c r="J23" s="68"/>
    </row>
    <row r="24" spans="1:10">
      <c r="A24" s="67"/>
      <c r="B24" s="68"/>
      <c r="C24" s="67"/>
      <c r="D24" s="68"/>
      <c r="E24" s="67">
        <v>45600</v>
      </c>
      <c r="F24" s="68" t="s">
        <v>545</v>
      </c>
      <c r="G24" s="67"/>
      <c r="H24" s="68"/>
      <c r="I24" s="67"/>
      <c r="J24" s="68"/>
    </row>
    <row r="25" spans="1:10">
      <c r="A25" s="67"/>
      <c r="B25" s="68"/>
      <c r="C25" s="67"/>
      <c r="D25" s="68"/>
      <c r="E25" s="67">
        <v>45619</v>
      </c>
      <c r="F25" s="68" t="s">
        <v>546</v>
      </c>
      <c r="G25" s="67"/>
      <c r="H25" s="68"/>
      <c r="I25" s="67"/>
      <c r="J25" s="68"/>
    </row>
    <row r="26" spans="1:10">
      <c r="A26" s="67"/>
      <c r="B26" s="68"/>
      <c r="C26" s="67"/>
      <c r="D26" s="68"/>
      <c r="E26" s="67"/>
      <c r="F26" s="68"/>
      <c r="G26" s="67"/>
      <c r="H26" s="68"/>
      <c r="I26" s="67"/>
      <c r="J26" s="68"/>
    </row>
    <row r="27" spans="1:10">
      <c r="A27" s="67"/>
      <c r="B27" s="68"/>
      <c r="C27" s="67"/>
      <c r="D27" s="68"/>
      <c r="E27" s="67"/>
      <c r="F27" s="68"/>
      <c r="G27" s="67"/>
      <c r="H27" s="68"/>
      <c r="I27" s="67"/>
      <c r="J27" s="68"/>
    </row>
    <row r="28" spans="1:10">
      <c r="A28" s="67"/>
      <c r="B28" s="68"/>
      <c r="C28" s="67"/>
      <c r="D28" s="68"/>
      <c r="E28" s="67"/>
      <c r="F28" s="68"/>
      <c r="G28" s="67"/>
      <c r="H28" s="68"/>
      <c r="I28" s="67"/>
      <c r="J28" s="68"/>
    </row>
    <row r="29" spans="1:10">
      <c r="A29" s="67"/>
      <c r="B29" s="68"/>
      <c r="C29" s="67"/>
      <c r="D29" s="68"/>
      <c r="E29" s="67"/>
      <c r="F29" s="68"/>
      <c r="G29" s="67"/>
      <c r="H29" s="68"/>
      <c r="I29" s="67"/>
      <c r="J29" s="68"/>
    </row>
    <row r="30" spans="1:10">
      <c r="A30" s="67"/>
      <c r="B30" s="68"/>
      <c r="C30" s="67"/>
      <c r="D30" s="68"/>
      <c r="E30" s="67"/>
      <c r="F30" s="68"/>
      <c r="G30" s="67"/>
      <c r="H30" s="68"/>
      <c r="I30" s="67"/>
      <c r="J30" s="68"/>
    </row>
    <row r="31" spans="1:10">
      <c r="A31" s="67"/>
      <c r="B31" s="68"/>
      <c r="C31" s="67"/>
      <c r="D31" s="68"/>
      <c r="E31" s="67"/>
      <c r="F31" s="68"/>
      <c r="G31" s="67"/>
      <c r="H31" s="68"/>
      <c r="I31" s="67"/>
      <c r="J31" s="68"/>
    </row>
    <row r="32" spans="1:10">
      <c r="A32" s="67"/>
      <c r="B32" s="68"/>
      <c r="C32" s="67"/>
      <c r="D32" s="68"/>
      <c r="E32" s="67"/>
      <c r="F32" s="68"/>
      <c r="G32" s="67"/>
      <c r="H32" s="68"/>
      <c r="I32" s="67"/>
      <c r="J32" s="68"/>
    </row>
    <row r="34" spans="3:3">
      <c r="C34" s="69"/>
    </row>
    <row r="35" spans="3:3">
      <c r="C35" s="69"/>
    </row>
    <row r="36" spans="3:3">
      <c r="C36" s="69"/>
    </row>
    <row r="37" spans="3:3">
      <c r="C37" s="69"/>
    </row>
    <row r="38" spans="3:3">
      <c r="C38" s="69"/>
    </row>
    <row r="39" spans="3:3">
      <c r="C39" s="69"/>
    </row>
    <row r="40" spans="3:3">
      <c r="C40" s="69"/>
    </row>
    <row r="41" spans="3:3">
      <c r="C41" s="69"/>
    </row>
    <row r="42" spans="3:3">
      <c r="C42" s="69"/>
    </row>
    <row r="43" spans="3:3">
      <c r="C43" s="69"/>
    </row>
    <row r="44" spans="3:3">
      <c r="C44" s="69"/>
    </row>
    <row r="45" spans="3:3">
      <c r="C45" s="69"/>
    </row>
    <row r="46" spans="3:3">
      <c r="C46" s="69"/>
    </row>
    <row r="47" spans="3:3">
      <c r="C47" s="69"/>
    </row>
    <row r="48" spans="3:3">
      <c r="C48" s="69"/>
    </row>
    <row r="49" spans="3:3">
      <c r="C49" s="69"/>
    </row>
    <row r="50" spans="3:3">
      <c r="C50" s="69"/>
    </row>
    <row r="51" spans="3:3">
      <c r="C51" s="69"/>
    </row>
    <row r="52" spans="3:3">
      <c r="C52" s="69"/>
    </row>
    <row r="53" spans="3:3">
      <c r="C53" s="69"/>
    </row>
    <row r="54" spans="3:3">
      <c r="C54" s="69"/>
    </row>
    <row r="55" spans="3:3">
      <c r="C55" s="69"/>
    </row>
    <row r="56" spans="3:3">
      <c r="C56" s="69"/>
    </row>
    <row r="57" spans="3:3">
      <c r="C57" s="69"/>
    </row>
    <row r="58" spans="3:3">
      <c r="C58" s="69"/>
    </row>
    <row r="59" spans="3:3">
      <c r="C59" s="69"/>
    </row>
    <row r="60" spans="3:3">
      <c r="C60" s="69"/>
    </row>
    <row r="61" spans="3:3">
      <c r="C61" s="69"/>
    </row>
    <row r="62" spans="3:3">
      <c r="C62" s="69"/>
    </row>
    <row r="63" spans="3:3">
      <c r="C63" s="69"/>
    </row>
    <row r="64" spans="3:3">
      <c r="C64" s="69"/>
    </row>
    <row r="65" spans="3:3">
      <c r="C65" s="69"/>
    </row>
    <row r="66" spans="3:3">
      <c r="C66" s="69"/>
    </row>
    <row r="67" spans="3:3">
      <c r="C67" s="69"/>
    </row>
    <row r="68" spans="3:3">
      <c r="C68" s="69"/>
    </row>
    <row r="69" spans="3:3">
      <c r="C69" s="69"/>
    </row>
    <row r="70" spans="3:3">
      <c r="C70" s="69"/>
    </row>
    <row r="71" spans="3:3">
      <c r="C71" s="69"/>
    </row>
    <row r="72" spans="3:3">
      <c r="C72" s="69"/>
    </row>
    <row r="73" spans="3:3">
      <c r="C73" s="69"/>
    </row>
    <row r="74" spans="3:3">
      <c r="C74" s="69"/>
    </row>
    <row r="75" spans="3:3">
      <c r="C75" s="69"/>
    </row>
    <row r="76" spans="3:3">
      <c r="C76" s="69"/>
    </row>
    <row r="77" spans="3:3">
      <c r="C77" s="69"/>
    </row>
    <row r="78" spans="3:3">
      <c r="C78" s="69"/>
    </row>
    <row r="79" spans="3:3">
      <c r="C79" s="69"/>
    </row>
    <row r="80" spans="3:3">
      <c r="C80" s="69"/>
    </row>
    <row r="81" spans="3:3">
      <c r="C81" s="69"/>
    </row>
    <row r="82" spans="3:3">
      <c r="C82" s="69"/>
    </row>
    <row r="83" spans="3:3">
      <c r="C83" s="69"/>
    </row>
  </sheetData>
  <sheetProtection algorithmName="SHA-512" hashValue="oi6ZqNxrprQfKRulvjc5IyNnPl2qZ+3W2c6zMUmUFSSJ3NSN8YJ30UOzVezeQJXCjAaXF+QO7Cro5O+I2EYo6w==" saltValue="x/QEwD8SYmqYPcqOW84L9A==" spinCount="100000" sheet="1" objects="1" scenarios="1" selectLockedCells="1"/>
  <mergeCells count="5">
    <mergeCell ref="A3:B3"/>
    <mergeCell ref="C3:D3"/>
    <mergeCell ref="E3:F3"/>
    <mergeCell ref="G3:H3"/>
    <mergeCell ref="I3:J3"/>
  </mergeCells>
  <phoneticPr fontId="1"/>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1"/>
    <pageSetUpPr fitToPage="1"/>
  </sheetPr>
  <dimension ref="B1:G47"/>
  <sheetViews>
    <sheetView showGridLines="0" tabSelected="1" view="pageBreakPreview" zoomScale="85" zoomScaleNormal="100" zoomScaleSheetLayoutView="85" workbookViewId="0">
      <selection activeCell="B4" sqref="B4"/>
    </sheetView>
  </sheetViews>
  <sheetFormatPr defaultRowHeight="24" customHeight="1"/>
  <cols>
    <col min="1" max="1" width="3.25" style="926" customWidth="1"/>
    <col min="2" max="2" width="18.375" style="926" customWidth="1"/>
    <col min="3" max="3" width="69.5" style="936" customWidth="1"/>
    <col min="4" max="4" width="48.375" style="926" customWidth="1"/>
    <col min="5" max="5" width="11.875" style="926" customWidth="1"/>
    <col min="6" max="6" width="17.125" style="926" customWidth="1"/>
    <col min="7" max="7" width="68.125" style="926" customWidth="1"/>
    <col min="8" max="12" width="17.125" style="926" customWidth="1"/>
    <col min="13" max="247" width="9" style="926"/>
    <col min="248" max="248" width="30.5" style="926" customWidth="1"/>
    <col min="249" max="249" width="43.75" style="926" customWidth="1"/>
    <col min="250" max="252" width="9" style="926"/>
    <col min="253" max="253" width="21.875" style="926" customWidth="1"/>
    <col min="254" max="255" width="9" style="926"/>
    <col min="256" max="257" width="9" style="926" customWidth="1"/>
    <col min="258" max="503" width="9" style="926"/>
    <col min="504" max="504" width="30.5" style="926" customWidth="1"/>
    <col min="505" max="505" width="43.75" style="926" customWidth="1"/>
    <col min="506" max="508" width="9" style="926"/>
    <col min="509" max="509" width="21.875" style="926" customWidth="1"/>
    <col min="510" max="511" width="9" style="926"/>
    <col min="512" max="513" width="9" style="926" customWidth="1"/>
    <col min="514" max="759" width="9" style="926"/>
    <col min="760" max="760" width="30.5" style="926" customWidth="1"/>
    <col min="761" max="761" width="43.75" style="926" customWidth="1"/>
    <col min="762" max="764" width="9" style="926"/>
    <col min="765" max="765" width="21.875" style="926" customWidth="1"/>
    <col min="766" max="767" width="9" style="926"/>
    <col min="768" max="769" width="9" style="926" customWidth="1"/>
    <col min="770" max="1015" width="9" style="926"/>
    <col min="1016" max="1016" width="30.5" style="926" customWidth="1"/>
    <col min="1017" max="1017" width="43.75" style="926" customWidth="1"/>
    <col min="1018" max="1020" width="9" style="926"/>
    <col min="1021" max="1021" width="21.875" style="926" customWidth="1"/>
    <col min="1022" max="1023" width="9" style="926"/>
    <col min="1024" max="1025" width="9" style="926" customWidth="1"/>
    <col min="1026" max="1271" width="9" style="926"/>
    <col min="1272" max="1272" width="30.5" style="926" customWidth="1"/>
    <col min="1273" max="1273" width="43.75" style="926" customWidth="1"/>
    <col min="1274" max="1276" width="9" style="926"/>
    <col min="1277" max="1277" width="21.875" style="926" customWidth="1"/>
    <col min="1278" max="1279" width="9" style="926"/>
    <col min="1280" max="1281" width="9" style="926" customWidth="1"/>
    <col min="1282" max="1527" width="9" style="926"/>
    <col min="1528" max="1528" width="30.5" style="926" customWidth="1"/>
    <col min="1529" max="1529" width="43.75" style="926" customWidth="1"/>
    <col min="1530" max="1532" width="9" style="926"/>
    <col min="1533" max="1533" width="21.875" style="926" customWidth="1"/>
    <col min="1534" max="1535" width="9" style="926"/>
    <col min="1536" max="1537" width="9" style="926" customWidth="1"/>
    <col min="1538" max="1783" width="9" style="926"/>
    <col min="1784" max="1784" width="30.5" style="926" customWidth="1"/>
    <col min="1785" max="1785" width="43.75" style="926" customWidth="1"/>
    <col min="1786" max="1788" width="9" style="926"/>
    <col min="1789" max="1789" width="21.875" style="926" customWidth="1"/>
    <col min="1790" max="1791" width="9" style="926"/>
    <col min="1792" max="1793" width="9" style="926" customWidth="1"/>
    <col min="1794" max="2039" width="9" style="926"/>
    <col min="2040" max="2040" width="30.5" style="926" customWidth="1"/>
    <col min="2041" max="2041" width="43.75" style="926" customWidth="1"/>
    <col min="2042" max="2044" width="9" style="926"/>
    <col min="2045" max="2045" width="21.875" style="926" customWidth="1"/>
    <col min="2046" max="2047" width="9" style="926"/>
    <col min="2048" max="2049" width="9" style="926" customWidth="1"/>
    <col min="2050" max="2295" width="9" style="926"/>
    <col min="2296" max="2296" width="30.5" style="926" customWidth="1"/>
    <col min="2297" max="2297" width="43.75" style="926" customWidth="1"/>
    <col min="2298" max="2300" width="9" style="926"/>
    <col min="2301" max="2301" width="21.875" style="926" customWidth="1"/>
    <col min="2302" max="2303" width="9" style="926"/>
    <col min="2304" max="2305" width="9" style="926" customWidth="1"/>
    <col min="2306" max="2551" width="9" style="926"/>
    <col min="2552" max="2552" width="30.5" style="926" customWidth="1"/>
    <col min="2553" max="2553" width="43.75" style="926" customWidth="1"/>
    <col min="2554" max="2556" width="9" style="926"/>
    <col min="2557" max="2557" width="21.875" style="926" customWidth="1"/>
    <col min="2558" max="2559" width="9" style="926"/>
    <col min="2560" max="2561" width="9" style="926" customWidth="1"/>
    <col min="2562" max="2807" width="9" style="926"/>
    <col min="2808" max="2808" width="30.5" style="926" customWidth="1"/>
    <col min="2809" max="2809" width="43.75" style="926" customWidth="1"/>
    <col min="2810" max="2812" width="9" style="926"/>
    <col min="2813" max="2813" width="21.875" style="926" customWidth="1"/>
    <col min="2814" max="2815" width="9" style="926"/>
    <col min="2816" max="2817" width="9" style="926" customWidth="1"/>
    <col min="2818" max="3063" width="9" style="926"/>
    <col min="3064" max="3064" width="30.5" style="926" customWidth="1"/>
    <col min="3065" max="3065" width="43.75" style="926" customWidth="1"/>
    <col min="3066" max="3068" width="9" style="926"/>
    <col min="3069" max="3069" width="21.875" style="926" customWidth="1"/>
    <col min="3070" max="3071" width="9" style="926"/>
    <col min="3072" max="3073" width="9" style="926" customWidth="1"/>
    <col min="3074" max="3319" width="9" style="926"/>
    <col min="3320" max="3320" width="30.5" style="926" customWidth="1"/>
    <col min="3321" max="3321" width="43.75" style="926" customWidth="1"/>
    <col min="3322" max="3324" width="9" style="926"/>
    <col min="3325" max="3325" width="21.875" style="926" customWidth="1"/>
    <col min="3326" max="3327" width="9" style="926"/>
    <col min="3328" max="3329" width="9" style="926" customWidth="1"/>
    <col min="3330" max="3575" width="9" style="926"/>
    <col min="3576" max="3576" width="30.5" style="926" customWidth="1"/>
    <col min="3577" max="3577" width="43.75" style="926" customWidth="1"/>
    <col min="3578" max="3580" width="9" style="926"/>
    <col min="3581" max="3581" width="21.875" style="926" customWidth="1"/>
    <col min="3582" max="3583" width="9" style="926"/>
    <col min="3584" max="3585" width="9" style="926" customWidth="1"/>
    <col min="3586" max="3831" width="9" style="926"/>
    <col min="3832" max="3832" width="30.5" style="926" customWidth="1"/>
    <col min="3833" max="3833" width="43.75" style="926" customWidth="1"/>
    <col min="3834" max="3836" width="9" style="926"/>
    <col min="3837" max="3837" width="21.875" style="926" customWidth="1"/>
    <col min="3838" max="3839" width="9" style="926"/>
    <col min="3840" max="3841" width="9" style="926" customWidth="1"/>
    <col min="3842" max="4087" width="9" style="926"/>
    <col min="4088" max="4088" width="30.5" style="926" customWidth="1"/>
    <col min="4089" max="4089" width="43.75" style="926" customWidth="1"/>
    <col min="4090" max="4092" width="9" style="926"/>
    <col min="4093" max="4093" width="21.875" style="926" customWidth="1"/>
    <col min="4094" max="4095" width="9" style="926"/>
    <col min="4096" max="4097" width="9" style="926" customWidth="1"/>
    <col min="4098" max="4343" width="9" style="926"/>
    <col min="4344" max="4344" width="30.5" style="926" customWidth="1"/>
    <col min="4345" max="4345" width="43.75" style="926" customWidth="1"/>
    <col min="4346" max="4348" width="9" style="926"/>
    <col min="4349" max="4349" width="21.875" style="926" customWidth="1"/>
    <col min="4350" max="4351" width="9" style="926"/>
    <col min="4352" max="4353" width="9" style="926" customWidth="1"/>
    <col min="4354" max="4599" width="9" style="926"/>
    <col min="4600" max="4600" width="30.5" style="926" customWidth="1"/>
    <col min="4601" max="4601" width="43.75" style="926" customWidth="1"/>
    <col min="4602" max="4604" width="9" style="926"/>
    <col min="4605" max="4605" width="21.875" style="926" customWidth="1"/>
    <col min="4606" max="4607" width="9" style="926"/>
    <col min="4608" max="4609" width="9" style="926" customWidth="1"/>
    <col min="4610" max="4855" width="9" style="926"/>
    <col min="4856" max="4856" width="30.5" style="926" customWidth="1"/>
    <col min="4857" max="4857" width="43.75" style="926" customWidth="1"/>
    <col min="4858" max="4860" width="9" style="926"/>
    <col min="4861" max="4861" width="21.875" style="926" customWidth="1"/>
    <col min="4862" max="4863" width="9" style="926"/>
    <col min="4864" max="4865" width="9" style="926" customWidth="1"/>
    <col min="4866" max="5111" width="9" style="926"/>
    <col min="5112" max="5112" width="30.5" style="926" customWidth="1"/>
    <col min="5113" max="5113" width="43.75" style="926" customWidth="1"/>
    <col min="5114" max="5116" width="9" style="926"/>
    <col min="5117" max="5117" width="21.875" style="926" customWidth="1"/>
    <col min="5118" max="5119" width="9" style="926"/>
    <col min="5120" max="5121" width="9" style="926" customWidth="1"/>
    <col min="5122" max="5367" width="9" style="926"/>
    <col min="5368" max="5368" width="30.5" style="926" customWidth="1"/>
    <col min="5369" max="5369" width="43.75" style="926" customWidth="1"/>
    <col min="5370" max="5372" width="9" style="926"/>
    <col min="5373" max="5373" width="21.875" style="926" customWidth="1"/>
    <col min="5374" max="5375" width="9" style="926"/>
    <col min="5376" max="5377" width="9" style="926" customWidth="1"/>
    <col min="5378" max="5623" width="9" style="926"/>
    <col min="5624" max="5624" width="30.5" style="926" customWidth="1"/>
    <col min="5625" max="5625" width="43.75" style="926" customWidth="1"/>
    <col min="5626" max="5628" width="9" style="926"/>
    <col min="5629" max="5629" width="21.875" style="926" customWidth="1"/>
    <col min="5630" max="5631" width="9" style="926"/>
    <col min="5632" max="5633" width="9" style="926" customWidth="1"/>
    <col min="5634" max="5879" width="9" style="926"/>
    <col min="5880" max="5880" width="30.5" style="926" customWidth="1"/>
    <col min="5881" max="5881" width="43.75" style="926" customWidth="1"/>
    <col min="5882" max="5884" width="9" style="926"/>
    <col min="5885" max="5885" width="21.875" style="926" customWidth="1"/>
    <col min="5886" max="5887" width="9" style="926"/>
    <col min="5888" max="5889" width="9" style="926" customWidth="1"/>
    <col min="5890" max="6135" width="9" style="926"/>
    <col min="6136" max="6136" width="30.5" style="926" customWidth="1"/>
    <col min="6137" max="6137" width="43.75" style="926" customWidth="1"/>
    <col min="6138" max="6140" width="9" style="926"/>
    <col min="6141" max="6141" width="21.875" style="926" customWidth="1"/>
    <col min="6142" max="6143" width="9" style="926"/>
    <col min="6144" max="6145" width="9" style="926" customWidth="1"/>
    <col min="6146" max="6391" width="9" style="926"/>
    <col min="6392" max="6392" width="30.5" style="926" customWidth="1"/>
    <col min="6393" max="6393" width="43.75" style="926" customWidth="1"/>
    <col min="6394" max="6396" width="9" style="926"/>
    <col min="6397" max="6397" width="21.875" style="926" customWidth="1"/>
    <col min="6398" max="6399" width="9" style="926"/>
    <col min="6400" max="6401" width="9" style="926" customWidth="1"/>
    <col min="6402" max="6647" width="9" style="926"/>
    <col min="6648" max="6648" width="30.5" style="926" customWidth="1"/>
    <col min="6649" max="6649" width="43.75" style="926" customWidth="1"/>
    <col min="6650" max="6652" width="9" style="926"/>
    <col min="6653" max="6653" width="21.875" style="926" customWidth="1"/>
    <col min="6654" max="6655" width="9" style="926"/>
    <col min="6656" max="6657" width="9" style="926" customWidth="1"/>
    <col min="6658" max="6903" width="9" style="926"/>
    <col min="6904" max="6904" width="30.5" style="926" customWidth="1"/>
    <col min="6905" max="6905" width="43.75" style="926" customWidth="1"/>
    <col min="6906" max="6908" width="9" style="926"/>
    <col min="6909" max="6909" width="21.875" style="926" customWidth="1"/>
    <col min="6910" max="6911" width="9" style="926"/>
    <col min="6912" max="6913" width="9" style="926" customWidth="1"/>
    <col min="6914" max="7159" width="9" style="926"/>
    <col min="7160" max="7160" width="30.5" style="926" customWidth="1"/>
    <col min="7161" max="7161" width="43.75" style="926" customWidth="1"/>
    <col min="7162" max="7164" width="9" style="926"/>
    <col min="7165" max="7165" width="21.875" style="926" customWidth="1"/>
    <col min="7166" max="7167" width="9" style="926"/>
    <col min="7168" max="7169" width="9" style="926" customWidth="1"/>
    <col min="7170" max="7415" width="9" style="926"/>
    <col min="7416" max="7416" width="30.5" style="926" customWidth="1"/>
    <col min="7417" max="7417" width="43.75" style="926" customWidth="1"/>
    <col min="7418" max="7420" width="9" style="926"/>
    <col min="7421" max="7421" width="21.875" style="926" customWidth="1"/>
    <col min="7422" max="7423" width="9" style="926"/>
    <col min="7424" max="7425" width="9" style="926" customWidth="1"/>
    <col min="7426" max="7671" width="9" style="926"/>
    <col min="7672" max="7672" width="30.5" style="926" customWidth="1"/>
    <col min="7673" max="7673" width="43.75" style="926" customWidth="1"/>
    <col min="7674" max="7676" width="9" style="926"/>
    <col min="7677" max="7677" width="21.875" style="926" customWidth="1"/>
    <col min="7678" max="7679" width="9" style="926"/>
    <col min="7680" max="7681" width="9" style="926" customWidth="1"/>
    <col min="7682" max="7927" width="9" style="926"/>
    <col min="7928" max="7928" width="30.5" style="926" customWidth="1"/>
    <col min="7929" max="7929" width="43.75" style="926" customWidth="1"/>
    <col min="7930" max="7932" width="9" style="926"/>
    <col min="7933" max="7933" width="21.875" style="926" customWidth="1"/>
    <col min="7934" max="7935" width="9" style="926"/>
    <col min="7936" max="7937" width="9" style="926" customWidth="1"/>
    <col min="7938" max="8183" width="9" style="926"/>
    <col min="8184" max="8184" width="30.5" style="926" customWidth="1"/>
    <col min="8185" max="8185" width="43.75" style="926" customWidth="1"/>
    <col min="8186" max="8188" width="9" style="926"/>
    <col min="8189" max="8189" width="21.875" style="926" customWidth="1"/>
    <col min="8190" max="8191" width="9" style="926"/>
    <col min="8192" max="8193" width="9" style="926" customWidth="1"/>
    <col min="8194" max="8439" width="9" style="926"/>
    <col min="8440" max="8440" width="30.5" style="926" customWidth="1"/>
    <col min="8441" max="8441" width="43.75" style="926" customWidth="1"/>
    <col min="8442" max="8444" width="9" style="926"/>
    <col min="8445" max="8445" width="21.875" style="926" customWidth="1"/>
    <col min="8446" max="8447" width="9" style="926"/>
    <col min="8448" max="8449" width="9" style="926" customWidth="1"/>
    <col min="8450" max="8695" width="9" style="926"/>
    <col min="8696" max="8696" width="30.5" style="926" customWidth="1"/>
    <col min="8697" max="8697" width="43.75" style="926" customWidth="1"/>
    <col min="8698" max="8700" width="9" style="926"/>
    <col min="8701" max="8701" width="21.875" style="926" customWidth="1"/>
    <col min="8702" max="8703" width="9" style="926"/>
    <col min="8704" max="8705" width="9" style="926" customWidth="1"/>
    <col min="8706" max="8951" width="9" style="926"/>
    <col min="8952" max="8952" width="30.5" style="926" customWidth="1"/>
    <col min="8953" max="8953" width="43.75" style="926" customWidth="1"/>
    <col min="8954" max="8956" width="9" style="926"/>
    <col min="8957" max="8957" width="21.875" style="926" customWidth="1"/>
    <col min="8958" max="8959" width="9" style="926"/>
    <col min="8960" max="8961" width="9" style="926" customWidth="1"/>
    <col min="8962" max="9207" width="9" style="926"/>
    <col min="9208" max="9208" width="30.5" style="926" customWidth="1"/>
    <col min="9209" max="9209" width="43.75" style="926" customWidth="1"/>
    <col min="9210" max="9212" width="9" style="926"/>
    <col min="9213" max="9213" width="21.875" style="926" customWidth="1"/>
    <col min="9214" max="9215" width="9" style="926"/>
    <col min="9216" max="9217" width="9" style="926" customWidth="1"/>
    <col min="9218" max="9463" width="9" style="926"/>
    <col min="9464" max="9464" width="30.5" style="926" customWidth="1"/>
    <col min="9465" max="9465" width="43.75" style="926" customWidth="1"/>
    <col min="9466" max="9468" width="9" style="926"/>
    <col min="9469" max="9469" width="21.875" style="926" customWidth="1"/>
    <col min="9470" max="9471" width="9" style="926"/>
    <col min="9472" max="9473" width="9" style="926" customWidth="1"/>
    <col min="9474" max="9719" width="9" style="926"/>
    <col min="9720" max="9720" width="30.5" style="926" customWidth="1"/>
    <col min="9721" max="9721" width="43.75" style="926" customWidth="1"/>
    <col min="9722" max="9724" width="9" style="926"/>
    <col min="9725" max="9725" width="21.875" style="926" customWidth="1"/>
    <col min="9726" max="9727" width="9" style="926"/>
    <col min="9728" max="9729" width="9" style="926" customWidth="1"/>
    <col min="9730" max="9975" width="9" style="926"/>
    <col min="9976" max="9976" width="30.5" style="926" customWidth="1"/>
    <col min="9977" max="9977" width="43.75" style="926" customWidth="1"/>
    <col min="9978" max="9980" width="9" style="926"/>
    <col min="9981" max="9981" width="21.875" style="926" customWidth="1"/>
    <col min="9982" max="9983" width="9" style="926"/>
    <col min="9984" max="9985" width="9" style="926" customWidth="1"/>
    <col min="9986" max="10231" width="9" style="926"/>
    <col min="10232" max="10232" width="30.5" style="926" customWidth="1"/>
    <col min="10233" max="10233" width="43.75" style="926" customWidth="1"/>
    <col min="10234" max="10236" width="9" style="926"/>
    <col min="10237" max="10237" width="21.875" style="926" customWidth="1"/>
    <col min="10238" max="10239" width="9" style="926"/>
    <col min="10240" max="10241" width="9" style="926" customWidth="1"/>
    <col min="10242" max="10487" width="9" style="926"/>
    <col min="10488" max="10488" width="30.5" style="926" customWidth="1"/>
    <col min="10489" max="10489" width="43.75" style="926" customWidth="1"/>
    <col min="10490" max="10492" width="9" style="926"/>
    <col min="10493" max="10493" width="21.875" style="926" customWidth="1"/>
    <col min="10494" max="10495" width="9" style="926"/>
    <col min="10496" max="10497" width="9" style="926" customWidth="1"/>
    <col min="10498" max="10743" width="9" style="926"/>
    <col min="10744" max="10744" width="30.5" style="926" customWidth="1"/>
    <col min="10745" max="10745" width="43.75" style="926" customWidth="1"/>
    <col min="10746" max="10748" width="9" style="926"/>
    <col min="10749" max="10749" width="21.875" style="926" customWidth="1"/>
    <col min="10750" max="10751" width="9" style="926"/>
    <col min="10752" max="10753" width="9" style="926" customWidth="1"/>
    <col min="10754" max="10999" width="9" style="926"/>
    <col min="11000" max="11000" width="30.5" style="926" customWidth="1"/>
    <col min="11001" max="11001" width="43.75" style="926" customWidth="1"/>
    <col min="11002" max="11004" width="9" style="926"/>
    <col min="11005" max="11005" width="21.875" style="926" customWidth="1"/>
    <col min="11006" max="11007" width="9" style="926"/>
    <col min="11008" max="11009" width="9" style="926" customWidth="1"/>
    <col min="11010" max="11255" width="9" style="926"/>
    <col min="11256" max="11256" width="30.5" style="926" customWidth="1"/>
    <col min="11257" max="11257" width="43.75" style="926" customWidth="1"/>
    <col min="11258" max="11260" width="9" style="926"/>
    <col min="11261" max="11261" width="21.875" style="926" customWidth="1"/>
    <col min="11262" max="11263" width="9" style="926"/>
    <col min="11264" max="11265" width="9" style="926" customWidth="1"/>
    <col min="11266" max="11511" width="9" style="926"/>
    <col min="11512" max="11512" width="30.5" style="926" customWidth="1"/>
    <col min="11513" max="11513" width="43.75" style="926" customWidth="1"/>
    <col min="11514" max="11516" width="9" style="926"/>
    <col min="11517" max="11517" width="21.875" style="926" customWidth="1"/>
    <col min="11518" max="11519" width="9" style="926"/>
    <col min="11520" max="11521" width="9" style="926" customWidth="1"/>
    <col min="11522" max="11767" width="9" style="926"/>
    <col min="11768" max="11768" width="30.5" style="926" customWidth="1"/>
    <col min="11769" max="11769" width="43.75" style="926" customWidth="1"/>
    <col min="11770" max="11772" width="9" style="926"/>
    <col min="11773" max="11773" width="21.875" style="926" customWidth="1"/>
    <col min="11774" max="11775" width="9" style="926"/>
    <col min="11776" max="11777" width="9" style="926" customWidth="1"/>
    <col min="11778" max="12023" width="9" style="926"/>
    <col min="12024" max="12024" width="30.5" style="926" customWidth="1"/>
    <col min="12025" max="12025" width="43.75" style="926" customWidth="1"/>
    <col min="12026" max="12028" width="9" style="926"/>
    <col min="12029" max="12029" width="21.875" style="926" customWidth="1"/>
    <col min="12030" max="12031" width="9" style="926"/>
    <col min="12032" max="12033" width="9" style="926" customWidth="1"/>
    <col min="12034" max="12279" width="9" style="926"/>
    <col min="12280" max="12280" width="30.5" style="926" customWidth="1"/>
    <col min="12281" max="12281" width="43.75" style="926" customWidth="1"/>
    <col min="12282" max="12284" width="9" style="926"/>
    <col min="12285" max="12285" width="21.875" style="926" customWidth="1"/>
    <col min="12286" max="12287" width="9" style="926"/>
    <col min="12288" max="12289" width="9" style="926" customWidth="1"/>
    <col min="12290" max="12535" width="9" style="926"/>
    <col min="12536" max="12536" width="30.5" style="926" customWidth="1"/>
    <col min="12537" max="12537" width="43.75" style="926" customWidth="1"/>
    <col min="12538" max="12540" width="9" style="926"/>
    <col min="12541" max="12541" width="21.875" style="926" customWidth="1"/>
    <col min="12542" max="12543" width="9" style="926"/>
    <col min="12544" max="12545" width="9" style="926" customWidth="1"/>
    <col min="12546" max="12791" width="9" style="926"/>
    <col min="12792" max="12792" width="30.5" style="926" customWidth="1"/>
    <col min="12793" max="12793" width="43.75" style="926" customWidth="1"/>
    <col min="12794" max="12796" width="9" style="926"/>
    <col min="12797" max="12797" width="21.875" style="926" customWidth="1"/>
    <col min="12798" max="12799" width="9" style="926"/>
    <col min="12800" max="12801" width="9" style="926" customWidth="1"/>
    <col min="12802" max="13047" width="9" style="926"/>
    <col min="13048" max="13048" width="30.5" style="926" customWidth="1"/>
    <col min="13049" max="13049" width="43.75" style="926" customWidth="1"/>
    <col min="13050" max="13052" width="9" style="926"/>
    <col min="13053" max="13053" width="21.875" style="926" customWidth="1"/>
    <col min="13054" max="13055" width="9" style="926"/>
    <col min="13056" max="13057" width="9" style="926" customWidth="1"/>
    <col min="13058" max="13303" width="9" style="926"/>
    <col min="13304" max="13304" width="30.5" style="926" customWidth="1"/>
    <col min="13305" max="13305" width="43.75" style="926" customWidth="1"/>
    <col min="13306" max="13308" width="9" style="926"/>
    <col min="13309" max="13309" width="21.875" style="926" customWidth="1"/>
    <col min="13310" max="13311" width="9" style="926"/>
    <col min="13312" max="13313" width="9" style="926" customWidth="1"/>
    <col min="13314" max="13559" width="9" style="926"/>
    <col min="13560" max="13560" width="30.5" style="926" customWidth="1"/>
    <col min="13561" max="13561" width="43.75" style="926" customWidth="1"/>
    <col min="13562" max="13564" width="9" style="926"/>
    <col min="13565" max="13565" width="21.875" style="926" customWidth="1"/>
    <col min="13566" max="13567" width="9" style="926"/>
    <col min="13568" max="13569" width="9" style="926" customWidth="1"/>
    <col min="13570" max="13815" width="9" style="926"/>
    <col min="13816" max="13816" width="30.5" style="926" customWidth="1"/>
    <col min="13817" max="13817" width="43.75" style="926" customWidth="1"/>
    <col min="13818" max="13820" width="9" style="926"/>
    <col min="13821" max="13821" width="21.875" style="926" customWidth="1"/>
    <col min="13822" max="13823" width="9" style="926"/>
    <col min="13824" max="13825" width="9" style="926" customWidth="1"/>
    <col min="13826" max="14071" width="9" style="926"/>
    <col min="14072" max="14072" width="30.5" style="926" customWidth="1"/>
    <col min="14073" max="14073" width="43.75" style="926" customWidth="1"/>
    <col min="14074" max="14076" width="9" style="926"/>
    <col min="14077" max="14077" width="21.875" style="926" customWidth="1"/>
    <col min="14078" max="14079" width="9" style="926"/>
    <col min="14080" max="14081" width="9" style="926" customWidth="1"/>
    <col min="14082" max="14327" width="9" style="926"/>
    <col min="14328" max="14328" width="30.5" style="926" customWidth="1"/>
    <col min="14329" max="14329" width="43.75" style="926" customWidth="1"/>
    <col min="14330" max="14332" width="9" style="926"/>
    <col min="14333" max="14333" width="21.875" style="926" customWidth="1"/>
    <col min="14334" max="14335" width="9" style="926"/>
    <col min="14336" max="14337" width="9" style="926" customWidth="1"/>
    <col min="14338" max="14583" width="9" style="926"/>
    <col min="14584" max="14584" width="30.5" style="926" customWidth="1"/>
    <col min="14585" max="14585" width="43.75" style="926" customWidth="1"/>
    <col min="14586" max="14588" width="9" style="926"/>
    <col min="14589" max="14589" width="21.875" style="926" customWidth="1"/>
    <col min="14590" max="14591" width="9" style="926"/>
    <col min="14592" max="14593" width="9" style="926" customWidth="1"/>
    <col min="14594" max="14839" width="9" style="926"/>
    <col min="14840" max="14840" width="30.5" style="926" customWidth="1"/>
    <col min="14841" max="14841" width="43.75" style="926" customWidth="1"/>
    <col min="14842" max="14844" width="9" style="926"/>
    <col min="14845" max="14845" width="21.875" style="926" customWidth="1"/>
    <col min="14846" max="14847" width="9" style="926"/>
    <col min="14848" max="14849" width="9" style="926" customWidth="1"/>
    <col min="14850" max="15095" width="9" style="926"/>
    <col min="15096" max="15096" width="30.5" style="926" customWidth="1"/>
    <col min="15097" max="15097" width="43.75" style="926" customWidth="1"/>
    <col min="15098" max="15100" width="9" style="926"/>
    <col min="15101" max="15101" width="21.875" style="926" customWidth="1"/>
    <col min="15102" max="15103" width="9" style="926"/>
    <col min="15104" max="15105" width="9" style="926" customWidth="1"/>
    <col min="15106" max="15351" width="9" style="926"/>
    <col min="15352" max="15352" width="30.5" style="926" customWidth="1"/>
    <col min="15353" max="15353" width="43.75" style="926" customWidth="1"/>
    <col min="15354" max="15356" width="9" style="926"/>
    <col min="15357" max="15357" width="21.875" style="926" customWidth="1"/>
    <col min="15358" max="15359" width="9" style="926"/>
    <col min="15360" max="15361" width="9" style="926" customWidth="1"/>
    <col min="15362" max="15607" width="9" style="926"/>
    <col min="15608" max="15608" width="30.5" style="926" customWidth="1"/>
    <col min="15609" max="15609" width="43.75" style="926" customWidth="1"/>
    <col min="15610" max="15612" width="9" style="926"/>
    <col min="15613" max="15613" width="21.875" style="926" customWidth="1"/>
    <col min="15614" max="15615" width="9" style="926"/>
    <col min="15616" max="15617" width="9" style="926" customWidth="1"/>
    <col min="15618" max="15863" width="9" style="926"/>
    <col min="15864" max="15864" width="30.5" style="926" customWidth="1"/>
    <col min="15865" max="15865" width="43.75" style="926" customWidth="1"/>
    <col min="15866" max="15868" width="9" style="926"/>
    <col min="15869" max="15869" width="21.875" style="926" customWidth="1"/>
    <col min="15870" max="15871" width="9" style="926"/>
    <col min="15872" max="15873" width="9" style="926" customWidth="1"/>
    <col min="15874" max="16119" width="9" style="926"/>
    <col min="16120" max="16120" width="30.5" style="926" customWidth="1"/>
    <col min="16121" max="16121" width="43.75" style="926" customWidth="1"/>
    <col min="16122" max="16124" width="9" style="926"/>
    <col min="16125" max="16125" width="21.875" style="926" customWidth="1"/>
    <col min="16126" max="16127" width="9" style="926"/>
    <col min="16128" max="16129" width="9" style="926" customWidth="1"/>
    <col min="16130" max="16384" width="9" style="926"/>
  </cols>
  <sheetData>
    <row r="1" spans="2:7" ht="22.5" customHeight="1">
      <c r="B1" s="924"/>
      <c r="C1" s="924"/>
      <c r="D1" s="925"/>
      <c r="F1" s="924"/>
      <c r="G1" s="924"/>
    </row>
    <row r="2" spans="2:7" ht="18.75">
      <c r="B2" s="927" t="s">
        <v>979</v>
      </c>
      <c r="C2" s="926"/>
      <c r="E2" s="924"/>
      <c r="F2" s="924"/>
      <c r="G2" s="924"/>
    </row>
    <row r="3" spans="2:7" ht="18.75">
      <c r="B3" s="924"/>
      <c r="C3" s="924"/>
      <c r="D3" s="928"/>
      <c r="E3" s="924"/>
      <c r="F3" s="924"/>
      <c r="G3" s="924"/>
    </row>
    <row r="4" spans="2:7" ht="17.25">
      <c r="B4" s="929" t="s">
        <v>980</v>
      </c>
      <c r="C4" s="930" t="s">
        <v>981</v>
      </c>
      <c r="E4" s="924"/>
      <c r="F4" s="924"/>
      <c r="G4" s="924"/>
    </row>
    <row r="5" spans="2:7" ht="17.25">
      <c r="B5" s="931" t="s">
        <v>982</v>
      </c>
      <c r="C5" s="930" t="s">
        <v>983</v>
      </c>
      <c r="E5" s="924"/>
      <c r="F5" s="924"/>
      <c r="G5" s="924"/>
    </row>
    <row r="6" spans="2:7" ht="17.25">
      <c r="B6" s="932" t="s">
        <v>984</v>
      </c>
      <c r="C6" s="930" t="s">
        <v>985</v>
      </c>
      <c r="E6" s="924"/>
      <c r="F6" s="924"/>
      <c r="G6" s="924"/>
    </row>
    <row r="7" spans="2:7" ht="17.25">
      <c r="B7" s="933" t="s">
        <v>986</v>
      </c>
      <c r="C7" s="930" t="s">
        <v>987</v>
      </c>
      <c r="E7" s="924"/>
      <c r="F7" s="924"/>
      <c r="G7" s="924"/>
    </row>
    <row r="8" spans="2:7" ht="9" customHeight="1">
      <c r="B8" s="924"/>
      <c r="C8" s="924"/>
      <c r="D8" s="924"/>
      <c r="E8" s="924"/>
      <c r="F8" s="924"/>
      <c r="G8" s="924"/>
    </row>
    <row r="9" spans="2:7" ht="26.25" hidden="1" customHeight="1">
      <c r="B9" s="934" t="s">
        <v>988</v>
      </c>
      <c r="C9" s="924"/>
      <c r="D9" s="924"/>
      <c r="E9" s="924"/>
      <c r="F9" s="924"/>
      <c r="G9" s="924"/>
    </row>
    <row r="10" spans="2:7" ht="26.25" hidden="1" customHeight="1" thickBot="1">
      <c r="B10" s="935" t="s">
        <v>989</v>
      </c>
      <c r="E10" s="924"/>
      <c r="F10" s="924"/>
      <c r="G10" s="924"/>
    </row>
    <row r="11" spans="2:7" ht="26.25" hidden="1" customHeight="1">
      <c r="B11" s="937" t="s">
        <v>990</v>
      </c>
      <c r="C11" s="938" t="s">
        <v>991</v>
      </c>
      <c r="D11" s="935"/>
      <c r="E11" s="924"/>
      <c r="G11" s="924"/>
    </row>
    <row r="12" spans="2:7" ht="26.25" hidden="1" customHeight="1">
      <c r="B12" s="939" t="s">
        <v>992</v>
      </c>
      <c r="C12" s="940" t="str">
        <f>IF(【様式１】総括表・個票!$D$13="","※園名を選択",CONCATENATE("【加算申請】",VLOOKUP(【様式１】総括表・個票!$D$13,'施設状況(要更新)'!$F$4:$S$700,14,FALSE),【様式１】総括表・個票!$D$13))</f>
        <v>※園名を選択</v>
      </c>
      <c r="D12" s="941" t="s">
        <v>993</v>
      </c>
      <c r="G12" s="924"/>
    </row>
    <row r="13" spans="2:7" ht="26.25" hidden="1" customHeight="1" thickBot="1">
      <c r="B13" s="942" t="s">
        <v>994</v>
      </c>
      <c r="C13" s="943" t="s">
        <v>995</v>
      </c>
      <c r="D13" s="935" t="s">
        <v>996</v>
      </c>
      <c r="G13" s="924"/>
    </row>
    <row r="14" spans="2:7" ht="26.25" hidden="1" customHeight="1">
      <c r="D14" s="935" t="s">
        <v>997</v>
      </c>
      <c r="G14" s="924"/>
    </row>
    <row r="15" spans="2:7" ht="26.25" hidden="1" customHeight="1" thickBot="1">
      <c r="B15" s="935" t="s">
        <v>998</v>
      </c>
      <c r="G15" s="924"/>
    </row>
    <row r="16" spans="2:7" ht="26.25" hidden="1" customHeight="1">
      <c r="B16" s="944" t="s">
        <v>999</v>
      </c>
      <c r="C16" s="945"/>
      <c r="D16" s="935" t="s">
        <v>1000</v>
      </c>
      <c r="G16" s="924"/>
    </row>
    <row r="17" spans="2:7" ht="26.25" hidden="1" customHeight="1">
      <c r="B17" s="946" t="s">
        <v>1001</v>
      </c>
      <c r="C17" s="947"/>
      <c r="D17" s="926" t="s">
        <v>1002</v>
      </c>
      <c r="G17" s="924"/>
    </row>
    <row r="18" spans="2:7" ht="26.25" hidden="1" customHeight="1" thickBot="1">
      <c r="B18" s="948" t="s">
        <v>1003</v>
      </c>
      <c r="C18" s="949"/>
      <c r="G18" s="924"/>
    </row>
    <row r="19" spans="2:7" ht="26.25" hidden="1" customHeight="1">
      <c r="C19" s="926"/>
      <c r="F19" s="924"/>
      <c r="G19" s="924"/>
    </row>
    <row r="20" spans="2:7" ht="24" hidden="1" customHeight="1">
      <c r="B20" s="950" t="s">
        <v>1004</v>
      </c>
      <c r="C20" s="951"/>
      <c r="D20" s="952"/>
      <c r="F20" s="924"/>
      <c r="G20" s="924"/>
    </row>
    <row r="21" spans="2:7" ht="24" hidden="1" customHeight="1" thickBot="1">
      <c r="B21" s="951" t="s">
        <v>1005</v>
      </c>
      <c r="C21" s="951"/>
      <c r="D21" s="952"/>
    </row>
    <row r="22" spans="2:7" ht="24" hidden="1" customHeight="1">
      <c r="B22" s="953" t="s">
        <v>1006</v>
      </c>
      <c r="C22" s="938" t="s">
        <v>991</v>
      </c>
      <c r="D22" s="952"/>
    </row>
    <row r="23" spans="2:7" ht="24" hidden="1" customHeight="1" thickBot="1">
      <c r="B23" s="954" t="s">
        <v>992</v>
      </c>
      <c r="C23" s="943" t="str">
        <f>IF(【様式１】総括表・個票!$D$13="","※園名を選択",CONCATENATE("【加算問い合わせ】",VLOOKUP(【様式１】総括表・個票!$D$13,'施設状況(要更新)'!$F$4:$S$700,14,FALSE),【様式１】総括表・個票!$D$13))</f>
        <v>※園名を選択</v>
      </c>
      <c r="D23" s="941" t="s">
        <v>993</v>
      </c>
    </row>
    <row r="24" spans="2:7" ht="24" customHeight="1">
      <c r="B24" s="955"/>
      <c r="C24" s="956"/>
    </row>
    <row r="25" spans="2:7" ht="24" customHeight="1" thickBot="1">
      <c r="B25" s="950" t="s">
        <v>1007</v>
      </c>
      <c r="C25" s="924"/>
      <c r="E25" s="924"/>
    </row>
    <row r="26" spans="2:7" ht="24" customHeight="1" thickBot="1">
      <c r="B26" s="957" t="s">
        <v>1008</v>
      </c>
      <c r="C26" s="1031" t="s">
        <v>1009</v>
      </c>
      <c r="D26" s="1032"/>
      <c r="E26" s="924"/>
    </row>
    <row r="27" spans="2:7" ht="69.75" customHeight="1" thickTop="1">
      <c r="B27" s="958" t="s">
        <v>1010</v>
      </c>
      <c r="C27" s="1033" t="s">
        <v>1011</v>
      </c>
      <c r="D27" s="1034"/>
      <c r="E27" s="924"/>
    </row>
    <row r="28" spans="2:7" ht="23.25" customHeight="1">
      <c r="B28" s="1026" t="s">
        <v>1012</v>
      </c>
      <c r="C28" s="1036" t="s">
        <v>902</v>
      </c>
      <c r="D28" s="1037"/>
      <c r="E28" s="924"/>
    </row>
    <row r="29" spans="2:7" ht="23.25" customHeight="1">
      <c r="B29" s="1027"/>
      <c r="C29" s="1024" t="s">
        <v>486</v>
      </c>
      <c r="D29" s="1025"/>
      <c r="E29" s="924"/>
    </row>
    <row r="30" spans="2:7" ht="23.25" customHeight="1">
      <c r="B30" s="1027"/>
      <c r="C30" s="1024" t="s">
        <v>477</v>
      </c>
      <c r="D30" s="1025"/>
      <c r="E30" s="924"/>
    </row>
    <row r="31" spans="2:7" ht="23.25" customHeight="1">
      <c r="B31" s="1027"/>
      <c r="C31" s="1024" t="s">
        <v>903</v>
      </c>
      <c r="D31" s="1025"/>
      <c r="E31" s="924"/>
    </row>
    <row r="32" spans="2:7" ht="23.25" customHeight="1">
      <c r="B32" s="1027"/>
      <c r="C32" s="1024" t="s">
        <v>478</v>
      </c>
      <c r="D32" s="1025"/>
      <c r="E32" s="924"/>
    </row>
    <row r="33" spans="2:5" ht="23.25" customHeight="1">
      <c r="B33" s="1027"/>
      <c r="C33" s="1024" t="s">
        <v>479</v>
      </c>
      <c r="D33" s="1025"/>
      <c r="E33" s="924"/>
    </row>
    <row r="34" spans="2:5" ht="23.25" customHeight="1">
      <c r="B34" s="1027"/>
      <c r="C34" s="1024" t="s">
        <v>480</v>
      </c>
      <c r="D34" s="1025"/>
      <c r="E34" s="924"/>
    </row>
    <row r="35" spans="2:5" ht="23.25" customHeight="1">
      <c r="B35" s="1027"/>
      <c r="C35" s="1024" t="s">
        <v>904</v>
      </c>
      <c r="D35" s="1025"/>
      <c r="E35" s="924"/>
    </row>
    <row r="36" spans="2:5" ht="23.25" customHeight="1">
      <c r="B36" s="1027"/>
      <c r="C36" s="1024" t="s">
        <v>905</v>
      </c>
      <c r="D36" s="1025"/>
      <c r="E36" s="924"/>
    </row>
    <row r="37" spans="2:5" ht="23.25" customHeight="1">
      <c r="B37" s="1035"/>
      <c r="C37" s="959" t="s">
        <v>481</v>
      </c>
      <c r="D37" s="960"/>
      <c r="E37" s="924"/>
    </row>
    <row r="38" spans="2:5" ht="23.25" customHeight="1">
      <c r="B38" s="1026" t="s">
        <v>1013</v>
      </c>
      <c r="C38" s="961" t="s">
        <v>1014</v>
      </c>
      <c r="D38" s="962"/>
      <c r="E38" s="924"/>
    </row>
    <row r="39" spans="2:5" ht="23.25" customHeight="1">
      <c r="B39" s="1027"/>
      <c r="C39" s="961" t="s">
        <v>1015</v>
      </c>
      <c r="D39" s="962"/>
      <c r="E39" s="924"/>
    </row>
    <row r="40" spans="2:5" ht="23.25" customHeight="1">
      <c r="B40" s="1027"/>
      <c r="C40" s="961" t="s">
        <v>1016</v>
      </c>
      <c r="D40" s="962"/>
      <c r="E40" s="924"/>
    </row>
    <row r="41" spans="2:5" s="964" customFormat="1" ht="41.25" customHeight="1" thickBot="1">
      <c r="B41" s="1028"/>
      <c r="C41" s="1029" t="s">
        <v>1073</v>
      </c>
      <c r="D41" s="1030"/>
      <c r="E41" s="963"/>
    </row>
    <row r="42" spans="2:5" ht="24" customHeight="1">
      <c r="C42" s="926"/>
    </row>
    <row r="43" spans="2:5" ht="24" customHeight="1">
      <c r="C43" s="926"/>
    </row>
    <row r="44" spans="2:5" ht="24" customHeight="1">
      <c r="C44" s="926"/>
    </row>
    <row r="45" spans="2:5" ht="24" customHeight="1">
      <c r="C45" s="926"/>
    </row>
    <row r="46" spans="2:5" ht="24" customHeight="1">
      <c r="C46" s="926"/>
    </row>
    <row r="47" spans="2:5" ht="24" customHeight="1">
      <c r="C47" s="926"/>
    </row>
  </sheetData>
  <sheetProtection algorithmName="SHA-512" hashValue="4aD8zeU3TIb1HJazuwo8Wkz39fbfB2W1n8MS9y96BxxEt6O0iof69M8ci8UGIEb5tGfjOKtSDxQH0BwVVJ+8TA==" saltValue="tJmL+iqIEW2iy5w6/o6k2w==" spinCount="100000" sheet="1" objects="1" scenarios="1"/>
  <mergeCells count="14">
    <mergeCell ref="C35:D35"/>
    <mergeCell ref="C36:D36"/>
    <mergeCell ref="B38:B41"/>
    <mergeCell ref="C41:D41"/>
    <mergeCell ref="C26:D26"/>
    <mergeCell ref="C27:D27"/>
    <mergeCell ref="B28:B37"/>
    <mergeCell ref="C28:D28"/>
    <mergeCell ref="C29:D29"/>
    <mergeCell ref="C30:D30"/>
    <mergeCell ref="C31:D31"/>
    <mergeCell ref="C32:D32"/>
    <mergeCell ref="C33:D33"/>
    <mergeCell ref="C34:D34"/>
  </mergeCells>
  <phoneticPr fontId="1"/>
  <dataValidations count="1">
    <dataValidation type="list" allowBlank="1" showInputMessage="1" showErrorMessage="1" sqref="WVA983056 WLE983056 WBI983056 VRM983056 VHQ983056 UXU983056 UNY983056 UEC983056 TUG983056 TKK983056 TAO983056 SQS983056 SGW983056 RXA983056 RNE983056 RDI983056 QTM983056 QJQ983056 PZU983056 PPY983056 PGC983056 OWG983056 OMK983056 OCO983056 NSS983056 NIW983056 MZA983056 MPE983056 MFI983056 LVM983056 LLQ983056 LBU983056 KRY983056 KIC983056 JYG983056 JOK983056 JEO983056 IUS983056 IKW983056 IBA983056 HRE983056 HHI983056 GXM983056 GNQ983056 GDU983056 FTY983056 FKC983056 FAG983056 EQK983056 EGO983056 DWS983056 DMW983056 DDA983056 CTE983056 CJI983056 BZM983056 BPQ983056 BFU983056 AVY983056 AMC983056 ACG983056 SK983056 IO983056 C983046 WVA917520 WLE917520 WBI917520 VRM917520 VHQ917520 UXU917520 UNY917520 UEC917520 TUG917520 TKK917520 TAO917520 SQS917520 SGW917520 RXA917520 RNE917520 RDI917520 QTM917520 QJQ917520 PZU917520 PPY917520 PGC917520 OWG917520 OMK917520 OCO917520 NSS917520 NIW917520 MZA917520 MPE917520 MFI917520 LVM917520 LLQ917520 LBU917520 KRY917520 KIC917520 JYG917520 JOK917520 JEO917520 IUS917520 IKW917520 IBA917520 HRE917520 HHI917520 GXM917520 GNQ917520 GDU917520 FTY917520 FKC917520 FAG917520 EQK917520 EGO917520 DWS917520 DMW917520 DDA917520 CTE917520 CJI917520 BZM917520 BPQ917520 BFU917520 AVY917520 AMC917520 ACG917520 SK917520 IO917520 C917510 WVA851984 WLE851984 WBI851984 VRM851984 VHQ851984 UXU851984 UNY851984 UEC851984 TUG851984 TKK851984 TAO851984 SQS851984 SGW851984 RXA851984 RNE851984 RDI851984 QTM851984 QJQ851984 PZU851984 PPY851984 PGC851984 OWG851984 OMK851984 OCO851984 NSS851984 NIW851984 MZA851984 MPE851984 MFI851984 LVM851984 LLQ851984 LBU851984 KRY851984 KIC851984 JYG851984 JOK851984 JEO851984 IUS851984 IKW851984 IBA851984 HRE851984 HHI851984 GXM851984 GNQ851984 GDU851984 FTY851984 FKC851984 FAG851984 EQK851984 EGO851984 DWS851984 DMW851984 DDA851984 CTE851984 CJI851984 BZM851984 BPQ851984 BFU851984 AVY851984 AMC851984 ACG851984 SK851984 IO851984 C851974 WVA786448 WLE786448 WBI786448 VRM786448 VHQ786448 UXU786448 UNY786448 UEC786448 TUG786448 TKK786448 TAO786448 SQS786448 SGW786448 RXA786448 RNE786448 RDI786448 QTM786448 QJQ786448 PZU786448 PPY786448 PGC786448 OWG786448 OMK786448 OCO786448 NSS786448 NIW786448 MZA786448 MPE786448 MFI786448 LVM786448 LLQ786448 LBU786448 KRY786448 KIC786448 JYG786448 JOK786448 JEO786448 IUS786448 IKW786448 IBA786448 HRE786448 HHI786448 GXM786448 GNQ786448 GDU786448 FTY786448 FKC786448 FAG786448 EQK786448 EGO786448 DWS786448 DMW786448 DDA786448 CTE786448 CJI786448 BZM786448 BPQ786448 BFU786448 AVY786448 AMC786448 ACG786448 SK786448 IO786448 C786438 WVA720912 WLE720912 WBI720912 VRM720912 VHQ720912 UXU720912 UNY720912 UEC720912 TUG720912 TKK720912 TAO720912 SQS720912 SGW720912 RXA720912 RNE720912 RDI720912 QTM720912 QJQ720912 PZU720912 PPY720912 PGC720912 OWG720912 OMK720912 OCO720912 NSS720912 NIW720912 MZA720912 MPE720912 MFI720912 LVM720912 LLQ720912 LBU720912 KRY720912 KIC720912 JYG720912 JOK720912 JEO720912 IUS720912 IKW720912 IBA720912 HRE720912 HHI720912 GXM720912 GNQ720912 GDU720912 FTY720912 FKC720912 FAG720912 EQK720912 EGO720912 DWS720912 DMW720912 DDA720912 CTE720912 CJI720912 BZM720912 BPQ720912 BFU720912 AVY720912 AMC720912 ACG720912 SK720912 IO720912 C720902 WVA655376 WLE655376 WBI655376 VRM655376 VHQ655376 UXU655376 UNY655376 UEC655376 TUG655376 TKK655376 TAO655376 SQS655376 SGW655376 RXA655376 RNE655376 RDI655376 QTM655376 QJQ655376 PZU655376 PPY655376 PGC655376 OWG655376 OMK655376 OCO655376 NSS655376 NIW655376 MZA655376 MPE655376 MFI655376 LVM655376 LLQ655376 LBU655376 KRY655376 KIC655376 JYG655376 JOK655376 JEO655376 IUS655376 IKW655376 IBA655376 HRE655376 HHI655376 GXM655376 GNQ655376 GDU655376 FTY655376 FKC655376 FAG655376 EQK655376 EGO655376 DWS655376 DMW655376 DDA655376 CTE655376 CJI655376 BZM655376 BPQ655376 BFU655376 AVY655376 AMC655376 ACG655376 SK655376 IO655376 C655366 WVA589840 WLE589840 WBI589840 VRM589840 VHQ589840 UXU589840 UNY589840 UEC589840 TUG589840 TKK589840 TAO589840 SQS589840 SGW589840 RXA589840 RNE589840 RDI589840 QTM589840 QJQ589840 PZU589840 PPY589840 PGC589840 OWG589840 OMK589840 OCO589840 NSS589840 NIW589840 MZA589840 MPE589840 MFI589840 LVM589840 LLQ589840 LBU589840 KRY589840 KIC589840 JYG589840 JOK589840 JEO589840 IUS589840 IKW589840 IBA589840 HRE589840 HHI589840 GXM589840 GNQ589840 GDU589840 FTY589840 FKC589840 FAG589840 EQK589840 EGO589840 DWS589840 DMW589840 DDA589840 CTE589840 CJI589840 BZM589840 BPQ589840 BFU589840 AVY589840 AMC589840 ACG589840 SK589840 IO589840 C589830 WVA524304 WLE524304 WBI524304 VRM524304 VHQ524304 UXU524304 UNY524304 UEC524304 TUG524304 TKK524304 TAO524304 SQS524304 SGW524304 RXA524304 RNE524304 RDI524304 QTM524304 QJQ524304 PZU524304 PPY524304 PGC524304 OWG524304 OMK524304 OCO524304 NSS524304 NIW524304 MZA524304 MPE524304 MFI524304 LVM524304 LLQ524304 LBU524304 KRY524304 KIC524304 JYG524304 JOK524304 JEO524304 IUS524304 IKW524304 IBA524304 HRE524304 HHI524304 GXM524304 GNQ524304 GDU524304 FTY524304 FKC524304 FAG524304 EQK524304 EGO524304 DWS524304 DMW524304 DDA524304 CTE524304 CJI524304 BZM524304 BPQ524304 BFU524304 AVY524304 AMC524304 ACG524304 SK524304 IO524304 C524294 WVA458768 WLE458768 WBI458768 VRM458768 VHQ458768 UXU458768 UNY458768 UEC458768 TUG458768 TKK458768 TAO458768 SQS458768 SGW458768 RXA458768 RNE458768 RDI458768 QTM458768 QJQ458768 PZU458768 PPY458768 PGC458768 OWG458768 OMK458768 OCO458768 NSS458768 NIW458768 MZA458768 MPE458768 MFI458768 LVM458768 LLQ458768 LBU458768 KRY458768 KIC458768 JYG458768 JOK458768 JEO458768 IUS458768 IKW458768 IBA458768 HRE458768 HHI458768 GXM458768 GNQ458768 GDU458768 FTY458768 FKC458768 FAG458768 EQK458768 EGO458768 DWS458768 DMW458768 DDA458768 CTE458768 CJI458768 BZM458768 BPQ458768 BFU458768 AVY458768 AMC458768 ACG458768 SK458768 IO458768 C458758 WVA393232 WLE393232 WBI393232 VRM393232 VHQ393232 UXU393232 UNY393232 UEC393232 TUG393232 TKK393232 TAO393232 SQS393232 SGW393232 RXA393232 RNE393232 RDI393232 QTM393232 QJQ393232 PZU393232 PPY393232 PGC393232 OWG393232 OMK393232 OCO393232 NSS393232 NIW393232 MZA393232 MPE393232 MFI393232 LVM393232 LLQ393232 LBU393232 KRY393232 KIC393232 JYG393232 JOK393232 JEO393232 IUS393232 IKW393232 IBA393232 HRE393232 HHI393232 GXM393232 GNQ393232 GDU393232 FTY393232 FKC393232 FAG393232 EQK393232 EGO393232 DWS393232 DMW393232 DDA393232 CTE393232 CJI393232 BZM393232 BPQ393232 BFU393232 AVY393232 AMC393232 ACG393232 SK393232 IO393232 C393222 WVA327696 WLE327696 WBI327696 VRM327696 VHQ327696 UXU327696 UNY327696 UEC327696 TUG327696 TKK327696 TAO327696 SQS327696 SGW327696 RXA327696 RNE327696 RDI327696 QTM327696 QJQ327696 PZU327696 PPY327696 PGC327696 OWG327696 OMK327696 OCO327696 NSS327696 NIW327696 MZA327696 MPE327696 MFI327696 LVM327696 LLQ327696 LBU327696 KRY327696 KIC327696 JYG327696 JOK327696 JEO327696 IUS327696 IKW327696 IBA327696 HRE327696 HHI327696 GXM327696 GNQ327696 GDU327696 FTY327696 FKC327696 FAG327696 EQK327696 EGO327696 DWS327696 DMW327696 DDA327696 CTE327696 CJI327696 BZM327696 BPQ327696 BFU327696 AVY327696 AMC327696 ACG327696 SK327696 IO327696 C327686 WVA262160 WLE262160 WBI262160 VRM262160 VHQ262160 UXU262160 UNY262160 UEC262160 TUG262160 TKK262160 TAO262160 SQS262160 SGW262160 RXA262160 RNE262160 RDI262160 QTM262160 QJQ262160 PZU262160 PPY262160 PGC262160 OWG262160 OMK262160 OCO262160 NSS262160 NIW262160 MZA262160 MPE262160 MFI262160 LVM262160 LLQ262160 LBU262160 KRY262160 KIC262160 JYG262160 JOK262160 JEO262160 IUS262160 IKW262160 IBA262160 HRE262160 HHI262160 GXM262160 GNQ262160 GDU262160 FTY262160 FKC262160 FAG262160 EQK262160 EGO262160 DWS262160 DMW262160 DDA262160 CTE262160 CJI262160 BZM262160 BPQ262160 BFU262160 AVY262160 AMC262160 ACG262160 SK262160 IO262160 C262150 WVA196624 WLE196624 WBI196624 VRM196624 VHQ196624 UXU196624 UNY196624 UEC196624 TUG196624 TKK196624 TAO196624 SQS196624 SGW196624 RXA196624 RNE196624 RDI196624 QTM196624 QJQ196624 PZU196624 PPY196624 PGC196624 OWG196624 OMK196624 OCO196624 NSS196624 NIW196624 MZA196624 MPE196624 MFI196624 LVM196624 LLQ196624 LBU196624 KRY196624 KIC196624 JYG196624 JOK196624 JEO196624 IUS196624 IKW196624 IBA196624 HRE196624 HHI196624 GXM196624 GNQ196624 GDU196624 FTY196624 FKC196624 FAG196624 EQK196624 EGO196624 DWS196624 DMW196624 DDA196624 CTE196624 CJI196624 BZM196624 BPQ196624 BFU196624 AVY196624 AMC196624 ACG196624 SK196624 IO196624 C196614 WVA131088 WLE131088 WBI131088 VRM131088 VHQ131088 UXU131088 UNY131088 UEC131088 TUG131088 TKK131088 TAO131088 SQS131088 SGW131088 RXA131088 RNE131088 RDI131088 QTM131088 QJQ131088 PZU131088 PPY131088 PGC131088 OWG131088 OMK131088 OCO131088 NSS131088 NIW131088 MZA131088 MPE131088 MFI131088 LVM131088 LLQ131088 LBU131088 KRY131088 KIC131088 JYG131088 JOK131088 JEO131088 IUS131088 IKW131088 IBA131088 HRE131088 HHI131088 GXM131088 GNQ131088 GDU131088 FTY131088 FKC131088 FAG131088 EQK131088 EGO131088 DWS131088 DMW131088 DDA131088 CTE131088 CJI131088 BZM131088 BPQ131088 BFU131088 AVY131088 AMC131088 ACG131088 SK131088 IO131088 C131078 WVA65552 WLE65552 WBI65552 VRM65552 VHQ65552 UXU65552 UNY65552 UEC65552 TUG65552 TKK65552 TAO65552 SQS65552 SGW65552 RXA65552 RNE65552 RDI65552 QTM65552 QJQ65552 PZU65552 PPY65552 PGC65552 OWG65552 OMK65552 OCO65552 NSS65552 NIW65552 MZA65552 MPE65552 MFI65552 LVM65552 LLQ65552 LBU65552 KRY65552 KIC65552 JYG65552 JOK65552 JEO65552 IUS65552 IKW65552 IBA65552 HRE65552 HHI65552 GXM65552 GNQ65552 GDU65552 FTY65552 FKC65552 FAG65552 EQK65552 EGO65552 DWS65552 DMW65552 DDA65552 CTE65552 CJI65552 BZM65552 BPQ65552 BFU65552 AVY65552 AMC65552 ACG65552 SK65552 IO65552 C65542 IN27:IN34 SJ27:SJ34 ACF27:ACF34 AMB27:AMB34 AVX27:AVX34 BFT27:BFT34 BPP27:BPP34 BZL27:BZL34 CJH27:CJH34 CTD27:CTD34 DCZ27:DCZ34 DMV27:DMV34 DWR27:DWR34 EGN27:EGN34 EQJ27:EQJ34 FAF27:FAF34 FKB27:FKB34 FTX27:FTX34 GDT27:GDT34 GNP27:GNP34 GXL27:GXL34 HHH27:HHH34 HRD27:HRD34 IAZ27:IAZ34 IKV27:IKV34 IUR27:IUR34 JEN27:JEN34 JOJ27:JOJ34 JYF27:JYF34 KIB27:KIB34 KRX27:KRX34 LBT27:LBT34 LLP27:LLP34 LVL27:LVL34 MFH27:MFH34 MPD27:MPD34 MYZ27:MYZ34 NIV27:NIV34 NSR27:NSR34 OCN27:OCN34 OMJ27:OMJ34 OWF27:OWF34 PGB27:PGB34 PPX27:PPX34 PZT27:PZT34 QJP27:QJP34 QTL27:QTL34 RDH27:RDH34 RND27:RND34 RWZ27:RWZ34 SGV27:SGV34 SQR27:SQR34 TAN27:TAN34 TKJ27:TKJ34 TUF27:TUF34 UEB27:UEB34 UNX27:UNX34 UXT27:UXT34 VHP27:VHP34 VRL27:VRL34 WBH27:WBH34 WLD27:WLD34 WUZ27:WUZ34" xr:uid="{00000000-0002-0000-0200-000000000000}">
      <formula1>#REF!</formula1>
    </dataValidation>
  </dataValidations>
  <hyperlinks>
    <hyperlink ref="C11" r:id="rId1" xr:uid="{00000000-0004-0000-0200-000000000000}"/>
    <hyperlink ref="C22" r:id="rId2" xr:uid="{00000000-0004-0000-0200-000001000000}"/>
  </hyperlinks>
  <pageMargins left="0.39370078740157483" right="0" top="0.98425196850393704" bottom="0.98425196850393704" header="0.51181102362204722" footer="0.51181102362204722"/>
  <pageSetup paperSize="9" scale="65" orientation="portrait" r:id="rId3"/>
  <headerFooter alignWithMargins="0"/>
  <colBreaks count="1" manualBreakCount="1">
    <brk id="6" max="2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99FF"/>
  </sheetPr>
  <dimension ref="A1:P49"/>
  <sheetViews>
    <sheetView view="pageBreakPreview" zoomScale="115" zoomScaleNormal="100" zoomScaleSheetLayoutView="115" workbookViewId="0">
      <selection activeCell="H22" sqref="H22"/>
    </sheetView>
  </sheetViews>
  <sheetFormatPr defaultColWidth="9" defaultRowHeight="13.5"/>
  <cols>
    <col min="1" max="1" width="12.25" customWidth="1"/>
    <col min="2" max="2" width="34.5" customWidth="1"/>
    <col min="3" max="3" width="65.875" customWidth="1"/>
    <col min="4" max="4" width="9.75" customWidth="1"/>
    <col min="5" max="5" width="9" customWidth="1"/>
    <col min="6" max="6" width="18" customWidth="1"/>
    <col min="7" max="7" width="9" customWidth="1"/>
    <col min="8" max="8" width="7.25" customWidth="1"/>
    <col min="9" max="9" width="5.375" customWidth="1"/>
    <col min="10" max="16" width="2.875" customWidth="1"/>
    <col min="17" max="17" width="9.25" customWidth="1"/>
    <col min="18" max="21" width="2.875" customWidth="1"/>
  </cols>
  <sheetData>
    <row r="1" spans="1:9" ht="20.25" customHeight="1" thickBot="1">
      <c r="A1" s="950" t="s">
        <v>1004</v>
      </c>
      <c r="B1" s="951"/>
      <c r="D1" s="142" t="s">
        <v>1064</v>
      </c>
      <c r="E1" s="990" t="s">
        <v>1045</v>
      </c>
      <c r="F1" s="142" t="s">
        <v>1046</v>
      </c>
    </row>
    <row r="2" spans="1:9" ht="19.5" customHeight="1">
      <c r="A2" s="988" t="s">
        <v>1006</v>
      </c>
      <c r="B2" s="1006" t="s">
        <v>1063</v>
      </c>
      <c r="D2" s="142" t="str">
        <f>【様式１】総括表・個票!I10&amp;"月"</f>
        <v>月</v>
      </c>
      <c r="E2" s="990" t="e">
        <f>VLOOKUP(【様式１】総括表・個票!D13,'施設状況(要更新)'!$F$4:$S$700,14,FALSE)</f>
        <v>#N/A</v>
      </c>
      <c r="F2" s="142">
        <f>【様式１】総括表・個票!D13</f>
        <v>0</v>
      </c>
    </row>
    <row r="3" spans="1:9" ht="19.5" customHeight="1">
      <c r="A3" s="985" t="s">
        <v>992</v>
      </c>
      <c r="B3" s="1000" t="e">
        <f>"【問合せ】"&amp;D2&amp;"加算"&amp;E2&amp;F2</f>
        <v>#N/A</v>
      </c>
      <c r="C3" s="935" t="s">
        <v>1049</v>
      </c>
      <c r="D3" s="979"/>
    </row>
    <row r="4" spans="1:9" ht="23.25" customHeight="1">
      <c r="A4" s="991" t="s">
        <v>1051</v>
      </c>
      <c r="B4" s="989"/>
    </row>
    <row r="5" spans="1:9" ht="20.25" customHeight="1">
      <c r="A5" s="981" t="s">
        <v>1047</v>
      </c>
      <c r="B5" s="982"/>
      <c r="C5" s="982"/>
    </row>
    <row r="6" spans="1:9" ht="19.5" customHeight="1" thickBot="1">
      <c r="A6" s="983" t="s">
        <v>1048</v>
      </c>
      <c r="B6" s="1007"/>
      <c r="C6" s="926"/>
    </row>
    <row r="7" spans="1:9" ht="19.5" customHeight="1">
      <c r="A7" s="984" t="s">
        <v>990</v>
      </c>
      <c r="B7" s="1008" t="s">
        <v>1063</v>
      </c>
      <c r="C7" s="926"/>
    </row>
    <row r="8" spans="1:9" ht="19.5" customHeight="1">
      <c r="A8" s="985" t="s">
        <v>992</v>
      </c>
      <c r="B8" s="986" t="e">
        <f>"【提出】"&amp;D2&amp;"加算"&amp;E2&amp;F2</f>
        <v>#N/A</v>
      </c>
      <c r="C8" s="935" t="s">
        <v>1049</v>
      </c>
    </row>
    <row r="9" spans="1:9" ht="19.5" customHeight="1">
      <c r="A9" s="999" t="s">
        <v>1065</v>
      </c>
      <c r="B9" s="1001" t="e">
        <f>D2&amp;"加算"&amp;E2&amp;F2</f>
        <v>#N/A</v>
      </c>
      <c r="C9" s="935" t="s">
        <v>1066</v>
      </c>
    </row>
    <row r="10" spans="1:9" ht="19.5" customHeight="1" thickBot="1">
      <c r="A10" s="987" t="s">
        <v>994</v>
      </c>
      <c r="B10" s="943" t="s">
        <v>1067</v>
      </c>
      <c r="C10" s="935" t="s">
        <v>1052</v>
      </c>
    </row>
    <row r="11" spans="1:9" ht="23.25" customHeight="1">
      <c r="A11" s="1009" t="s">
        <v>1050</v>
      </c>
    </row>
    <row r="12" spans="1:9" ht="19.5" customHeight="1">
      <c r="A12" s="992" t="s">
        <v>1053</v>
      </c>
    </row>
    <row r="13" spans="1:9" ht="6.75" customHeight="1">
      <c r="A13" s="981"/>
      <c r="B13" s="980"/>
      <c r="C13" s="980"/>
    </row>
    <row r="14" spans="1:9" ht="19.5" customHeight="1" thickBot="1">
      <c r="A14" s="995"/>
      <c r="B14" s="993" t="s">
        <v>1044</v>
      </c>
      <c r="C14" s="994" t="s">
        <v>1043</v>
      </c>
    </row>
    <row r="15" spans="1:9" ht="14.25" customHeight="1">
      <c r="A15" s="1038" t="s">
        <v>1054</v>
      </c>
      <c r="B15" s="1045" t="str" cm="1">
        <f t="array" aca="1" ref="B15" ca="1">IFERROR(INDIRECT("F"&amp;SMALL($I$16:$I$22,ROW()/3-4)),"")</f>
        <v>障害児保育加算</v>
      </c>
      <c r="C15" s="996" t="e">
        <f ca="1">IF($B$15="","",$E$2&amp;"_"&amp;B15&amp;"添付書類①")</f>
        <v>#N/A</v>
      </c>
      <c r="F15" s="1003" t="s">
        <v>1068</v>
      </c>
      <c r="G15" s="1003" t="s">
        <v>1069</v>
      </c>
      <c r="H15" t="s">
        <v>1071</v>
      </c>
      <c r="I15" t="s">
        <v>1070</v>
      </c>
    </row>
    <row r="16" spans="1:9" ht="14.25" customHeight="1">
      <c r="A16" s="1039"/>
      <c r="B16" s="1046"/>
      <c r="C16" s="997" t="e">
        <f ca="1">IF($B$15="","",$E$2&amp;"_"&amp;B15&amp;"添付書類②")</f>
        <v>#N/A</v>
      </c>
      <c r="D16" t="b">
        <f ca="1">B15=""</f>
        <v>0</v>
      </c>
      <c r="F16" s="1004" t="s">
        <v>1042</v>
      </c>
      <c r="G16" t="str">
        <f>INDEX(【様式１】総括表・個票!$B$18:$B$43,MATCH(【別添】添付書類の表紙!F16,【様式１】総括表・個票!$F$18:F$43,0))</f>
        <v>適用月エラー</v>
      </c>
      <c r="H16" s="1010" t="str">
        <f>IF(G16="×","×","○")</f>
        <v>○</v>
      </c>
      <c r="I16">
        <f>IF(H16="○",ROW(),"")</f>
        <v>16</v>
      </c>
    </row>
    <row r="17" spans="1:16" ht="14.25" customHeight="1" thickBot="1">
      <c r="A17" s="1040"/>
      <c r="B17" s="1047"/>
      <c r="C17" s="998" t="e">
        <f ca="1">IF($B$15="","",$E$2&amp;"_"&amp;B15&amp;"添付書類③")</f>
        <v>#N/A</v>
      </c>
      <c r="D17" t="b">
        <f ca="1">D16</f>
        <v>0</v>
      </c>
      <c r="F17" s="1004" t="s">
        <v>106</v>
      </c>
      <c r="G17" t="str">
        <f>INDEX(【様式１】総括表・個票!$B$18:$B$43,MATCH(【別添】添付書類の表紙!F17,【様式１】総括表・個票!$F$18:F$43,0))</f>
        <v>適用月エラー</v>
      </c>
      <c r="H17" s="1010" t="str">
        <f>IF(G17="×","×","○")</f>
        <v>○</v>
      </c>
      <c r="I17">
        <f t="shared" ref="I17:I21" si="0">IF(H17="○",ROW(),"")</f>
        <v>17</v>
      </c>
    </row>
    <row r="18" spans="1:16" ht="14.25" customHeight="1">
      <c r="A18" s="1041" t="s">
        <v>1055</v>
      </c>
      <c r="B18" s="1045" t="str" cm="1">
        <f t="array" aca="1" ref="B18" ca="1">IFERROR(INDIRECT("F"&amp;SMALL($I$16:$I$22,ROW()/3-4)),"")</f>
        <v>休日保育加算</v>
      </c>
      <c r="C18" s="996" t="e">
        <f ca="1">IF($B$15="","",$E$2&amp;"_"&amp;B18&amp;"添付書類①")</f>
        <v>#N/A</v>
      </c>
      <c r="D18" t="b">
        <f ca="1">D16</f>
        <v>0</v>
      </c>
      <c r="F18" s="1004" t="s">
        <v>108</v>
      </c>
      <c r="G18" t="str">
        <f>INDEX(【様式１】総括表・個票!$B$18:$B$43,MATCH(【別添】添付書類の表紙!F18,【様式１】総括表・個票!$F$18:F$43,0))</f>
        <v>適用月エラー</v>
      </c>
      <c r="H18" t="str">
        <f t="shared" ref="H18:H19" si="1">G18</f>
        <v>適用月エラー</v>
      </c>
      <c r="I18" t="str">
        <f t="shared" si="0"/>
        <v/>
      </c>
      <c r="J18" s="1002"/>
      <c r="K18" s="1002"/>
      <c r="L18" s="1002"/>
      <c r="M18" s="1002"/>
      <c r="N18" s="1002"/>
      <c r="O18" s="1002"/>
      <c r="P18" s="1002"/>
    </row>
    <row r="19" spans="1:16" ht="14.25" customHeight="1">
      <c r="A19" s="1042"/>
      <c r="B19" s="1046"/>
      <c r="C19" s="997" t="e">
        <f ca="1">IF($B$15="","",$E$2&amp;"_"&amp;B18&amp;"添付書類②")</f>
        <v>#N/A</v>
      </c>
      <c r="D19" t="b">
        <f ca="1">B18=""</f>
        <v>0</v>
      </c>
      <c r="F19" s="1004" t="s">
        <v>109</v>
      </c>
      <c r="G19" t="str">
        <f>INDEX(【様式１】総括表・個票!$B$18:$B$43,MATCH(【別添】添付書類の表紙!F19,【様式１】総括表・個票!$F$18:F$43,0))</f>
        <v>適用月エラー</v>
      </c>
      <c r="H19" t="str">
        <f t="shared" si="1"/>
        <v>適用月エラー</v>
      </c>
      <c r="I19" t="str">
        <f t="shared" si="0"/>
        <v/>
      </c>
      <c r="J19" s="1002"/>
      <c r="K19" s="1002"/>
      <c r="L19" s="1002"/>
      <c r="M19" s="1002"/>
      <c r="N19" s="1002"/>
      <c r="O19" s="1002"/>
      <c r="P19" s="1002"/>
    </row>
    <row r="20" spans="1:16" ht="14.25" customHeight="1" thickBot="1">
      <c r="A20" s="1043"/>
      <c r="B20" s="1047"/>
      <c r="C20" s="998" t="e">
        <f ca="1">IF($B$15="","",$E$2&amp;"_"&amp;B18&amp;"添付書類③")</f>
        <v>#N/A</v>
      </c>
      <c r="D20" t="b">
        <f ca="1">D19</f>
        <v>0</v>
      </c>
      <c r="F20" s="1004" t="s">
        <v>943</v>
      </c>
      <c r="G20" t="str">
        <f>INDEX(【様式１】総括表・個票!$B$18:$B$43,MATCH(【別添】添付書類の表紙!F20,【様式１】総括表・個票!$F$18:F$43,0))</f>
        <v>適用月エラー</v>
      </c>
      <c r="H20" s="1005" t="str">
        <f>IF(G20="×","○","×")</f>
        <v>×</v>
      </c>
      <c r="I20" t="str">
        <f t="shared" si="0"/>
        <v/>
      </c>
      <c r="J20" s="1002"/>
      <c r="K20" s="1002"/>
      <c r="L20" s="1002"/>
      <c r="M20" s="1002"/>
      <c r="N20" s="1002"/>
      <c r="O20" s="1002"/>
      <c r="P20" s="1002"/>
    </row>
    <row r="21" spans="1:16" ht="14.25" customHeight="1">
      <c r="A21" s="1041" t="s">
        <v>1056</v>
      </c>
      <c r="B21" s="1045" t="str" cm="1">
        <f t="array" aca="1" ref="B21" ca="1">IFERROR(INDIRECT("F"&amp;SMALL($I$16:$I$22,ROW()/3-4)),"")</f>
        <v/>
      </c>
      <c r="C21" s="996" t="e">
        <f ca="1">IF($B$15="","",$E$2&amp;"_"&amp;B21&amp;"添付書類①")</f>
        <v>#N/A</v>
      </c>
      <c r="D21" t="b">
        <f ca="1">D19</f>
        <v>0</v>
      </c>
      <c r="F21" s="1004" t="s">
        <v>31</v>
      </c>
      <c r="G21" t="str">
        <f>INDEX(【様式１】総括表・個票!$B$18:$B$43,MATCH(【別添】添付書類の表紙!F21,【様式１】総括表・個票!$F$18:F$43,0))</f>
        <v>適用月エラー</v>
      </c>
      <c r="H21" s="1005" t="str">
        <f>IF(G21="×","×",IF(G21="適用月エラー","×","○"))</f>
        <v>×</v>
      </c>
      <c r="I21" t="str">
        <f t="shared" si="0"/>
        <v/>
      </c>
      <c r="J21" s="1002"/>
      <c r="K21" s="1002"/>
      <c r="L21" s="1002"/>
      <c r="M21" s="1002"/>
      <c r="N21" s="1002"/>
      <c r="O21" s="1002"/>
      <c r="P21" s="1002"/>
    </row>
    <row r="22" spans="1:16" ht="14.25" customHeight="1">
      <c r="A22" s="1042"/>
      <c r="B22" s="1046"/>
      <c r="C22" s="997" t="e">
        <f ca="1">IF($B$15="","",$E$2&amp;"_"&amp;B21&amp;"添付書類②")</f>
        <v>#N/A</v>
      </c>
      <c r="D22" t="b">
        <f ca="1">B21=""</f>
        <v>1</v>
      </c>
      <c r="H22" t="str">
        <f t="shared" ref="H22" si="2">IF(G22="○",ROW(),"")</f>
        <v/>
      </c>
      <c r="I22" s="1002"/>
      <c r="J22" s="1002"/>
      <c r="K22" s="1002"/>
      <c r="L22" s="1002"/>
      <c r="M22" s="1002"/>
      <c r="N22" s="1002"/>
      <c r="O22" s="1002"/>
      <c r="P22" s="1002"/>
    </row>
    <row r="23" spans="1:16" ht="14.25" customHeight="1" thickBot="1">
      <c r="A23" s="1043"/>
      <c r="B23" s="1047"/>
      <c r="C23" s="998" t="e">
        <f ca="1">IF($B$15="","",$E$2&amp;"_"&amp;B21&amp;"添付書類③")</f>
        <v>#N/A</v>
      </c>
      <c r="D23" t="b">
        <f ca="1">D22</f>
        <v>1</v>
      </c>
      <c r="H23" s="1002"/>
      <c r="I23" s="1002"/>
      <c r="J23" s="1002"/>
      <c r="K23" s="1002"/>
      <c r="L23" s="1002"/>
      <c r="M23" s="1002"/>
      <c r="N23" s="1002"/>
      <c r="O23" s="1002"/>
      <c r="P23" s="1002"/>
    </row>
    <row r="24" spans="1:16" ht="14.25" customHeight="1">
      <c r="A24" s="1041" t="s">
        <v>1057</v>
      </c>
      <c r="B24" s="1045" t="str" cm="1">
        <f t="array" aca="1" ref="B24" ca="1">IFERROR(INDIRECT("F"&amp;SMALL($I$16:$I$22,ROW()/3-4)),"")</f>
        <v/>
      </c>
      <c r="C24" s="996" t="e">
        <f ca="1">IF($B$15="","",$E$2&amp;"_"&amp;B24&amp;"添付書類①")</f>
        <v>#N/A</v>
      </c>
      <c r="D24" t="b">
        <f ca="1">D22</f>
        <v>1</v>
      </c>
      <c r="H24" s="1044"/>
      <c r="I24" s="1044"/>
      <c r="J24" s="1044"/>
      <c r="K24" s="1044"/>
      <c r="L24" s="1044"/>
      <c r="M24" s="1044"/>
      <c r="N24" s="1044"/>
      <c r="O24" s="1044"/>
      <c r="P24" s="1044"/>
    </row>
    <row r="25" spans="1:16" ht="14.25" customHeight="1">
      <c r="A25" s="1042"/>
      <c r="B25" s="1046"/>
      <c r="C25" s="997" t="e">
        <f ca="1">IF($B$15="","",$E$2&amp;"_"&amp;B24&amp;"添付書類②")</f>
        <v>#N/A</v>
      </c>
      <c r="D25" t="b">
        <f ca="1">B24=""</f>
        <v>1</v>
      </c>
    </row>
    <row r="26" spans="1:16" ht="14.25" customHeight="1" thickBot="1">
      <c r="A26" s="1043"/>
      <c r="B26" s="1047"/>
      <c r="C26" s="998" t="e">
        <f ca="1">IF($B$15="","",$E$2&amp;"_"&amp;B24&amp;"添付書類③")</f>
        <v>#N/A</v>
      </c>
      <c r="D26" t="b">
        <f ca="1">D25</f>
        <v>1</v>
      </c>
      <c r="I26" s="978"/>
    </row>
    <row r="27" spans="1:16" ht="14.25" customHeight="1">
      <c r="A27" s="1041" t="s">
        <v>1058</v>
      </c>
      <c r="B27" s="1045" t="str" cm="1">
        <f t="array" aca="1" ref="B27" ca="1">IFERROR(INDIRECT("F"&amp;SMALL($I$16:$I$22,ROW()/3-4)),"")</f>
        <v/>
      </c>
      <c r="C27" s="996" t="e">
        <f ca="1">IF($B$15="","",$E$2&amp;"_"&amp;B27&amp;"添付書類①")</f>
        <v>#N/A</v>
      </c>
      <c r="D27" t="b">
        <f ca="1">D25</f>
        <v>1</v>
      </c>
      <c r="H27" s="1044"/>
      <c r="I27" s="1044"/>
      <c r="J27" s="1044"/>
      <c r="K27" s="1044"/>
      <c r="L27" s="1044"/>
      <c r="M27" s="1044"/>
      <c r="N27" s="1044"/>
      <c r="O27" s="1044"/>
      <c r="P27" s="1044"/>
    </row>
    <row r="28" spans="1:16" ht="14.25" customHeight="1">
      <c r="A28" s="1042"/>
      <c r="B28" s="1046"/>
      <c r="C28" s="997" t="e">
        <f ca="1">IF($B$15="","",$E$2&amp;"_"&amp;B27&amp;"添付書類②")</f>
        <v>#N/A</v>
      </c>
      <c r="D28" t="b">
        <f ca="1">B27=""</f>
        <v>1</v>
      </c>
      <c r="H28" s="1044"/>
      <c r="I28" s="1044"/>
      <c r="J28" s="1044"/>
      <c r="K28" s="1044"/>
      <c r="L28" s="1044"/>
      <c r="M28" s="1044"/>
      <c r="N28" s="1044"/>
      <c r="O28" s="1044"/>
      <c r="P28" s="1044"/>
    </row>
    <row r="29" spans="1:16" ht="14.25" customHeight="1" thickBot="1">
      <c r="A29" s="1043"/>
      <c r="B29" s="1047"/>
      <c r="C29" s="998" t="e">
        <f ca="1">IF($B$15="","",$E$2&amp;"_"&amp;B27&amp;"添付書類③")</f>
        <v>#N/A</v>
      </c>
      <c r="D29" t="b">
        <f ca="1">D28</f>
        <v>1</v>
      </c>
    </row>
    <row r="30" spans="1:16" ht="14.25" customHeight="1">
      <c r="A30" s="1041" t="s">
        <v>1059</v>
      </c>
      <c r="B30" s="1045" t="str" cm="1">
        <f t="array" aca="1" ref="B30" ca="1">IFERROR(INDIRECT("F"&amp;SMALL($I$16:$I$22,ROW()/3-4)),"")</f>
        <v/>
      </c>
      <c r="C30" s="996" t="e">
        <f ca="1">IF($B$15="","",$E$2&amp;"_"&amp;B30&amp;"添付書類①")</f>
        <v>#N/A</v>
      </c>
      <c r="D30" t="b">
        <f ca="1">D28</f>
        <v>1</v>
      </c>
    </row>
    <row r="31" spans="1:16" ht="14.25" customHeight="1">
      <c r="A31" s="1042"/>
      <c r="B31" s="1046"/>
      <c r="C31" s="997" t="e">
        <f ca="1">IF($B$15="","",$E$2&amp;"_"&amp;B30&amp;"添付書類②")</f>
        <v>#N/A</v>
      </c>
      <c r="D31" t="b">
        <f ca="1">B30=""</f>
        <v>1</v>
      </c>
      <c r="H31" s="1044"/>
      <c r="I31" s="1044"/>
      <c r="J31" s="1044"/>
      <c r="K31" s="1044"/>
      <c r="L31" s="1044"/>
      <c r="M31" s="1044"/>
      <c r="N31" s="1044"/>
      <c r="O31" s="1044"/>
      <c r="P31" s="1044"/>
    </row>
    <row r="32" spans="1:16" ht="14.25" customHeight="1" thickBot="1">
      <c r="A32" s="1043"/>
      <c r="B32" s="1047"/>
      <c r="C32" s="998" t="e">
        <f ca="1">IF($B$15="","",$E$2&amp;"_"&amp;B30&amp;"添付書類③")</f>
        <v>#N/A</v>
      </c>
      <c r="D32" t="b">
        <f ca="1">D31</f>
        <v>1</v>
      </c>
    </row>
    <row r="33" spans="1:16" ht="14.25" customHeight="1">
      <c r="A33" s="1041" t="s">
        <v>1060</v>
      </c>
      <c r="B33" s="1045" t="str" cm="1">
        <f t="array" aca="1" ref="B33" ca="1">IFERROR(INDIRECT("F"&amp;SMALL($I$16:$I$22,ROW()/3-4)),"")</f>
        <v/>
      </c>
      <c r="C33" s="996" t="e">
        <f ca="1">IF($B$15="","",$E$2&amp;"_"&amp;B33&amp;"添付書類①")</f>
        <v>#N/A</v>
      </c>
      <c r="D33" t="b">
        <f ca="1">D31</f>
        <v>1</v>
      </c>
    </row>
    <row r="34" spans="1:16" ht="14.25" customHeight="1">
      <c r="A34" s="1042"/>
      <c r="B34" s="1046"/>
      <c r="C34" s="997" t="e">
        <f ca="1">IF($B$15="","",$E$2&amp;"_"&amp;B33&amp;"添付書類②")</f>
        <v>#N/A</v>
      </c>
      <c r="D34" t="b">
        <f ca="1">B33=""</f>
        <v>1</v>
      </c>
      <c r="H34" s="1044"/>
      <c r="I34" s="1044"/>
      <c r="J34" s="1044"/>
      <c r="K34" s="1044"/>
      <c r="L34" s="1044"/>
      <c r="M34" s="1044"/>
      <c r="N34" s="1044"/>
      <c r="O34" s="1044"/>
      <c r="P34" s="1044"/>
    </row>
    <row r="35" spans="1:16" ht="14.25" customHeight="1" thickBot="1">
      <c r="A35" s="1043"/>
      <c r="B35" s="1047"/>
      <c r="C35" s="998" t="e">
        <f ca="1">IF($B$15="","",$E$2&amp;"_"&amp;B33&amp;"添付書類③")</f>
        <v>#N/A</v>
      </c>
      <c r="D35" t="b">
        <f ca="1">D34</f>
        <v>1</v>
      </c>
    </row>
    <row r="36" spans="1:16" ht="14.25" customHeight="1">
      <c r="A36" s="1041" t="s">
        <v>1061</v>
      </c>
      <c r="B36" s="1045" t="str" cm="1">
        <f t="array" aca="1" ref="B36" ca="1">IFERROR(INDIRECT("F"&amp;SMALL($I$16:$I$22,ROW()/3-4)),"")</f>
        <v/>
      </c>
      <c r="C36" s="996" t="e">
        <f ca="1">IF($B$15="","",$E$2&amp;"_"&amp;B36&amp;"添付書類①")</f>
        <v>#N/A</v>
      </c>
      <c r="D36" t="b">
        <f ca="1">D34</f>
        <v>1</v>
      </c>
    </row>
    <row r="37" spans="1:16" ht="14.25" customHeight="1">
      <c r="A37" s="1042"/>
      <c r="B37" s="1046"/>
      <c r="C37" s="997" t="e">
        <f ca="1">IF($B$15="","",$E$2&amp;"_"&amp;B36&amp;"添付書類②")</f>
        <v>#N/A</v>
      </c>
      <c r="D37" t="b">
        <f ca="1">B36=""</f>
        <v>1</v>
      </c>
    </row>
    <row r="38" spans="1:16" ht="14.25" customHeight="1" thickBot="1">
      <c r="A38" s="1043"/>
      <c r="B38" s="1047"/>
      <c r="C38" s="998" t="e">
        <f ca="1">IF($B$15="","",$E$2&amp;"_"&amp;B36&amp;"添付書類③")</f>
        <v>#N/A</v>
      </c>
      <c r="D38" t="b">
        <f ca="1">D37</f>
        <v>1</v>
      </c>
    </row>
    <row r="39" spans="1:16" ht="14.25" customHeight="1">
      <c r="A39" s="1041" t="s">
        <v>1062</v>
      </c>
      <c r="B39" s="1045" t="str" cm="1">
        <f t="array" aca="1" ref="B39" ca="1">IFERROR(INDIRECT("F"&amp;SMALL($I$16:$I$22,ROW()/3-4)),"")</f>
        <v/>
      </c>
      <c r="C39" s="996" t="e">
        <f ca="1">IF($B$15="","",$E$2&amp;"_"&amp;B39&amp;"添付書類①")</f>
        <v>#N/A</v>
      </c>
      <c r="D39" t="b">
        <f ca="1">D37</f>
        <v>1</v>
      </c>
    </row>
    <row r="40" spans="1:16" ht="14.25" customHeight="1">
      <c r="A40" s="1042"/>
      <c r="B40" s="1046"/>
      <c r="C40" s="997" t="e">
        <f ca="1">IF($B$15="","",$E$2&amp;"_"&amp;B39&amp;"添付書類②")</f>
        <v>#N/A</v>
      </c>
      <c r="D40" t="b">
        <f ca="1">B39=""</f>
        <v>1</v>
      </c>
    </row>
    <row r="41" spans="1:16" ht="14.25" customHeight="1" thickBot="1">
      <c r="A41" s="1043"/>
      <c r="B41" s="1047"/>
      <c r="C41" s="998" t="e">
        <f ca="1">IF($B$15="","",$E$2&amp;"_"&amp;B39&amp;"添付書類③")</f>
        <v>#N/A</v>
      </c>
      <c r="D41" t="b">
        <f ca="1">D40</f>
        <v>1</v>
      </c>
    </row>
    <row r="42" spans="1:16" ht="14.25" customHeight="1">
      <c r="D42" t="b">
        <f ca="1">D40</f>
        <v>1</v>
      </c>
    </row>
    <row r="43" spans="1:16" ht="13.5" customHeight="1">
      <c r="D43" t="b">
        <f>B42=""</f>
        <v>1</v>
      </c>
    </row>
    <row r="44" spans="1:16">
      <c r="D44" t="b">
        <f>D43</f>
        <v>1</v>
      </c>
    </row>
    <row r="45" spans="1:16" ht="13.5" customHeight="1">
      <c r="D45" t="b">
        <f>D43</f>
        <v>1</v>
      </c>
    </row>
    <row r="46" spans="1:16">
      <c r="D46" t="b">
        <f>B45=""</f>
        <v>1</v>
      </c>
    </row>
    <row r="47" spans="1:16" ht="13.5" customHeight="1"/>
    <row r="48" spans="1:16" ht="13.5" customHeight="1"/>
    <row r="49" ht="13.5" customHeight="1"/>
  </sheetData>
  <sheetProtection algorithmName="SHA-512" hashValue="gVoYv9F8g7zOVgOcE39BmwnHOAS5E6TbAb8l03Zfc6m19LTjpYbpPSWdPw1bD0nKtV/3tciW4VV27NtZcwCCMQ==" saltValue="AqtRnx2UxxBOGbmSn7QiBg==" spinCount="100000" sheet="1" objects="1" scenarios="1"/>
  <mergeCells count="23">
    <mergeCell ref="A36:A38"/>
    <mergeCell ref="A39:A41"/>
    <mergeCell ref="B15:B17"/>
    <mergeCell ref="B18:B20"/>
    <mergeCell ref="B21:B23"/>
    <mergeCell ref="B24:B26"/>
    <mergeCell ref="B27:B29"/>
    <mergeCell ref="B30:B32"/>
    <mergeCell ref="B33:B35"/>
    <mergeCell ref="B36:B38"/>
    <mergeCell ref="B39:B41"/>
    <mergeCell ref="A21:A23"/>
    <mergeCell ref="A24:A26"/>
    <mergeCell ref="A27:A29"/>
    <mergeCell ref="A30:A32"/>
    <mergeCell ref="A33:A35"/>
    <mergeCell ref="A15:A17"/>
    <mergeCell ref="A18:A20"/>
    <mergeCell ref="H31:P31"/>
    <mergeCell ref="H34:P34"/>
    <mergeCell ref="H24:P24"/>
    <mergeCell ref="H27:P27"/>
    <mergeCell ref="H28:P28"/>
  </mergeCells>
  <phoneticPr fontId="1"/>
  <pageMargins left="0.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1">
    <tabColor rgb="FFFF0000"/>
    <pageSetUpPr fitToPage="1"/>
  </sheetPr>
  <dimension ref="A1:BL245"/>
  <sheetViews>
    <sheetView view="pageBreakPreview" zoomScale="124" zoomScaleNormal="100" zoomScaleSheetLayoutView="124" workbookViewId="0">
      <selection activeCell="I10" sqref="I10:K10"/>
    </sheetView>
  </sheetViews>
  <sheetFormatPr defaultColWidth="9" defaultRowHeight="12" outlineLevelCol="1"/>
  <cols>
    <col min="1" max="21" width="2.875" style="70" customWidth="1"/>
    <col min="22" max="26" width="3.125" style="70" customWidth="1"/>
    <col min="27" max="33" width="2.875" style="70" customWidth="1"/>
    <col min="34" max="34" width="55.5" style="70" customWidth="1"/>
    <col min="35" max="35" width="9.5" style="70" hidden="1" customWidth="1" outlineLevel="1"/>
    <col min="36" max="36" width="9" style="70" hidden="1" customWidth="1" outlineLevel="1"/>
    <col min="37" max="37" width="11" style="70" hidden="1" customWidth="1" outlineLevel="1"/>
    <col min="38" max="38" width="12.625" style="70" hidden="1" customWidth="1" outlineLevel="1"/>
    <col min="39" max="63" width="9" style="70" hidden="1" customWidth="1" outlineLevel="1"/>
    <col min="64" max="64" width="9" style="70" collapsed="1"/>
    <col min="65" max="16384" width="9" style="70"/>
  </cols>
  <sheetData>
    <row r="1" spans="1:44" ht="15" customHeight="1" thickBot="1">
      <c r="A1" s="703" t="e">
        <f>"【様式１："&amp;IF(L12="Ａ","小規模Ａ",IF(L12="事小","事業所内19名以下",IF(L12="事保","事業所内20名以上","エラー")))&amp;"】"</f>
        <v>#N/A</v>
      </c>
      <c r="B1" s="704"/>
      <c r="C1" s="704"/>
      <c r="D1" s="704"/>
      <c r="E1" s="704"/>
      <c r="F1" s="704"/>
      <c r="G1" s="704"/>
      <c r="H1" s="704"/>
      <c r="I1" s="705"/>
      <c r="J1" s="705"/>
      <c r="K1" s="705"/>
      <c r="L1" s="705"/>
      <c r="M1" s="705"/>
      <c r="N1" s="705"/>
      <c r="O1" s="705"/>
      <c r="P1" s="705"/>
      <c r="Q1" s="705"/>
      <c r="R1" s="705"/>
      <c r="S1" s="705"/>
      <c r="T1" s="705"/>
      <c r="U1" s="705"/>
      <c r="V1" s="705"/>
      <c r="W1" s="705"/>
      <c r="X1" s="1167" t="e">
        <f>AI2&amp;"様式1"&amp;AI3</f>
        <v>#N/A</v>
      </c>
      <c r="Y1" s="1167"/>
      <c r="Z1" s="1167"/>
      <c r="AA1" s="1167"/>
      <c r="AB1" s="1167"/>
      <c r="AC1" s="1167"/>
      <c r="AD1" s="1167"/>
      <c r="AE1" s="1167"/>
      <c r="AF1" s="1167"/>
      <c r="AG1" s="1168"/>
      <c r="AI1" s="74" t="s">
        <v>475</v>
      </c>
      <c r="AJ1" s="74" t="s">
        <v>60</v>
      </c>
      <c r="AK1" s="1154" t="s">
        <v>66</v>
      </c>
      <c r="AL1" s="1156"/>
      <c r="AM1" s="75" t="s">
        <v>257</v>
      </c>
      <c r="AN1" s="75" t="s">
        <v>65</v>
      </c>
      <c r="AO1" s="74" t="s">
        <v>63</v>
      </c>
      <c r="AP1" s="74" t="s">
        <v>263</v>
      </c>
      <c r="AQ1" s="74" t="s">
        <v>824</v>
      </c>
      <c r="AR1" s="74" t="s">
        <v>825</v>
      </c>
    </row>
    <row r="2" spans="1:44" ht="15" customHeight="1" thickTop="1" thickBot="1">
      <c r="A2" s="629"/>
      <c r="B2" s="341"/>
      <c r="C2" s="341"/>
      <c r="D2" s="341"/>
      <c r="E2" s="341"/>
      <c r="F2" s="341"/>
      <c r="G2" s="341"/>
      <c r="H2" s="341"/>
      <c r="I2" s="630"/>
      <c r="J2" s="630"/>
      <c r="K2" s="630"/>
      <c r="L2" s="630"/>
      <c r="M2" s="630"/>
      <c r="N2" s="630"/>
      <c r="O2" s="630"/>
      <c r="P2" s="630"/>
      <c r="Q2" s="630"/>
      <c r="R2" s="630"/>
      <c r="S2" s="630"/>
      <c r="T2" s="630"/>
      <c r="U2" s="630"/>
      <c r="V2" s="630"/>
      <c r="W2" s="630"/>
      <c r="X2" s="341"/>
      <c r="Y2" s="341"/>
      <c r="Z2" s="341"/>
      <c r="AA2" s="341"/>
      <c r="AB2" s="341"/>
      <c r="AC2" s="225"/>
      <c r="AD2" s="225"/>
      <c r="AE2" s="225"/>
      <c r="AF2" s="225"/>
      <c r="AG2" s="631"/>
      <c r="AI2" s="75" t="str">
        <f>"加-"&amp;MID(AJ2,3,2)&amp;"_"&amp;$I$10&amp;"月"&amp;"申-"</f>
        <v>加-23_月申-</v>
      </c>
      <c r="AJ2" s="974">
        <v>2023</v>
      </c>
      <c r="AK2" s="103"/>
      <c r="AL2" s="74"/>
      <c r="AM2" s="75"/>
      <c r="AN2" s="75"/>
      <c r="AO2" s="74"/>
      <c r="AP2" s="74"/>
      <c r="AQ2" s="74"/>
      <c r="AR2" s="74"/>
    </row>
    <row r="3" spans="1:44" ht="15" customHeight="1" thickTop="1">
      <c r="A3" s="1158" t="str">
        <f>+AJ2&amp;"年度施設型給付費等にかかる加算（調整）適用申請書（試算様式）"</f>
        <v>2023年度施設型給付費等にかかる加算（調整）適用申請書（試算様式）</v>
      </c>
      <c r="B3" s="1159"/>
      <c r="C3" s="1159"/>
      <c r="D3" s="1159"/>
      <c r="E3" s="1159"/>
      <c r="F3" s="1159"/>
      <c r="G3" s="1159"/>
      <c r="H3" s="1159"/>
      <c r="I3" s="1159"/>
      <c r="J3" s="1159"/>
      <c r="K3" s="1159"/>
      <c r="L3" s="1159"/>
      <c r="M3" s="1159"/>
      <c r="N3" s="1159"/>
      <c r="O3" s="1159"/>
      <c r="P3" s="1159"/>
      <c r="Q3" s="1159"/>
      <c r="R3" s="1159"/>
      <c r="S3" s="1159"/>
      <c r="T3" s="1159"/>
      <c r="U3" s="1159"/>
      <c r="V3" s="1159"/>
      <c r="W3" s="1159"/>
      <c r="X3" s="1159"/>
      <c r="Y3" s="1159"/>
      <c r="Z3" s="1159"/>
      <c r="AA3" s="1159"/>
      <c r="AB3" s="1159"/>
      <c r="AC3" s="1159"/>
      <c r="AD3" s="1159"/>
      <c r="AE3" s="341"/>
      <c r="AF3" s="341"/>
      <c r="AG3" s="632"/>
      <c r="AI3" s="74" t="e">
        <f>"-"&amp;L12&amp;IFERROR(VLOOKUP($D$13,'施設状況(要更新)'!$F$4:$S$700,14,FALSE),"")&amp;"_Ver."&amp;TEXT(ver!$B$18,"#.00")</f>
        <v>#N/A</v>
      </c>
      <c r="AJ3" s="905">
        <f>AJ2+1</f>
        <v>2024</v>
      </c>
      <c r="AK3" s="74">
        <v>4</v>
      </c>
      <c r="AL3" s="74">
        <v>1</v>
      </c>
      <c r="AM3" s="74" t="s">
        <v>264</v>
      </c>
      <c r="AN3" s="75" t="s">
        <v>259</v>
      </c>
      <c r="AO3" s="74" t="s">
        <v>260</v>
      </c>
      <c r="AP3" s="112" t="s">
        <v>193</v>
      </c>
      <c r="AQ3" s="74">
        <v>1</v>
      </c>
      <c r="AR3" s="74" t="s">
        <v>819</v>
      </c>
    </row>
    <row r="4" spans="1:44" ht="15" customHeight="1">
      <c r="A4" s="629"/>
      <c r="B4" s="341"/>
      <c r="C4" s="341"/>
      <c r="D4" s="341"/>
      <c r="E4" s="341"/>
      <c r="F4" s="341"/>
      <c r="G4" s="341"/>
      <c r="H4" s="341"/>
      <c r="I4" s="341"/>
      <c r="J4" s="341"/>
      <c r="K4" s="341"/>
      <c r="L4" s="341"/>
      <c r="M4" s="341"/>
      <c r="N4" s="341"/>
      <c r="O4" s="341"/>
      <c r="P4" s="341"/>
      <c r="Q4" s="341"/>
      <c r="R4" s="341"/>
      <c r="S4" s="341"/>
      <c r="T4" s="341"/>
      <c r="U4" s="341"/>
      <c r="V4" s="341"/>
      <c r="W4" s="1160" t="e">
        <f>VLOOKUP(I10,$AK$18:$AL$29,2,0)</f>
        <v>#N/A</v>
      </c>
      <c r="X4" s="1160"/>
      <c r="Y4" s="1160"/>
      <c r="Z4" s="1160"/>
      <c r="AA4" s="1160"/>
      <c r="AB4" s="1160"/>
      <c r="AC4" s="1160"/>
      <c r="AD4" s="1160"/>
      <c r="AE4" s="341"/>
      <c r="AF4" s="341"/>
      <c r="AG4" s="632"/>
      <c r="AK4" s="74">
        <v>5</v>
      </c>
      <c r="AL4" s="74">
        <v>2</v>
      </c>
      <c r="AM4" s="74" t="s">
        <v>265</v>
      </c>
      <c r="AN4" s="74" t="s">
        <v>261</v>
      </c>
      <c r="AO4" s="74" t="s">
        <v>262</v>
      </c>
      <c r="AP4" s="113" t="s">
        <v>249</v>
      </c>
      <c r="AQ4" s="74">
        <v>2</v>
      </c>
      <c r="AR4" s="74" t="s">
        <v>826</v>
      </c>
    </row>
    <row r="5" spans="1:44" ht="15" customHeight="1">
      <c r="A5" s="629" t="s">
        <v>52</v>
      </c>
      <c r="B5" s="341"/>
      <c r="C5" s="341"/>
      <c r="D5" s="341"/>
      <c r="E5" s="341"/>
      <c r="F5" s="341"/>
      <c r="G5" s="341"/>
      <c r="H5" s="341"/>
      <c r="I5" s="341"/>
      <c r="J5" s="341"/>
      <c r="K5" s="341"/>
      <c r="L5" s="341"/>
      <c r="M5" s="341"/>
      <c r="N5" s="341"/>
      <c r="O5" s="341"/>
      <c r="P5" s="341"/>
      <c r="Q5" s="341"/>
      <c r="R5" s="341"/>
      <c r="S5" s="341"/>
      <c r="T5" s="341"/>
      <c r="U5" s="341"/>
      <c r="V5" s="341"/>
      <c r="W5" s="341"/>
      <c r="X5" s="341"/>
      <c r="Y5" s="341"/>
      <c r="Z5" s="341"/>
      <c r="AA5" s="341"/>
      <c r="AB5" s="341"/>
      <c r="AC5" s="341"/>
      <c r="AD5" s="341"/>
      <c r="AE5" s="341"/>
      <c r="AF5" s="341"/>
      <c r="AG5" s="632"/>
      <c r="AK5" s="74">
        <v>6</v>
      </c>
      <c r="AL5" s="74">
        <v>3</v>
      </c>
      <c r="AM5" s="74" t="s">
        <v>266</v>
      </c>
      <c r="AQ5" s="74">
        <v>3</v>
      </c>
    </row>
    <row r="6" spans="1:44" ht="15" customHeight="1">
      <c r="A6" s="629"/>
      <c r="B6" s="341"/>
      <c r="C6" s="341"/>
      <c r="D6" s="341"/>
      <c r="E6" s="341"/>
      <c r="F6" s="341"/>
      <c r="G6" s="341"/>
      <c r="H6" s="341"/>
      <c r="I6" s="341"/>
      <c r="J6" s="341"/>
      <c r="K6" s="341"/>
      <c r="L6" s="341"/>
      <c r="M6" s="341"/>
      <c r="N6" s="341"/>
      <c r="O6" s="341"/>
      <c r="P6" s="1165" t="s">
        <v>12</v>
      </c>
      <c r="Q6" s="1166"/>
      <c r="R6" s="1166"/>
      <c r="S6" s="2264"/>
      <c r="T6" s="2265"/>
      <c r="U6" s="2265"/>
      <c r="V6" s="2265"/>
      <c r="W6" s="2265"/>
      <c r="X6" s="2265"/>
      <c r="Y6" s="2265"/>
      <c r="Z6" s="2265"/>
      <c r="AA6" s="2265"/>
      <c r="AB6" s="2265"/>
      <c r="AC6" s="2265"/>
      <c r="AD6" s="2266"/>
      <c r="AE6" s="633"/>
      <c r="AF6" s="341"/>
      <c r="AG6" s="632"/>
      <c r="AK6" s="74">
        <v>7</v>
      </c>
      <c r="AL6" s="74">
        <v>4</v>
      </c>
      <c r="AM6" s="74" t="s">
        <v>267</v>
      </c>
      <c r="AQ6" s="74">
        <v>4</v>
      </c>
    </row>
    <row r="7" spans="1:44" ht="15" customHeight="1">
      <c r="A7" s="629"/>
      <c r="B7" s="341"/>
      <c r="C7" s="341"/>
      <c r="D7" s="341"/>
      <c r="E7" s="341"/>
      <c r="F7" s="341"/>
      <c r="G7" s="341"/>
      <c r="H7" s="341"/>
      <c r="I7" s="341"/>
      <c r="J7" s="341"/>
      <c r="K7" s="341"/>
      <c r="L7" s="341"/>
      <c r="M7" s="341"/>
      <c r="N7" s="341"/>
      <c r="O7" s="341"/>
      <c r="P7" s="1048" t="s">
        <v>13</v>
      </c>
      <c r="Q7" s="1049"/>
      <c r="R7" s="1049"/>
      <c r="S7" s="2267"/>
      <c r="T7" s="2268"/>
      <c r="U7" s="2268"/>
      <c r="V7" s="2268"/>
      <c r="W7" s="2268"/>
      <c r="X7" s="2268"/>
      <c r="Y7" s="2268"/>
      <c r="Z7" s="2268"/>
      <c r="AA7" s="2268"/>
      <c r="AB7" s="2268"/>
      <c r="AC7" s="2268"/>
      <c r="AD7" s="2269"/>
      <c r="AE7" s="633"/>
      <c r="AF7" s="341"/>
      <c r="AG7" s="632"/>
      <c r="AK7" s="74">
        <v>8</v>
      </c>
      <c r="AL7" s="74">
        <v>5</v>
      </c>
      <c r="AM7" s="74" t="s">
        <v>268</v>
      </c>
      <c r="AQ7" s="74">
        <v>5</v>
      </c>
    </row>
    <row r="8" spans="1:44" ht="15" customHeight="1">
      <c r="A8" s="629" t="str">
        <f>+"　"&amp;AJ2&amp;"年度において、下記のとおり申請します。"</f>
        <v>　2023年度において、下記のとおり申請します。</v>
      </c>
      <c r="B8" s="341"/>
      <c r="C8" s="341"/>
      <c r="D8" s="341"/>
      <c r="E8" s="341"/>
      <c r="F8" s="341"/>
      <c r="G8" s="341"/>
      <c r="H8" s="341"/>
      <c r="I8" s="341"/>
      <c r="J8" s="341"/>
      <c r="K8" s="341"/>
      <c r="L8" s="341"/>
      <c r="M8" s="341"/>
      <c r="N8" s="341"/>
      <c r="O8" s="341"/>
      <c r="P8" s="341"/>
      <c r="Q8" s="341"/>
      <c r="R8" s="341"/>
      <c r="S8" s="341"/>
      <c r="T8" s="341"/>
      <c r="U8" s="341"/>
      <c r="V8" s="341"/>
      <c r="W8" s="341"/>
      <c r="X8" s="341"/>
      <c r="Y8" s="341"/>
      <c r="Z8" s="341"/>
      <c r="AA8" s="341"/>
      <c r="AB8" s="341"/>
      <c r="AC8" s="341"/>
      <c r="AD8" s="341"/>
      <c r="AE8" s="341"/>
      <c r="AF8" s="341"/>
      <c r="AG8" s="632"/>
      <c r="AK8" s="74">
        <v>9</v>
      </c>
      <c r="AL8" s="74">
        <v>6</v>
      </c>
      <c r="AM8" s="74" t="s">
        <v>269</v>
      </c>
      <c r="AQ8" s="74">
        <v>6</v>
      </c>
    </row>
    <row r="9" spans="1:44" ht="15" customHeight="1">
      <c r="A9" s="1161" t="s">
        <v>16</v>
      </c>
      <c r="B9" s="1162"/>
      <c r="C9" s="1162"/>
      <c r="D9" s="1162"/>
      <c r="E9" s="1162"/>
      <c r="F9" s="1162"/>
      <c r="G9" s="1162"/>
      <c r="H9" s="1162"/>
      <c r="I9" s="1162"/>
      <c r="J9" s="1162"/>
      <c r="K9" s="1162"/>
      <c r="L9" s="1162"/>
      <c r="M9" s="1162"/>
      <c r="N9" s="1162"/>
      <c r="O9" s="1162"/>
      <c r="P9" s="1162"/>
      <c r="Q9" s="1162"/>
      <c r="R9" s="1162"/>
      <c r="S9" s="1162"/>
      <c r="T9" s="1162"/>
      <c r="U9" s="1162"/>
      <c r="V9" s="1162"/>
      <c r="W9" s="1162"/>
      <c r="X9" s="1162"/>
      <c r="Y9" s="1162"/>
      <c r="Z9" s="1162"/>
      <c r="AA9" s="1162"/>
      <c r="AB9" s="1162"/>
      <c r="AC9" s="1162"/>
      <c r="AD9" s="1162"/>
      <c r="AE9" s="1162"/>
      <c r="AF9" s="1162"/>
      <c r="AG9" s="1163"/>
      <c r="AK9" s="74">
        <v>10</v>
      </c>
      <c r="AL9" s="74">
        <v>7</v>
      </c>
      <c r="AM9" s="74" t="s">
        <v>258</v>
      </c>
      <c r="AQ9" s="74">
        <v>7</v>
      </c>
    </row>
    <row r="10" spans="1:44" ht="15" customHeight="1">
      <c r="A10" s="1170" t="s">
        <v>256</v>
      </c>
      <c r="B10" s="1065"/>
      <c r="C10" s="1066"/>
      <c r="D10" s="1064" t="str">
        <f>IF(I10&gt;=4,$AJ$2,IF(AND(I10&gt;0,$I$10&lt;=3),$AJ$2+1,""))</f>
        <v/>
      </c>
      <c r="E10" s="1065"/>
      <c r="F10" s="1065"/>
      <c r="G10" s="1065" t="s">
        <v>10</v>
      </c>
      <c r="H10" s="1065"/>
      <c r="I10" s="1142"/>
      <c r="J10" s="1142"/>
      <c r="K10" s="1142"/>
      <c r="L10" s="1065" t="s">
        <v>53</v>
      </c>
      <c r="M10" s="1065"/>
      <c r="N10" s="1066"/>
      <c r="O10" s="341"/>
      <c r="P10" s="341"/>
      <c r="Q10" s="341"/>
      <c r="R10" s="341"/>
      <c r="S10" s="341"/>
      <c r="T10" s="341"/>
      <c r="U10" s="341"/>
      <c r="V10" s="341"/>
      <c r="W10" s="341"/>
      <c r="X10" s="341"/>
      <c r="Y10" s="341"/>
      <c r="Z10" s="341"/>
      <c r="AA10" s="341"/>
      <c r="AB10" s="341"/>
      <c r="AC10" s="341"/>
      <c r="AD10" s="341"/>
      <c r="AE10" s="341"/>
      <c r="AF10" s="341"/>
      <c r="AG10" s="632"/>
      <c r="AK10" s="74">
        <v>11</v>
      </c>
      <c r="AL10" s="74">
        <v>8</v>
      </c>
      <c r="AM10" s="74" t="s">
        <v>270</v>
      </c>
      <c r="AQ10" s="74">
        <v>8</v>
      </c>
    </row>
    <row r="11" spans="1:44" ht="15" customHeight="1">
      <c r="A11" s="1139" t="s">
        <v>257</v>
      </c>
      <c r="B11" s="1094"/>
      <c r="C11" s="1094"/>
      <c r="D11" s="2270"/>
      <c r="E11" s="2270"/>
      <c r="F11" s="2270"/>
      <c r="G11" s="2270"/>
      <c r="H11" s="2270"/>
      <c r="I11" s="2270"/>
      <c r="J11" s="2270"/>
      <c r="K11" s="2270"/>
      <c r="L11" s="2270"/>
      <c r="M11" s="2270"/>
      <c r="N11" s="2270"/>
      <c r="O11" s="341"/>
      <c r="P11" s="341"/>
      <c r="Q11" s="341"/>
      <c r="R11" s="341"/>
      <c r="S11" s="341"/>
      <c r="T11" s="341"/>
      <c r="U11" s="341"/>
      <c r="V11" s="341"/>
      <c r="W11" s="341"/>
      <c r="X11" s="341"/>
      <c r="Y11" s="341"/>
      <c r="Z11" s="341"/>
      <c r="AA11" s="341"/>
      <c r="AB11" s="341"/>
      <c r="AC11" s="341"/>
      <c r="AD11" s="341"/>
      <c r="AE11" s="341"/>
      <c r="AF11" s="341"/>
      <c r="AG11" s="632"/>
      <c r="AK11" s="74">
        <v>12</v>
      </c>
      <c r="AL11" s="74">
        <v>9</v>
      </c>
      <c r="AM11" s="74" t="s">
        <v>271</v>
      </c>
      <c r="AQ11" s="74">
        <v>9</v>
      </c>
    </row>
    <row r="12" spans="1:44" ht="15" customHeight="1">
      <c r="A12" s="1139" t="s">
        <v>263</v>
      </c>
      <c r="B12" s="1094"/>
      <c r="C12" s="1094"/>
      <c r="D12" s="1140"/>
      <c r="E12" s="1141"/>
      <c r="F12" s="1141"/>
      <c r="G12" s="1141"/>
      <c r="H12" s="1141"/>
      <c r="I12" s="1141"/>
      <c r="J12" s="1141"/>
      <c r="K12" s="1141"/>
      <c r="L12" s="1048" t="e">
        <f>VLOOKUP(VLOOKUP($D$13,'施設状況(要更新)'!$F$4:$S$700,14,FALSE),'施設状況(要更新)'!$A$4:$D$700,4,FALSE)</f>
        <v>#N/A</v>
      </c>
      <c r="M12" s="1049"/>
      <c r="N12" s="1050"/>
      <c r="O12" s="341"/>
      <c r="P12" s="341"/>
      <c r="Q12" s="341"/>
      <c r="R12" s="341"/>
      <c r="S12" s="341"/>
      <c r="T12" s="341"/>
      <c r="U12" s="341"/>
      <c r="V12" s="341"/>
      <c r="W12" s="341"/>
      <c r="X12" s="341"/>
      <c r="Y12" s="341"/>
      <c r="Z12" s="341"/>
      <c r="AA12" s="341"/>
      <c r="AB12" s="341"/>
      <c r="AC12" s="341"/>
      <c r="AD12" s="341"/>
      <c r="AE12" s="341"/>
      <c r="AF12" s="341"/>
      <c r="AG12" s="632"/>
      <c r="AK12" s="74">
        <v>1</v>
      </c>
      <c r="AL12" s="74">
        <v>10</v>
      </c>
      <c r="AM12" s="74" t="s">
        <v>272</v>
      </c>
      <c r="AQ12" s="74">
        <v>10</v>
      </c>
    </row>
    <row r="13" spans="1:44" ht="15" customHeight="1">
      <c r="A13" s="1164" t="s">
        <v>2</v>
      </c>
      <c r="B13" s="1059"/>
      <c r="C13" s="1059"/>
      <c r="D13" s="2270"/>
      <c r="E13" s="2270"/>
      <c r="F13" s="2270"/>
      <c r="G13" s="2270"/>
      <c r="H13" s="2270"/>
      <c r="I13" s="2270"/>
      <c r="J13" s="2270"/>
      <c r="K13" s="2270"/>
      <c r="L13" s="2270"/>
      <c r="M13" s="2270"/>
      <c r="N13" s="2270"/>
      <c r="O13" s="225"/>
      <c r="P13" s="225"/>
      <c r="Q13" s="225"/>
      <c r="R13" s="225"/>
      <c r="S13" s="225"/>
      <c r="T13" s="225"/>
      <c r="U13" s="225"/>
      <c r="V13" s="225"/>
      <c r="W13" s="225"/>
      <c r="X13" s="225"/>
      <c r="Y13" s="225"/>
      <c r="Z13" s="341"/>
      <c r="AA13" s="341"/>
      <c r="AB13" s="341"/>
      <c r="AC13" s="341"/>
      <c r="AD13" s="341"/>
      <c r="AE13" s="341"/>
      <c r="AF13" s="341"/>
      <c r="AG13" s="632"/>
      <c r="AK13" s="74">
        <v>2</v>
      </c>
      <c r="AL13" s="74">
        <v>11</v>
      </c>
      <c r="AQ13" s="74">
        <v>11</v>
      </c>
    </row>
    <row r="14" spans="1:44" ht="15" customHeight="1">
      <c r="A14" s="1139" t="s">
        <v>17</v>
      </c>
      <c r="B14" s="1094"/>
      <c r="C14" s="1094"/>
      <c r="D14" s="2271"/>
      <c r="E14" s="2271"/>
      <c r="F14" s="2271"/>
      <c r="G14" s="2271"/>
      <c r="H14" s="2271"/>
      <c r="I14" s="2271"/>
      <c r="J14" s="2271"/>
      <c r="K14" s="2271"/>
      <c r="L14" s="2271"/>
      <c r="M14" s="2271"/>
      <c r="N14" s="2271"/>
      <c r="O14" s="2271"/>
      <c r="P14" s="2271"/>
      <c r="Q14" s="2271"/>
      <c r="R14" s="2271"/>
      <c r="S14" s="2271"/>
      <c r="T14" s="2271"/>
      <c r="U14" s="2271"/>
      <c r="V14" s="2271"/>
      <c r="W14" s="2271"/>
      <c r="X14" s="2271"/>
      <c r="Y14" s="2271"/>
      <c r="Z14" s="341"/>
      <c r="AA14" s="341"/>
      <c r="AB14" s="341"/>
      <c r="AC14" s="341"/>
      <c r="AD14" s="341"/>
      <c r="AE14" s="341"/>
      <c r="AF14" s="341"/>
      <c r="AG14" s="632"/>
      <c r="AI14" s="74" t="s">
        <v>4</v>
      </c>
      <c r="AJ14" s="74" t="s">
        <v>5</v>
      </c>
      <c r="AK14" s="74">
        <v>3</v>
      </c>
      <c r="AL14" s="74">
        <v>12</v>
      </c>
      <c r="AQ14" s="74">
        <v>12</v>
      </c>
    </row>
    <row r="15" spans="1:44" ht="15" customHeight="1">
      <c r="A15" s="1170" t="s">
        <v>0</v>
      </c>
      <c r="B15" s="1065"/>
      <c r="C15" s="1066"/>
      <c r="D15" s="1049" t="s">
        <v>105</v>
      </c>
      <c r="E15" s="1049"/>
      <c r="F15" s="1094" t="s">
        <v>4</v>
      </c>
      <c r="G15" s="1064"/>
      <c r="H15" s="1169"/>
      <c r="I15" s="1169"/>
      <c r="J15" s="634" t="s">
        <v>18</v>
      </c>
      <c r="K15" s="1094" t="s">
        <v>5</v>
      </c>
      <c r="L15" s="1064"/>
      <c r="M15" s="2263"/>
      <c r="N15" s="2263"/>
      <c r="O15" s="634" t="s">
        <v>18</v>
      </c>
      <c r="P15" s="1064" t="s">
        <v>1</v>
      </c>
      <c r="Q15" s="1065"/>
      <c r="R15" s="1065">
        <f>H15+M15</f>
        <v>0</v>
      </c>
      <c r="S15" s="1065"/>
      <c r="T15" s="634" t="s">
        <v>18</v>
      </c>
      <c r="U15" s="341"/>
      <c r="V15" s="341"/>
      <c r="W15" s="341"/>
      <c r="X15" s="341"/>
      <c r="Y15" s="341"/>
      <c r="Z15" s="341"/>
      <c r="AA15" s="341"/>
      <c r="AB15" s="341"/>
      <c r="AC15" s="341"/>
      <c r="AD15" s="341"/>
      <c r="AE15" s="341"/>
      <c r="AF15" s="341"/>
      <c r="AG15" s="632"/>
      <c r="AI15" s="76"/>
      <c r="AJ15" s="74" t="str">
        <f>IFERROR(VLOOKUP($D$13,'施設状況(要更新)'!$F$4:$S$700,13,FALSE),"")</f>
        <v/>
      </c>
      <c r="AK15" s="74">
        <v>0</v>
      </c>
      <c r="AL15" s="74">
        <v>0</v>
      </c>
      <c r="AQ15" s="74">
        <v>13</v>
      </c>
    </row>
    <row r="16" spans="1:44" ht="15" customHeight="1" thickBot="1">
      <c r="A16" s="1147" t="s">
        <v>407</v>
      </c>
      <c r="B16" s="1148"/>
      <c r="C16" s="1148"/>
      <c r="D16" s="1148"/>
      <c r="E16" s="1148"/>
      <c r="F16" s="1148"/>
      <c r="G16" s="1148"/>
      <c r="H16" s="1148"/>
      <c r="I16" s="1148"/>
      <c r="J16" s="1148"/>
      <c r="K16" s="1148"/>
      <c r="L16" s="1148"/>
      <c r="M16" s="1148"/>
      <c r="N16" s="1148"/>
      <c r="O16" s="1148"/>
      <c r="P16" s="1148"/>
      <c r="Q16" s="1148"/>
      <c r="R16" s="1148"/>
      <c r="S16" s="1148"/>
      <c r="T16" s="1148"/>
      <c r="U16" s="1148"/>
      <c r="V16" s="1148"/>
      <c r="W16" s="1148"/>
      <c r="X16" s="1148"/>
      <c r="Y16" s="1148"/>
      <c r="Z16" s="1148"/>
      <c r="AA16" s="1148"/>
      <c r="AB16" s="1148"/>
      <c r="AC16" s="1148"/>
      <c r="AD16" s="1148"/>
      <c r="AE16" s="1148"/>
      <c r="AF16" s="1148"/>
      <c r="AG16" s="632"/>
      <c r="AH16" s="341"/>
      <c r="AQ16" s="74">
        <v>14</v>
      </c>
    </row>
    <row r="17" spans="1:43" ht="24.95" customHeight="1" thickBot="1">
      <c r="A17" s="635" t="s">
        <v>274</v>
      </c>
      <c r="B17" s="1291" t="s">
        <v>96</v>
      </c>
      <c r="C17" s="1291"/>
      <c r="D17" s="1291"/>
      <c r="E17" s="1292"/>
      <c r="F17" s="1293" t="s">
        <v>19</v>
      </c>
      <c r="G17" s="1294"/>
      <c r="H17" s="1294"/>
      <c r="I17" s="1294"/>
      <c r="J17" s="1294"/>
      <c r="K17" s="1294"/>
      <c r="L17" s="1294"/>
      <c r="M17" s="1294"/>
      <c r="N17" s="1294"/>
      <c r="O17" s="1294"/>
      <c r="P17" s="1294"/>
      <c r="Q17" s="1294"/>
      <c r="R17" s="1294"/>
      <c r="S17" s="1294"/>
      <c r="T17" s="1294"/>
      <c r="U17" s="1295"/>
      <c r="V17" s="1143" t="s">
        <v>275</v>
      </c>
      <c r="W17" s="1144"/>
      <c r="X17" s="1144"/>
      <c r="Y17" s="1145"/>
      <c r="Z17" s="1146" t="s">
        <v>20</v>
      </c>
      <c r="AA17" s="1146"/>
      <c r="AB17" s="1146"/>
      <c r="AC17" s="1146"/>
      <c r="AD17" s="1146"/>
      <c r="AE17" s="1146"/>
      <c r="AF17" s="1146"/>
      <c r="AG17" s="632"/>
      <c r="AH17" s="341"/>
      <c r="AI17" s="1289" t="s">
        <v>273</v>
      </c>
      <c r="AJ17" s="1290"/>
      <c r="AK17" s="1058" t="s">
        <v>1020</v>
      </c>
      <c r="AL17" s="1058"/>
      <c r="AQ17" s="74">
        <v>15</v>
      </c>
    </row>
    <row r="18" spans="1:43" ht="15" customHeight="1" thickBot="1">
      <c r="A18" s="636">
        <v>0</v>
      </c>
      <c r="B18" s="1298" t="str">
        <f>AI18</f>
        <v>×</v>
      </c>
      <c r="C18" s="1299"/>
      <c r="D18" s="1299"/>
      <c r="E18" s="1300"/>
      <c r="F18" s="1157" t="s">
        <v>254</v>
      </c>
      <c r="G18" s="1157"/>
      <c r="H18" s="1157"/>
      <c r="I18" s="1157"/>
      <c r="J18" s="1157"/>
      <c r="K18" s="1157"/>
      <c r="L18" s="1157"/>
      <c r="M18" s="1157"/>
      <c r="N18" s="1157"/>
      <c r="O18" s="1157"/>
      <c r="P18" s="1157"/>
      <c r="Q18" s="1157"/>
      <c r="R18" s="1157"/>
      <c r="S18" s="1157"/>
      <c r="T18" s="1157"/>
      <c r="U18" s="1157"/>
      <c r="V18" s="1119"/>
      <c r="W18" s="1120"/>
      <c r="X18" s="1120"/>
      <c r="Y18" s="1121"/>
      <c r="Z18" s="1065"/>
      <c r="AA18" s="1065"/>
      <c r="AB18" s="1065"/>
      <c r="AC18" s="1065"/>
      <c r="AD18" s="1065"/>
      <c r="AE18" s="1065"/>
      <c r="AF18" s="1066"/>
      <c r="AG18" s="632"/>
      <c r="AH18" s="341"/>
      <c r="AI18" s="1289" t="str">
        <f>J49</f>
        <v>×</v>
      </c>
      <c r="AJ18" s="1290"/>
      <c r="AK18" s="74">
        <v>4</v>
      </c>
      <c r="AL18" s="968">
        <v>45084</v>
      </c>
      <c r="AQ18" s="74">
        <v>16</v>
      </c>
    </row>
    <row r="19" spans="1:43" ht="15" customHeight="1">
      <c r="A19" s="637" t="s">
        <v>21</v>
      </c>
      <c r="B19" s="778"/>
      <c r="C19" s="778"/>
      <c r="D19" s="756"/>
      <c r="E19" s="756"/>
      <c r="F19" s="756"/>
      <c r="G19" s="756"/>
      <c r="H19" s="756"/>
      <c r="I19" s="756"/>
      <c r="J19" s="756"/>
      <c r="K19" s="756"/>
      <c r="L19" s="756"/>
      <c r="M19" s="756"/>
      <c r="N19" s="756"/>
      <c r="O19" s="756"/>
      <c r="P19" s="756"/>
      <c r="Q19" s="756"/>
      <c r="R19" s="756"/>
      <c r="S19" s="756"/>
      <c r="T19" s="756"/>
      <c r="U19" s="756"/>
      <c r="V19" s="1296" t="s">
        <v>319</v>
      </c>
      <c r="W19" s="1296"/>
      <c r="X19" s="1296"/>
      <c r="Y19" s="1296"/>
      <c r="Z19" s="1296"/>
      <c r="AA19" s="1296"/>
      <c r="AB19" s="1296"/>
      <c r="AC19" s="1296"/>
      <c r="AD19" s="1296"/>
      <c r="AE19" s="1296"/>
      <c r="AF19" s="1297"/>
      <c r="AG19" s="632"/>
      <c r="AH19" s="341"/>
      <c r="AI19" s="781">
        <f>VLOOKUP($I$10,$AK$3:$AL$15,2,FALSE)</f>
        <v>0</v>
      </c>
      <c r="AJ19" s="781"/>
      <c r="AK19" s="74">
        <v>5</v>
      </c>
      <c r="AL19" s="969">
        <f>AL18</f>
        <v>45084</v>
      </c>
      <c r="AQ19" s="74">
        <v>17</v>
      </c>
    </row>
    <row r="20" spans="1:43" ht="15" customHeight="1">
      <c r="A20" s="638">
        <v>1</v>
      </c>
      <c r="B20" s="1048" t="str">
        <f>IFERROR(IF(AI20,AJ20,"適用月エラー"),"－")</f>
        <v>適用月エラー</v>
      </c>
      <c r="C20" s="1049"/>
      <c r="D20" s="1049"/>
      <c r="E20" s="1050"/>
      <c r="F20" s="1055" t="s">
        <v>22</v>
      </c>
      <c r="G20" s="1056"/>
      <c r="H20" s="1056"/>
      <c r="I20" s="1056"/>
      <c r="J20" s="1056"/>
      <c r="K20" s="1056"/>
      <c r="L20" s="1056"/>
      <c r="M20" s="1056"/>
      <c r="N20" s="1056"/>
      <c r="O20" s="1056"/>
      <c r="P20" s="1056"/>
      <c r="Q20" s="1056"/>
      <c r="R20" s="1056"/>
      <c r="S20" s="1056"/>
      <c r="T20" s="1056"/>
      <c r="U20" s="1057"/>
      <c r="V20" s="1051">
        <v>4</v>
      </c>
      <c r="W20" s="1052"/>
      <c r="X20" s="1052"/>
      <c r="Y20" s="1053"/>
      <c r="Z20" s="1054"/>
      <c r="AA20" s="1054"/>
      <c r="AB20" s="1054"/>
      <c r="AC20" s="1054"/>
      <c r="AD20" s="1054"/>
      <c r="AE20" s="1054"/>
      <c r="AF20" s="1054"/>
      <c r="AG20" s="632"/>
      <c r="AH20" s="341"/>
      <c r="AI20" s="149" t="b">
        <f t="shared" ref="AI20:AI26" si="0">VLOOKUP(V20,$AK$3:$AL$15,2,FALSE)&lt;=$AI$19</f>
        <v>0</v>
      </c>
      <c r="AJ20" s="149" t="str">
        <f>J62</f>
        <v>×</v>
      </c>
      <c r="AK20" s="74">
        <v>6</v>
      </c>
      <c r="AL20" s="969">
        <f>AL19</f>
        <v>45084</v>
      </c>
      <c r="AQ20" s="74">
        <v>18</v>
      </c>
    </row>
    <row r="21" spans="1:43" ht="15" customHeight="1">
      <c r="A21" s="638">
        <v>2</v>
      </c>
      <c r="B21" s="1173"/>
      <c r="C21" s="1174"/>
      <c r="D21" s="1174"/>
      <c r="E21" s="1175"/>
      <c r="F21" s="1055" t="s">
        <v>294</v>
      </c>
      <c r="G21" s="1056"/>
      <c r="H21" s="1056"/>
      <c r="I21" s="1056"/>
      <c r="J21" s="1056"/>
      <c r="K21" s="1056"/>
      <c r="L21" s="1056"/>
      <c r="M21" s="1056"/>
      <c r="N21" s="1056"/>
      <c r="O21" s="1056"/>
      <c r="P21" s="1056"/>
      <c r="Q21" s="1056"/>
      <c r="R21" s="1056"/>
      <c r="S21" s="1056"/>
      <c r="T21" s="1056"/>
      <c r="U21" s="1057"/>
      <c r="V21" s="1149"/>
      <c r="W21" s="1150"/>
      <c r="X21" s="1150"/>
      <c r="Y21" s="1151"/>
      <c r="Z21" s="1153" t="s">
        <v>296</v>
      </c>
      <c r="AA21" s="1153"/>
      <c r="AB21" s="1153"/>
      <c r="AC21" s="1153"/>
      <c r="AD21" s="1153"/>
      <c r="AE21" s="1153"/>
      <c r="AF21" s="1153"/>
      <c r="AG21" s="632"/>
      <c r="AH21" s="341"/>
      <c r="AI21" s="149" t="b">
        <f t="shared" si="0"/>
        <v>1</v>
      </c>
      <c r="AJ21" s="149"/>
      <c r="AK21" s="74">
        <v>7</v>
      </c>
      <c r="AL21" s="968">
        <v>45175</v>
      </c>
      <c r="AQ21" s="74">
        <v>19</v>
      </c>
    </row>
    <row r="22" spans="1:43" ht="15" customHeight="1">
      <c r="A22" s="638">
        <v>3</v>
      </c>
      <c r="B22" s="1048" t="str">
        <f>IFERROR(IF(AI22,AJ22,"適用月エラー"),"－")</f>
        <v>適用月エラー</v>
      </c>
      <c r="C22" s="1049"/>
      <c r="D22" s="1049"/>
      <c r="E22" s="1050"/>
      <c r="F22" s="1055" t="s">
        <v>133</v>
      </c>
      <c r="G22" s="1056"/>
      <c r="H22" s="1056"/>
      <c r="I22" s="1056"/>
      <c r="J22" s="1056"/>
      <c r="K22" s="1056"/>
      <c r="L22" s="1056"/>
      <c r="M22" s="1056"/>
      <c r="N22" s="1056"/>
      <c r="O22" s="1056"/>
      <c r="P22" s="1056"/>
      <c r="Q22" s="1056"/>
      <c r="R22" s="1056"/>
      <c r="S22" s="1056"/>
      <c r="T22" s="1056"/>
      <c r="U22" s="1057"/>
      <c r="V22" s="1051">
        <v>4</v>
      </c>
      <c r="W22" s="1052"/>
      <c r="X22" s="1052"/>
      <c r="Y22" s="1053"/>
      <c r="Z22" s="1054"/>
      <c r="AA22" s="1054"/>
      <c r="AB22" s="1054"/>
      <c r="AC22" s="1054"/>
      <c r="AD22" s="1054"/>
      <c r="AE22" s="1054"/>
      <c r="AF22" s="1054"/>
      <c r="AG22" s="632"/>
      <c r="AH22" s="341"/>
      <c r="AI22" s="149" t="b">
        <f t="shared" si="0"/>
        <v>0</v>
      </c>
      <c r="AJ22" s="149" t="str">
        <f>J66</f>
        <v>×</v>
      </c>
      <c r="AK22" s="74">
        <v>8</v>
      </c>
      <c r="AL22" s="969">
        <f>AL21</f>
        <v>45175</v>
      </c>
      <c r="AQ22" s="74">
        <v>20</v>
      </c>
    </row>
    <row r="23" spans="1:43" ht="15" customHeight="1">
      <c r="A23" s="638">
        <v>4</v>
      </c>
      <c r="B23" s="1048" t="str">
        <f>IFERROR(IF(AI23,AJ23,"適用月エラー"),"－")</f>
        <v>適用月エラー</v>
      </c>
      <c r="C23" s="1049"/>
      <c r="D23" s="1049"/>
      <c r="E23" s="1050"/>
      <c r="F23" s="1055" t="s">
        <v>106</v>
      </c>
      <c r="G23" s="1056"/>
      <c r="H23" s="1056"/>
      <c r="I23" s="1056"/>
      <c r="J23" s="1056"/>
      <c r="K23" s="1056"/>
      <c r="L23" s="1056"/>
      <c r="M23" s="1056"/>
      <c r="N23" s="1056"/>
      <c r="O23" s="1056"/>
      <c r="P23" s="1056"/>
      <c r="Q23" s="1056"/>
      <c r="R23" s="1056"/>
      <c r="S23" s="1056"/>
      <c r="T23" s="1056"/>
      <c r="U23" s="1057"/>
      <c r="V23" s="1051">
        <v>4</v>
      </c>
      <c r="W23" s="1052"/>
      <c r="X23" s="1052"/>
      <c r="Y23" s="1053"/>
      <c r="Z23" s="1054"/>
      <c r="AA23" s="1054"/>
      <c r="AB23" s="1054"/>
      <c r="AC23" s="1054"/>
      <c r="AD23" s="1054"/>
      <c r="AE23" s="1054"/>
      <c r="AF23" s="1054"/>
      <c r="AG23" s="632"/>
      <c r="AH23" s="341"/>
      <c r="AI23" s="149" t="b">
        <f t="shared" si="0"/>
        <v>0</v>
      </c>
      <c r="AJ23" s="149" t="str">
        <f>J79</f>
        <v>エラー</v>
      </c>
      <c r="AK23" s="74">
        <v>9</v>
      </c>
      <c r="AL23" s="969">
        <f>AL22</f>
        <v>45175</v>
      </c>
      <c r="AQ23" s="74">
        <v>21</v>
      </c>
    </row>
    <row r="24" spans="1:43" ht="15" customHeight="1">
      <c r="A24" s="638">
        <v>5</v>
      </c>
      <c r="B24" s="1173"/>
      <c r="C24" s="1174"/>
      <c r="D24" s="1174"/>
      <c r="E24" s="1175"/>
      <c r="F24" s="1055" t="s">
        <v>107</v>
      </c>
      <c r="G24" s="1056"/>
      <c r="H24" s="1056"/>
      <c r="I24" s="1056"/>
      <c r="J24" s="1056"/>
      <c r="K24" s="1056"/>
      <c r="L24" s="1056"/>
      <c r="M24" s="1056"/>
      <c r="N24" s="1056"/>
      <c r="O24" s="1056"/>
      <c r="P24" s="1056"/>
      <c r="Q24" s="1056"/>
      <c r="R24" s="1056"/>
      <c r="S24" s="1056"/>
      <c r="T24" s="1056"/>
      <c r="U24" s="1057"/>
      <c r="V24" s="1149"/>
      <c r="W24" s="1150"/>
      <c r="X24" s="1150"/>
      <c r="Y24" s="1151"/>
      <c r="Z24" s="1153" t="s">
        <v>295</v>
      </c>
      <c r="AA24" s="1153"/>
      <c r="AB24" s="1153"/>
      <c r="AC24" s="1153"/>
      <c r="AD24" s="1153"/>
      <c r="AE24" s="1153"/>
      <c r="AF24" s="1153"/>
      <c r="AG24" s="632"/>
      <c r="AH24" s="341"/>
      <c r="AI24" s="149" t="b">
        <f t="shared" si="0"/>
        <v>1</v>
      </c>
      <c r="AJ24" s="149"/>
      <c r="AK24" s="74">
        <v>10</v>
      </c>
      <c r="AL24" s="968">
        <v>45266</v>
      </c>
      <c r="AQ24" s="74">
        <v>22</v>
      </c>
    </row>
    <row r="25" spans="1:43" ht="15" customHeight="1">
      <c r="A25" s="638">
        <v>6</v>
      </c>
      <c r="B25" s="1048" t="str">
        <f>IFERROR(IF(AI25,AJ25,"適用月エラー"),"－")</f>
        <v>適用月エラー</v>
      </c>
      <c r="C25" s="1049"/>
      <c r="D25" s="1049"/>
      <c r="E25" s="1050"/>
      <c r="F25" s="1055" t="s">
        <v>108</v>
      </c>
      <c r="G25" s="1056"/>
      <c r="H25" s="1056"/>
      <c r="I25" s="1056"/>
      <c r="J25" s="1056"/>
      <c r="K25" s="1056"/>
      <c r="L25" s="1056"/>
      <c r="M25" s="1056"/>
      <c r="N25" s="1056"/>
      <c r="O25" s="1056"/>
      <c r="P25" s="1056"/>
      <c r="Q25" s="1056"/>
      <c r="R25" s="1056"/>
      <c r="S25" s="1056"/>
      <c r="T25" s="1056"/>
      <c r="U25" s="1057"/>
      <c r="V25" s="1051">
        <v>4</v>
      </c>
      <c r="W25" s="1052"/>
      <c r="X25" s="1052"/>
      <c r="Y25" s="1053"/>
      <c r="Z25" s="1153" t="s">
        <v>408</v>
      </c>
      <c r="AA25" s="1153"/>
      <c r="AB25" s="1153"/>
      <c r="AC25" s="1153"/>
      <c r="AD25" s="1153"/>
      <c r="AE25" s="1153"/>
      <c r="AF25" s="1153"/>
      <c r="AG25" s="632"/>
      <c r="AH25" s="341"/>
      <c r="AI25" s="149" t="b">
        <f t="shared" si="0"/>
        <v>0</v>
      </c>
      <c r="AJ25" s="149" t="str">
        <f>J102</f>
        <v>×</v>
      </c>
      <c r="AK25" s="74">
        <v>11</v>
      </c>
      <c r="AL25" s="969">
        <f>AL24</f>
        <v>45266</v>
      </c>
      <c r="AQ25" s="74">
        <v>23</v>
      </c>
    </row>
    <row r="26" spans="1:43" ht="15" customHeight="1">
      <c r="A26" s="638">
        <v>7</v>
      </c>
      <c r="B26" s="1048" t="str">
        <f>IFERROR(IF(AI26,AJ26,"適用月エラー"),"－")</f>
        <v>適用月エラー</v>
      </c>
      <c r="C26" s="1049"/>
      <c r="D26" s="1049"/>
      <c r="E26" s="1050"/>
      <c r="F26" s="1055" t="s">
        <v>109</v>
      </c>
      <c r="G26" s="1056"/>
      <c r="H26" s="1056"/>
      <c r="I26" s="1056"/>
      <c r="J26" s="1056"/>
      <c r="K26" s="1056"/>
      <c r="L26" s="1056"/>
      <c r="M26" s="1056"/>
      <c r="N26" s="1056"/>
      <c r="O26" s="1056"/>
      <c r="P26" s="1056"/>
      <c r="Q26" s="1056"/>
      <c r="R26" s="1056"/>
      <c r="S26" s="1056"/>
      <c r="T26" s="1056"/>
      <c r="U26" s="1057"/>
      <c r="V26" s="1051">
        <v>4</v>
      </c>
      <c r="W26" s="1052"/>
      <c r="X26" s="1052"/>
      <c r="Y26" s="1053"/>
      <c r="Z26" s="1153" t="s">
        <v>341</v>
      </c>
      <c r="AA26" s="1153"/>
      <c r="AB26" s="1153"/>
      <c r="AC26" s="1153"/>
      <c r="AD26" s="1153"/>
      <c r="AE26" s="1153"/>
      <c r="AF26" s="1153"/>
      <c r="AG26" s="632"/>
      <c r="AH26" s="341"/>
      <c r="AI26" s="149" t="b">
        <f t="shared" si="0"/>
        <v>0</v>
      </c>
      <c r="AJ26" s="149" t="str">
        <f>J116</f>
        <v>×</v>
      </c>
      <c r="AK26" s="74">
        <v>12</v>
      </c>
      <c r="AL26" s="969">
        <f>AL25</f>
        <v>45266</v>
      </c>
      <c r="AQ26" s="74">
        <v>24</v>
      </c>
    </row>
    <row r="27" spans="1:43" ht="15" customHeight="1">
      <c r="A27" s="637" t="s">
        <v>23</v>
      </c>
      <c r="B27" s="759"/>
      <c r="C27" s="756"/>
      <c r="D27" s="772"/>
      <c r="E27" s="772"/>
      <c r="F27" s="772"/>
      <c r="G27" s="772"/>
      <c r="H27" s="772"/>
      <c r="I27" s="772"/>
      <c r="J27" s="772"/>
      <c r="K27" s="772"/>
      <c r="L27" s="772"/>
      <c r="M27" s="772"/>
      <c r="N27" s="772"/>
      <c r="O27" s="772"/>
      <c r="P27" s="772"/>
      <c r="Q27" s="772"/>
      <c r="R27" s="772"/>
      <c r="S27" s="772"/>
      <c r="T27" s="772"/>
      <c r="U27" s="767"/>
      <c r="V27" s="768"/>
      <c r="W27" s="768"/>
      <c r="X27" s="768"/>
      <c r="Y27" s="768"/>
      <c r="Z27" s="766"/>
      <c r="AA27" s="768"/>
      <c r="AB27" s="768"/>
      <c r="AC27" s="768"/>
      <c r="AD27" s="768"/>
      <c r="AE27" s="341"/>
      <c r="AF27" s="639"/>
      <c r="AG27" s="632"/>
      <c r="AH27" s="341"/>
      <c r="AK27" s="74">
        <v>1</v>
      </c>
      <c r="AL27" s="968">
        <v>44988</v>
      </c>
      <c r="AQ27" s="74">
        <v>25</v>
      </c>
    </row>
    <row r="28" spans="1:43" ht="15" customHeight="1">
      <c r="A28" s="641">
        <v>8</v>
      </c>
      <c r="B28" s="1048" t="str">
        <f>IFERROR(IF(AI28,AJ28,"適用月エラー"),AJ28)</f>
        <v>適用月エラー</v>
      </c>
      <c r="C28" s="1049"/>
      <c r="D28" s="1049"/>
      <c r="E28" s="1050"/>
      <c r="F28" s="1055" t="s">
        <v>941</v>
      </c>
      <c r="G28" s="1056"/>
      <c r="H28" s="1056"/>
      <c r="I28" s="1056"/>
      <c r="J28" s="1056"/>
      <c r="K28" s="1056"/>
      <c r="L28" s="1056"/>
      <c r="M28" s="1056"/>
      <c r="N28" s="1056"/>
      <c r="O28" s="1056"/>
      <c r="P28" s="1056"/>
      <c r="Q28" s="1056"/>
      <c r="R28" s="1056"/>
      <c r="S28" s="1056"/>
      <c r="T28" s="1056"/>
      <c r="U28" s="1057"/>
      <c r="V28" s="1051">
        <v>4</v>
      </c>
      <c r="W28" s="1052"/>
      <c r="X28" s="1052"/>
      <c r="Y28" s="1053"/>
      <c r="Z28" s="1054"/>
      <c r="AA28" s="1054"/>
      <c r="AB28" s="1054"/>
      <c r="AC28" s="1054"/>
      <c r="AD28" s="1054"/>
      <c r="AE28" s="1054"/>
      <c r="AF28" s="1054"/>
      <c r="AG28" s="632"/>
      <c r="AH28" s="341"/>
      <c r="AI28" s="149" t="b">
        <f>VLOOKUP(V28,$AK$3:$AL$15,2,FALSE)&lt;=$AI$19</f>
        <v>0</v>
      </c>
      <c r="AJ28" s="149" t="e">
        <f>J124</f>
        <v>#N/A</v>
      </c>
      <c r="AK28" s="74">
        <v>2</v>
      </c>
      <c r="AL28" s="969">
        <f>AL27</f>
        <v>44988</v>
      </c>
      <c r="AQ28" s="74">
        <v>26</v>
      </c>
    </row>
    <row r="29" spans="1:43" ht="15" customHeight="1">
      <c r="A29" s="641">
        <v>9</v>
      </c>
      <c r="B29" s="1048" t="str">
        <f>IFERROR(IF(AI29,AJ29,"適用月エラー"),AJ29)</f>
        <v>適用月エラー</v>
      </c>
      <c r="C29" s="1049"/>
      <c r="D29" s="1049"/>
      <c r="E29" s="1050"/>
      <c r="F29" s="1055" t="s">
        <v>942</v>
      </c>
      <c r="G29" s="1056"/>
      <c r="H29" s="1056"/>
      <c r="I29" s="1056"/>
      <c r="J29" s="1056"/>
      <c r="K29" s="1056"/>
      <c r="L29" s="1056"/>
      <c r="M29" s="1056"/>
      <c r="N29" s="1056"/>
      <c r="O29" s="1056"/>
      <c r="P29" s="1056"/>
      <c r="Q29" s="1056"/>
      <c r="R29" s="1056"/>
      <c r="S29" s="1056"/>
      <c r="T29" s="1056"/>
      <c r="U29" s="1057"/>
      <c r="V29" s="1051">
        <v>4</v>
      </c>
      <c r="W29" s="1052"/>
      <c r="X29" s="1052"/>
      <c r="Y29" s="1053"/>
      <c r="Z29" s="1054"/>
      <c r="AA29" s="1054"/>
      <c r="AB29" s="1054"/>
      <c r="AC29" s="1054"/>
      <c r="AD29" s="1054"/>
      <c r="AE29" s="1054"/>
      <c r="AF29" s="1054"/>
      <c r="AG29" s="632"/>
      <c r="AH29" s="341"/>
      <c r="AI29" s="149" t="b">
        <f>VLOOKUP(V29,$AK$3:$AL$15,2,FALSE)&lt;=$AI$19</f>
        <v>0</v>
      </c>
      <c r="AJ29" s="149" t="str">
        <f>J137</f>
        <v>○</v>
      </c>
      <c r="AK29" s="74">
        <v>3</v>
      </c>
      <c r="AL29" s="969">
        <f>AL28</f>
        <v>44988</v>
      </c>
      <c r="AQ29" s="74">
        <v>27</v>
      </c>
    </row>
    <row r="30" spans="1:43" ht="15" customHeight="1">
      <c r="A30" s="638">
        <v>10</v>
      </c>
      <c r="B30" s="1048" t="str">
        <f>IFERROR(IF(AI30,AJ30,"適用月エラー"),AJ30)</f>
        <v>適用月エラー</v>
      </c>
      <c r="C30" s="1049"/>
      <c r="D30" s="1049"/>
      <c r="E30" s="1050"/>
      <c r="F30" s="1055" t="s">
        <v>943</v>
      </c>
      <c r="G30" s="1056"/>
      <c r="H30" s="1056"/>
      <c r="I30" s="1056"/>
      <c r="J30" s="1056"/>
      <c r="K30" s="1056"/>
      <c r="L30" s="1056"/>
      <c r="M30" s="1056"/>
      <c r="N30" s="1056"/>
      <c r="O30" s="1056"/>
      <c r="P30" s="1056"/>
      <c r="Q30" s="1056"/>
      <c r="R30" s="1056"/>
      <c r="S30" s="1056"/>
      <c r="T30" s="1056"/>
      <c r="U30" s="1057"/>
      <c r="V30" s="1051">
        <v>4</v>
      </c>
      <c r="W30" s="1052"/>
      <c r="X30" s="1052"/>
      <c r="Y30" s="1053"/>
      <c r="Z30" s="1054"/>
      <c r="AA30" s="1054"/>
      <c r="AB30" s="1054"/>
      <c r="AC30" s="1054"/>
      <c r="AD30" s="1054"/>
      <c r="AE30" s="1054"/>
      <c r="AF30" s="1054"/>
      <c r="AG30" s="632"/>
      <c r="AH30" s="341"/>
      <c r="AI30" s="149" t="b">
        <f>VLOOKUP(V30,$AK$3:$AL$15,2,FALSE)&lt;=$AI$19</f>
        <v>0</v>
      </c>
      <c r="AJ30" s="149" t="str">
        <f>J146</f>
        <v>○</v>
      </c>
      <c r="AQ30" s="74">
        <v>28</v>
      </c>
    </row>
    <row r="31" spans="1:43" ht="15" customHeight="1">
      <c r="A31" s="641">
        <v>11</v>
      </c>
      <c r="B31" s="1048" t="str">
        <f>IFERROR(IF(AI31,AJ31,"適用月エラー"),AJ31)</f>
        <v>×</v>
      </c>
      <c r="C31" s="1049"/>
      <c r="D31" s="1049"/>
      <c r="E31" s="1050"/>
      <c r="F31" s="1055" t="s">
        <v>944</v>
      </c>
      <c r="G31" s="1056"/>
      <c r="H31" s="1056"/>
      <c r="I31" s="1056"/>
      <c r="J31" s="1056"/>
      <c r="K31" s="1056"/>
      <c r="L31" s="1056"/>
      <c r="M31" s="1056"/>
      <c r="N31" s="1056"/>
      <c r="O31" s="1056"/>
      <c r="P31" s="1056"/>
      <c r="Q31" s="1056"/>
      <c r="R31" s="1056"/>
      <c r="S31" s="1056"/>
      <c r="T31" s="1056"/>
      <c r="U31" s="1057"/>
      <c r="V31" s="1132">
        <f>I10</f>
        <v>0</v>
      </c>
      <c r="W31" s="1133"/>
      <c r="X31" s="1133"/>
      <c r="Y31" s="1134"/>
      <c r="Z31" s="1153" t="str">
        <f>IF(I10=4,"","前月："&amp;F181)</f>
        <v>前月：(変更無)全て → 全て</v>
      </c>
      <c r="AA31" s="1153"/>
      <c r="AB31" s="1153"/>
      <c r="AC31" s="1153"/>
      <c r="AD31" s="1153"/>
      <c r="AE31" s="1153"/>
      <c r="AF31" s="1153"/>
      <c r="AG31" s="632"/>
      <c r="AH31" s="341"/>
      <c r="AI31" s="149" t="b">
        <f>VLOOKUP(V31,$AK$3:$AL$15,2,FALSE)&lt;=$AI$19</f>
        <v>1</v>
      </c>
      <c r="AJ31" s="149" t="str">
        <f>J176</f>
        <v>×</v>
      </c>
      <c r="AQ31" s="74">
        <v>29</v>
      </c>
    </row>
    <row r="32" spans="1:43" ht="15" customHeight="1">
      <c r="A32" s="637" t="s">
        <v>24</v>
      </c>
      <c r="B32" s="759"/>
      <c r="C32" s="756"/>
      <c r="D32" s="772"/>
      <c r="E32" s="772"/>
      <c r="F32" s="772"/>
      <c r="G32" s="772"/>
      <c r="H32" s="772"/>
      <c r="I32" s="772"/>
      <c r="J32" s="772"/>
      <c r="K32" s="772"/>
      <c r="L32" s="772"/>
      <c r="M32" s="772"/>
      <c r="N32" s="772"/>
      <c r="O32" s="772"/>
      <c r="P32" s="772"/>
      <c r="Q32" s="772"/>
      <c r="R32" s="772"/>
      <c r="S32" s="772"/>
      <c r="T32" s="772"/>
      <c r="U32" s="767"/>
      <c r="V32" s="768"/>
      <c r="W32" s="768"/>
      <c r="X32" s="768"/>
      <c r="Y32" s="768"/>
      <c r="Z32" s="766"/>
      <c r="AA32" s="768"/>
      <c r="AB32" s="768"/>
      <c r="AC32" s="768"/>
      <c r="AD32" s="768"/>
      <c r="AE32" s="341"/>
      <c r="AF32" s="639"/>
      <c r="AG32" s="632"/>
      <c r="AH32" s="341"/>
      <c r="AQ32" s="74">
        <v>30</v>
      </c>
    </row>
    <row r="33" spans="1:43" ht="15" customHeight="1">
      <c r="A33" s="638">
        <v>12</v>
      </c>
      <c r="B33" s="1048" t="str">
        <f>IFERROR(IF(AI33,AJ33,"適用月エラー"),AJ33)</f>
        <v>未入力エラー</v>
      </c>
      <c r="C33" s="1049"/>
      <c r="D33" s="1049"/>
      <c r="E33" s="1050"/>
      <c r="F33" s="1055" t="s">
        <v>945</v>
      </c>
      <c r="G33" s="1056"/>
      <c r="H33" s="1056"/>
      <c r="I33" s="1056"/>
      <c r="J33" s="1056"/>
      <c r="K33" s="1056"/>
      <c r="L33" s="1056"/>
      <c r="M33" s="1056"/>
      <c r="N33" s="1056"/>
      <c r="O33" s="1056"/>
      <c r="P33" s="1056"/>
      <c r="Q33" s="1056"/>
      <c r="R33" s="1056"/>
      <c r="S33" s="1056"/>
      <c r="T33" s="1056"/>
      <c r="U33" s="1057"/>
      <c r="V33" s="1132">
        <f>IF(I10=0,0,4)</f>
        <v>0</v>
      </c>
      <c r="W33" s="1133"/>
      <c r="X33" s="1133"/>
      <c r="Y33" s="1134"/>
      <c r="Z33" s="1153" t="str">
        <f>H215</f>
        <v>エラー</v>
      </c>
      <c r="AA33" s="1153"/>
      <c r="AB33" s="1153"/>
      <c r="AC33" s="1153"/>
      <c r="AD33" s="1153"/>
      <c r="AE33" s="1153"/>
      <c r="AF33" s="1153"/>
      <c r="AG33" s="632"/>
      <c r="AH33" s="341"/>
      <c r="AI33" s="149" t="b">
        <f>VLOOKUP(V33,$AK$3:$AL$15,2,FALSE)&lt;=$AI$19</f>
        <v>1</v>
      </c>
      <c r="AJ33" s="149" t="str">
        <f>J185</f>
        <v>未入力エラー</v>
      </c>
      <c r="AQ33" s="74">
        <v>31</v>
      </c>
    </row>
    <row r="34" spans="1:43" ht="15" customHeight="1">
      <c r="A34" s="637" t="s">
        <v>25</v>
      </c>
      <c r="B34" s="756"/>
      <c r="C34" s="756"/>
      <c r="D34" s="767"/>
      <c r="E34" s="767"/>
      <c r="F34" s="767"/>
      <c r="G34" s="767"/>
      <c r="H34" s="767"/>
      <c r="I34" s="767"/>
      <c r="J34" s="767"/>
      <c r="K34" s="767"/>
      <c r="L34" s="767"/>
      <c r="M34" s="767"/>
      <c r="N34" s="767"/>
      <c r="O34" s="767"/>
      <c r="P34" s="767"/>
      <c r="Q34" s="767"/>
      <c r="R34" s="767"/>
      <c r="S34" s="767"/>
      <c r="T34" s="767"/>
      <c r="U34" s="767"/>
      <c r="V34" s="766"/>
      <c r="W34" s="766"/>
      <c r="X34" s="766"/>
      <c r="Y34" s="766"/>
      <c r="Z34" s="766"/>
      <c r="AA34" s="766"/>
      <c r="AB34" s="766"/>
      <c r="AC34" s="766"/>
      <c r="AD34" s="766"/>
      <c r="AE34" s="341"/>
      <c r="AF34" s="639"/>
      <c r="AG34" s="632"/>
      <c r="AH34" s="341"/>
    </row>
    <row r="35" spans="1:43" ht="15" customHeight="1">
      <c r="A35" s="638">
        <v>13</v>
      </c>
      <c r="B35" s="1048" t="str">
        <f t="shared" ref="B35:B37" si="1">IFERROR(IF(AI35,AJ35,"適用月エラー"),"－")</f>
        <v>適用月エラー</v>
      </c>
      <c r="C35" s="1049"/>
      <c r="D35" s="1049"/>
      <c r="E35" s="1050"/>
      <c r="F35" s="1055" t="s">
        <v>26</v>
      </c>
      <c r="G35" s="1056"/>
      <c r="H35" s="1056"/>
      <c r="I35" s="1056"/>
      <c r="J35" s="1056"/>
      <c r="K35" s="1056"/>
      <c r="L35" s="1056"/>
      <c r="M35" s="1056"/>
      <c r="N35" s="1056"/>
      <c r="O35" s="1056"/>
      <c r="P35" s="1056"/>
      <c r="Q35" s="1056"/>
      <c r="R35" s="1056"/>
      <c r="S35" s="1056"/>
      <c r="T35" s="1056"/>
      <c r="U35" s="1057"/>
      <c r="V35" s="1051">
        <v>4</v>
      </c>
      <c r="W35" s="1052"/>
      <c r="X35" s="1052"/>
      <c r="Y35" s="1053"/>
      <c r="Z35" s="1054"/>
      <c r="AA35" s="1054"/>
      <c r="AB35" s="1054"/>
      <c r="AC35" s="1054"/>
      <c r="AD35" s="1054"/>
      <c r="AE35" s="1054"/>
      <c r="AF35" s="1054"/>
      <c r="AG35" s="632"/>
      <c r="AH35" s="341"/>
      <c r="AI35" s="149" t="b">
        <f>VLOOKUP(V35,$AK$3:$AL$15,2,FALSE)&lt;=$AI$19</f>
        <v>0</v>
      </c>
      <c r="AJ35" s="149" t="str">
        <f>J219</f>
        <v>×</v>
      </c>
    </row>
    <row r="36" spans="1:43" ht="15" customHeight="1">
      <c r="A36" s="638">
        <v>14</v>
      </c>
      <c r="B36" s="1048" t="str">
        <f>IFERROR(IF(AI36,AJ36,"適用月エラー"),"－")</f>
        <v>適用月エラー</v>
      </c>
      <c r="C36" s="1049"/>
      <c r="D36" s="1049"/>
      <c r="E36" s="1050"/>
      <c r="F36" s="1055" t="s">
        <v>1027</v>
      </c>
      <c r="G36" s="1056"/>
      <c r="H36" s="1056"/>
      <c r="I36" s="1056"/>
      <c r="J36" s="1056"/>
      <c r="K36" s="1056"/>
      <c r="L36" s="1056"/>
      <c r="M36" s="1056"/>
      <c r="N36" s="1056"/>
      <c r="O36" s="1056"/>
      <c r="P36" s="1056"/>
      <c r="Q36" s="1056"/>
      <c r="R36" s="1056"/>
      <c r="S36" s="1056"/>
      <c r="T36" s="1056"/>
      <c r="U36" s="1057"/>
      <c r="V36" s="1051">
        <v>4</v>
      </c>
      <c r="W36" s="1052"/>
      <c r="X36" s="1052"/>
      <c r="Y36" s="1053"/>
      <c r="Z36" s="1054"/>
      <c r="AA36" s="1054"/>
      <c r="AB36" s="1054"/>
      <c r="AC36" s="1054"/>
      <c r="AD36" s="1054"/>
      <c r="AE36" s="1054"/>
      <c r="AF36" s="1054"/>
      <c r="AG36" s="632"/>
      <c r="AH36" s="341"/>
      <c r="AI36" s="149" t="b">
        <f>VLOOKUP(V36,$AK$3:$AL$15,2,FALSE)&lt;=$AI$19</f>
        <v>0</v>
      </c>
      <c r="AJ36" s="149" t="str">
        <f>J223</f>
        <v>×</v>
      </c>
    </row>
    <row r="37" spans="1:43" ht="15" customHeight="1">
      <c r="A37" s="638">
        <v>15</v>
      </c>
      <c r="B37" s="1048" t="str">
        <f t="shared" si="1"/>
        <v>適用月エラー</v>
      </c>
      <c r="C37" s="1049"/>
      <c r="D37" s="1049"/>
      <c r="E37" s="1050"/>
      <c r="F37" s="1055" t="s">
        <v>31</v>
      </c>
      <c r="G37" s="1056"/>
      <c r="H37" s="1056"/>
      <c r="I37" s="1056"/>
      <c r="J37" s="1056"/>
      <c r="K37" s="1056"/>
      <c r="L37" s="1056"/>
      <c r="M37" s="1056"/>
      <c r="N37" s="1056"/>
      <c r="O37" s="1056"/>
      <c r="P37" s="1056"/>
      <c r="Q37" s="1056"/>
      <c r="R37" s="1056"/>
      <c r="S37" s="1056"/>
      <c r="T37" s="1056"/>
      <c r="U37" s="1057"/>
      <c r="V37" s="1051">
        <v>4</v>
      </c>
      <c r="W37" s="1052"/>
      <c r="X37" s="1052"/>
      <c r="Y37" s="1053"/>
      <c r="Z37" s="1054"/>
      <c r="AA37" s="1054"/>
      <c r="AB37" s="1054"/>
      <c r="AC37" s="1054"/>
      <c r="AD37" s="1054"/>
      <c r="AE37" s="1054"/>
      <c r="AF37" s="1054"/>
      <c r="AG37" s="632"/>
      <c r="AH37" s="617"/>
      <c r="AI37" s="149" t="b">
        <f>VLOOKUP(V37,$AK$3:$AL$15,2,FALSE)&lt;=$AI$19</f>
        <v>0</v>
      </c>
      <c r="AJ37" s="149" t="str">
        <f>J227</f>
        <v>×</v>
      </c>
      <c r="AL37" s="70" t="str">
        <f>IFERROR(IF(AI22,AJ22,"適用月エラー"),"－")</f>
        <v>適用月エラー</v>
      </c>
    </row>
    <row r="38" spans="1:43" ht="15" customHeight="1">
      <c r="A38" s="638">
        <v>16</v>
      </c>
      <c r="B38" s="1048" t="s">
        <v>255</v>
      </c>
      <c r="C38" s="1049"/>
      <c r="D38" s="1049"/>
      <c r="E38" s="1050"/>
      <c r="F38" s="1055" t="s">
        <v>27</v>
      </c>
      <c r="G38" s="1056"/>
      <c r="H38" s="1056"/>
      <c r="I38" s="1056"/>
      <c r="J38" s="1056"/>
      <c r="K38" s="1056"/>
      <c r="L38" s="1056"/>
      <c r="M38" s="1056"/>
      <c r="N38" s="1056"/>
      <c r="O38" s="1056"/>
      <c r="P38" s="1056"/>
      <c r="Q38" s="1056"/>
      <c r="R38" s="1056"/>
      <c r="S38" s="1056"/>
      <c r="T38" s="1056"/>
      <c r="U38" s="1057"/>
      <c r="V38" s="1132">
        <v>4</v>
      </c>
      <c r="W38" s="1133"/>
      <c r="X38" s="1133"/>
      <c r="Y38" s="1134"/>
      <c r="Z38" s="1153" t="s">
        <v>59</v>
      </c>
      <c r="AA38" s="1153"/>
      <c r="AB38" s="1153"/>
      <c r="AC38" s="1153"/>
      <c r="AD38" s="1153"/>
      <c r="AE38" s="1153"/>
      <c r="AF38" s="1153"/>
      <c r="AG38" s="632"/>
      <c r="AH38" s="341"/>
    </row>
    <row r="39" spans="1:43" ht="15" customHeight="1">
      <c r="A39" s="642" t="s">
        <v>58</v>
      </c>
      <c r="B39" s="758"/>
      <c r="C39" s="759"/>
      <c r="D39" s="772"/>
      <c r="E39" s="772"/>
      <c r="F39" s="772"/>
      <c r="G39" s="772"/>
      <c r="H39" s="772"/>
      <c r="I39" s="772"/>
      <c r="J39" s="772"/>
      <c r="K39" s="772"/>
      <c r="L39" s="772"/>
      <c r="M39" s="772"/>
      <c r="N39" s="772"/>
      <c r="O39" s="772"/>
      <c r="P39" s="772"/>
      <c r="Q39" s="772"/>
      <c r="R39" s="772"/>
      <c r="S39" s="772"/>
      <c r="T39" s="772"/>
      <c r="U39" s="772"/>
      <c r="V39" s="764"/>
      <c r="W39" s="764"/>
      <c r="X39" s="764"/>
      <c r="Y39" s="764"/>
      <c r="Z39" s="764"/>
      <c r="AA39" s="764"/>
      <c r="AB39" s="764"/>
      <c r="AC39" s="764"/>
      <c r="AD39" s="764"/>
      <c r="AE39" s="764"/>
      <c r="AF39" s="765"/>
      <c r="AG39" s="632"/>
      <c r="AH39" s="341"/>
    </row>
    <row r="40" spans="1:43" ht="15" customHeight="1">
      <c r="A40" s="638">
        <v>17</v>
      </c>
      <c r="B40" s="1171"/>
      <c r="C40" s="1169"/>
      <c r="D40" s="1169"/>
      <c r="E40" s="1172"/>
      <c r="F40" s="1055" t="s">
        <v>30</v>
      </c>
      <c r="G40" s="1056"/>
      <c r="H40" s="1056"/>
      <c r="I40" s="1056"/>
      <c r="J40" s="1056"/>
      <c r="K40" s="1056"/>
      <c r="L40" s="1056"/>
      <c r="M40" s="1056"/>
      <c r="N40" s="1056"/>
      <c r="O40" s="1056"/>
      <c r="P40" s="1056"/>
      <c r="Q40" s="1056"/>
      <c r="R40" s="1056"/>
      <c r="S40" s="1056"/>
      <c r="T40" s="1056"/>
      <c r="U40" s="1057"/>
      <c r="V40" s="1301" t="s">
        <v>134</v>
      </c>
      <c r="W40" s="1302"/>
      <c r="X40" s="1302"/>
      <c r="Y40" s="1302"/>
      <c r="Z40" s="1302"/>
      <c r="AA40" s="1302"/>
      <c r="AB40" s="1302"/>
      <c r="AC40" s="1302"/>
      <c r="AD40" s="1302"/>
      <c r="AE40" s="1302"/>
      <c r="AF40" s="1303"/>
      <c r="AG40" s="632"/>
      <c r="AH40" s="341"/>
    </row>
    <row r="41" spans="1:43" ht="15" customHeight="1">
      <c r="A41" s="638">
        <v>18</v>
      </c>
      <c r="B41" s="1171"/>
      <c r="C41" s="1169"/>
      <c r="D41" s="1169"/>
      <c r="E41" s="1172"/>
      <c r="F41" s="1055" t="s">
        <v>32</v>
      </c>
      <c r="G41" s="1056"/>
      <c r="H41" s="1056"/>
      <c r="I41" s="1056"/>
      <c r="J41" s="1056"/>
      <c r="K41" s="1056"/>
      <c r="L41" s="1056"/>
      <c r="M41" s="1056"/>
      <c r="N41" s="1056"/>
      <c r="O41" s="1056"/>
      <c r="P41" s="1056"/>
      <c r="Q41" s="1056"/>
      <c r="R41" s="1056"/>
      <c r="S41" s="1056"/>
      <c r="T41" s="1056"/>
      <c r="U41" s="1057"/>
      <c r="V41" s="1304"/>
      <c r="W41" s="1305"/>
      <c r="X41" s="1305"/>
      <c r="Y41" s="1305"/>
      <c r="Z41" s="1305"/>
      <c r="AA41" s="1305"/>
      <c r="AB41" s="1305"/>
      <c r="AC41" s="1305"/>
      <c r="AD41" s="1305"/>
      <c r="AE41" s="1305"/>
      <c r="AF41" s="1306"/>
      <c r="AG41" s="632"/>
      <c r="AH41" s="341"/>
    </row>
    <row r="42" spans="1:43" ht="15" customHeight="1">
      <c r="A42" s="638">
        <v>19</v>
      </c>
      <c r="B42" s="1171"/>
      <c r="C42" s="1169"/>
      <c r="D42" s="1169"/>
      <c r="E42" s="1172"/>
      <c r="F42" s="1055" t="s">
        <v>28</v>
      </c>
      <c r="G42" s="1056"/>
      <c r="H42" s="1056"/>
      <c r="I42" s="1056"/>
      <c r="J42" s="1056"/>
      <c r="K42" s="1056"/>
      <c r="L42" s="1056"/>
      <c r="M42" s="1056"/>
      <c r="N42" s="1056"/>
      <c r="O42" s="1056"/>
      <c r="P42" s="1056"/>
      <c r="Q42" s="1056"/>
      <c r="R42" s="1056"/>
      <c r="S42" s="1056"/>
      <c r="T42" s="1056"/>
      <c r="U42" s="1057"/>
      <c r="V42" s="1176" t="s">
        <v>61</v>
      </c>
      <c r="W42" s="1177"/>
      <c r="X42" s="1177"/>
      <c r="Y42" s="1177"/>
      <c r="Z42" s="1177"/>
      <c r="AA42" s="1177"/>
      <c r="AB42" s="1177"/>
      <c r="AC42" s="1177"/>
      <c r="AD42" s="1177"/>
      <c r="AE42" s="1177"/>
      <c r="AF42" s="1178"/>
      <c r="AG42" s="632"/>
      <c r="AH42" s="341"/>
    </row>
    <row r="43" spans="1:43" ht="15" customHeight="1">
      <c r="A43" s="638">
        <v>20</v>
      </c>
      <c r="B43" s="1171"/>
      <c r="C43" s="1169"/>
      <c r="D43" s="1169"/>
      <c r="E43" s="1172"/>
      <c r="F43" s="1055" t="s">
        <v>29</v>
      </c>
      <c r="G43" s="1056"/>
      <c r="H43" s="1056"/>
      <c r="I43" s="1056"/>
      <c r="J43" s="1056"/>
      <c r="K43" s="1056"/>
      <c r="L43" s="1056"/>
      <c r="M43" s="1056"/>
      <c r="N43" s="1056"/>
      <c r="O43" s="1056"/>
      <c r="P43" s="1056"/>
      <c r="Q43" s="1056"/>
      <c r="R43" s="1056"/>
      <c r="S43" s="1056"/>
      <c r="T43" s="1056"/>
      <c r="U43" s="1057"/>
      <c r="V43" s="1179"/>
      <c r="W43" s="1180"/>
      <c r="X43" s="1180"/>
      <c r="Y43" s="1180"/>
      <c r="Z43" s="1180"/>
      <c r="AA43" s="1180"/>
      <c r="AB43" s="1180"/>
      <c r="AC43" s="1180"/>
      <c r="AD43" s="1180"/>
      <c r="AE43" s="1180"/>
      <c r="AF43" s="1181"/>
      <c r="AG43" s="632"/>
      <c r="AH43" s="341"/>
    </row>
    <row r="44" spans="1:43" ht="15" customHeight="1">
      <c r="A44" s="1184" t="s">
        <v>449</v>
      </c>
      <c r="B44" s="1098"/>
      <c r="C44" s="1098"/>
      <c r="D44" s="1098"/>
      <c r="E44" s="1098"/>
      <c r="F44" s="1098"/>
      <c r="G44" s="1098"/>
      <c r="H44" s="1098"/>
      <c r="I44" s="1098"/>
      <c r="J44" s="1098"/>
      <c r="K44" s="1098"/>
      <c r="L44" s="1098"/>
      <c r="M44" s="1098"/>
      <c r="N44" s="1098"/>
      <c r="O44" s="1098"/>
      <c r="P44" s="1098"/>
      <c r="Q44" s="1098"/>
      <c r="R44" s="1098"/>
      <c r="S44" s="1098"/>
      <c r="T44" s="1098"/>
      <c r="U44" s="1098"/>
      <c r="V44" s="1098"/>
      <c r="W44" s="1098"/>
      <c r="X44" s="1098"/>
      <c r="Y44" s="1098"/>
      <c r="Z44" s="1098"/>
      <c r="AA44" s="1098"/>
      <c r="AB44" s="1098"/>
      <c r="AC44" s="1098"/>
      <c r="AD44" s="1098"/>
      <c r="AE44" s="1098"/>
      <c r="AF44" s="1098"/>
      <c r="AG44" s="632"/>
      <c r="AH44" s="341"/>
    </row>
    <row r="45" spans="1:43" ht="15" customHeight="1" thickBot="1">
      <c r="A45" s="1185"/>
      <c r="B45" s="1186"/>
      <c r="C45" s="1186"/>
      <c r="D45" s="1186"/>
      <c r="E45" s="1186"/>
      <c r="F45" s="1186"/>
      <c r="G45" s="1186"/>
      <c r="H45" s="1186"/>
      <c r="I45" s="1186"/>
      <c r="J45" s="1186"/>
      <c r="K45" s="1186"/>
      <c r="L45" s="1186"/>
      <c r="M45" s="1186"/>
      <c r="N45" s="1186"/>
      <c r="O45" s="1186"/>
      <c r="P45" s="1186"/>
      <c r="Q45" s="1186"/>
      <c r="R45" s="1186"/>
      <c r="S45" s="1186"/>
      <c r="T45" s="1186"/>
      <c r="U45" s="1186"/>
      <c r="V45" s="1186"/>
      <c r="W45" s="1186"/>
      <c r="X45" s="1186"/>
      <c r="Y45" s="1186"/>
      <c r="Z45" s="1186"/>
      <c r="AA45" s="1186"/>
      <c r="AB45" s="1186"/>
      <c r="AC45" s="1186"/>
      <c r="AD45" s="1186"/>
      <c r="AE45" s="1186"/>
      <c r="AF45" s="1186"/>
      <c r="AG45" s="640"/>
      <c r="AH45" s="341"/>
    </row>
    <row r="46" spans="1:43" ht="15" customHeight="1">
      <c r="A46" s="1162" t="s">
        <v>33</v>
      </c>
      <c r="B46" s="1162"/>
      <c r="C46" s="1162"/>
      <c r="D46" s="1162"/>
      <c r="E46" s="1162"/>
      <c r="F46" s="1162"/>
      <c r="G46" s="1162"/>
      <c r="H46" s="1162"/>
      <c r="I46" s="1162"/>
      <c r="J46" s="1162"/>
      <c r="K46" s="1162"/>
      <c r="L46" s="1162"/>
      <c r="M46" s="1162"/>
      <c r="N46" s="1162"/>
      <c r="O46" s="1162"/>
      <c r="P46" s="1162"/>
      <c r="Q46" s="1162"/>
      <c r="R46" s="1162"/>
      <c r="S46" s="1162"/>
      <c r="T46" s="1162"/>
      <c r="U46" s="1162"/>
      <c r="V46" s="1162"/>
      <c r="W46" s="1162"/>
      <c r="X46" s="1162"/>
      <c r="Y46" s="1162"/>
      <c r="Z46" s="1162"/>
      <c r="AA46" s="1162"/>
      <c r="AB46" s="1162"/>
      <c r="AC46" s="1162"/>
      <c r="AD46" s="1162"/>
      <c r="AE46" s="1162"/>
      <c r="AF46" s="1162"/>
      <c r="AG46" s="1162"/>
    </row>
    <row r="47" spans="1:43" ht="15" customHeight="1">
      <c r="A47" s="1098" t="s">
        <v>276</v>
      </c>
      <c r="B47" s="1098"/>
      <c r="C47" s="1098"/>
      <c r="D47" s="1098"/>
      <c r="E47" s="1098"/>
      <c r="F47" s="1098"/>
      <c r="G47" s="1098"/>
      <c r="H47" s="1098"/>
      <c r="I47" s="1098"/>
      <c r="J47" s="1098"/>
      <c r="K47" s="1098"/>
      <c r="L47" s="1098"/>
      <c r="M47" s="1098"/>
      <c r="N47" s="1098"/>
      <c r="O47" s="1098"/>
      <c r="P47" s="1098"/>
      <c r="Q47" s="1098"/>
      <c r="R47" s="1098"/>
      <c r="S47" s="1098"/>
      <c r="T47" s="1098"/>
      <c r="U47" s="1098"/>
      <c r="V47" s="1098"/>
      <c r="W47" s="1098"/>
      <c r="X47" s="1098"/>
      <c r="Y47" s="1098"/>
      <c r="Z47" s="1098"/>
      <c r="AA47" s="1098"/>
      <c r="AB47" s="1098"/>
      <c r="AC47" s="1098"/>
      <c r="AD47" s="1098"/>
      <c r="AE47" s="1098"/>
      <c r="AF47" s="1098"/>
      <c r="AG47" s="1098"/>
    </row>
    <row r="48" spans="1:43" ht="24.95" customHeight="1" thickBot="1">
      <c r="A48" s="1098" t="s">
        <v>277</v>
      </c>
      <c r="B48" s="1098"/>
      <c r="C48" s="1098"/>
      <c r="D48" s="1098"/>
      <c r="E48" s="1098"/>
      <c r="F48" s="1098"/>
      <c r="G48" s="1098"/>
      <c r="H48" s="1098"/>
      <c r="I48" s="1098"/>
      <c r="J48" s="1098"/>
      <c r="K48" s="1098"/>
      <c r="L48" s="1098"/>
      <c r="M48" s="1098"/>
      <c r="N48" s="1098"/>
      <c r="O48" s="1098"/>
      <c r="P48" s="1098"/>
      <c r="Q48" s="1098"/>
      <c r="R48" s="1098"/>
      <c r="S48" s="1098"/>
      <c r="T48" s="1098"/>
      <c r="U48" s="1098"/>
      <c r="V48" s="1098"/>
      <c r="W48" s="1098"/>
      <c r="X48" s="1098"/>
      <c r="Y48" s="1098"/>
      <c r="Z48" s="1098"/>
      <c r="AA48" s="1098"/>
      <c r="AB48" s="1098"/>
      <c r="AC48" s="1098"/>
      <c r="AD48" s="1098"/>
      <c r="AE48" s="1098"/>
      <c r="AF48" s="1098"/>
      <c r="AG48" s="1098"/>
    </row>
    <row r="49" spans="1:54" ht="15" customHeight="1" thickBot="1">
      <c r="A49" s="1044" t="s">
        <v>278</v>
      </c>
      <c r="B49" s="1044"/>
      <c r="C49" s="1044"/>
      <c r="D49" s="1044"/>
      <c r="E49" s="1044"/>
      <c r="F49" s="1044"/>
      <c r="G49" s="1044"/>
      <c r="H49" s="1044"/>
      <c r="I49" s="1044"/>
      <c r="J49" s="1199" t="str">
        <f>IFERROR(IF(AND(AI51,AI55,AI58,AJ51,AJ55),"○","×"),"エラー")</f>
        <v>×</v>
      </c>
      <c r="K49" s="1200"/>
      <c r="L49" s="1200"/>
      <c r="M49" s="1200"/>
      <c r="N49" s="1201"/>
      <c r="O49" s="1096" t="s">
        <v>279</v>
      </c>
      <c r="P49" s="1097"/>
      <c r="Q49" s="1097"/>
      <c r="R49" s="197"/>
      <c r="S49" s="197"/>
      <c r="T49" s="197"/>
      <c r="U49" s="197"/>
      <c r="V49" s="197"/>
      <c r="W49" s="197"/>
      <c r="X49" s="197"/>
      <c r="Y49" s="197"/>
      <c r="Z49" s="197"/>
      <c r="AA49" s="197"/>
      <c r="AB49" s="197"/>
      <c r="AC49" s="197"/>
      <c r="AD49" s="197"/>
      <c r="AE49" s="197"/>
      <c r="AF49" s="197"/>
      <c r="AG49" s="197"/>
    </row>
    <row r="50" spans="1:54" ht="15" customHeight="1">
      <c r="A50" s="1086" t="s">
        <v>280</v>
      </c>
      <c r="B50" s="1087"/>
      <c r="C50" s="1087"/>
      <c r="D50" s="1087"/>
      <c r="E50" s="1087"/>
      <c r="F50" s="1066" t="s">
        <v>79</v>
      </c>
      <c r="G50" s="1094"/>
      <c r="H50" s="1094"/>
      <c r="I50" s="1094"/>
      <c r="J50" s="1138"/>
      <c r="K50" s="1138"/>
      <c r="L50" s="1138"/>
      <c r="M50" s="1138"/>
      <c r="N50" s="1138"/>
      <c r="O50" s="1094"/>
      <c r="P50" s="1094"/>
      <c r="Q50" s="1094"/>
      <c r="R50" s="1094"/>
      <c r="S50" s="1094"/>
      <c r="T50" s="1094"/>
      <c r="U50" s="1094"/>
      <c r="V50" s="1094"/>
      <c r="W50" s="1094"/>
      <c r="X50" s="1094"/>
      <c r="Y50" s="1094"/>
      <c r="Z50" s="1094"/>
      <c r="AA50" s="1094" t="s">
        <v>281</v>
      </c>
      <c r="AB50" s="1094"/>
      <c r="AC50" s="1094"/>
      <c r="AD50" s="1094"/>
      <c r="AE50" s="1152" t="s">
        <v>495</v>
      </c>
      <c r="AF50" s="1152"/>
      <c r="AG50" s="1152"/>
    </row>
    <row r="51" spans="1:54" ht="15" customHeight="1">
      <c r="A51" s="1088"/>
      <c r="B51" s="1089"/>
      <c r="C51" s="1089"/>
      <c r="D51" s="1089"/>
      <c r="E51" s="1089"/>
      <c r="F51" s="763">
        <v>1</v>
      </c>
      <c r="G51" s="1090" t="s">
        <v>442</v>
      </c>
      <c r="H51" s="1090"/>
      <c r="I51" s="1090"/>
      <c r="J51" s="1090"/>
      <c r="K51" s="1090"/>
      <c r="L51" s="1090"/>
      <c r="M51" s="1090"/>
      <c r="N51" s="1090"/>
      <c r="O51" s="1090"/>
      <c r="P51" s="1090"/>
      <c r="Q51" s="1090"/>
      <c r="R51" s="1090"/>
      <c r="S51" s="1090"/>
      <c r="T51" s="1090"/>
      <c r="U51" s="1090"/>
      <c r="V51" s="1090"/>
      <c r="W51" s="1090"/>
      <c r="X51" s="1090"/>
      <c r="Y51" s="1090"/>
      <c r="Z51" s="1090"/>
      <c r="AA51" s="1086" t="str">
        <f>IF(COUNTIF(AI52:AI54,TRUE)=1,"○","×")</f>
        <v>×</v>
      </c>
      <c r="AB51" s="1087"/>
      <c r="AC51" s="1087"/>
      <c r="AD51" s="1122"/>
      <c r="AE51" s="1152" t="str">
        <f>【様式５】職員数算出表!O32</f>
        <v>×</v>
      </c>
      <c r="AF51" s="1152"/>
      <c r="AG51" s="1152"/>
      <c r="AI51" s="149" t="b">
        <f t="shared" ref="AI51:AI59" si="2">AA51="○"</f>
        <v>0</v>
      </c>
      <c r="AJ51" s="1058" t="b">
        <f>AE51="○"</f>
        <v>0</v>
      </c>
    </row>
    <row r="52" spans="1:54" ht="15" customHeight="1">
      <c r="A52" s="1088"/>
      <c r="B52" s="1089"/>
      <c r="C52" s="1089"/>
      <c r="D52" s="1089"/>
      <c r="E52" s="1089"/>
      <c r="F52" s="1126" t="s">
        <v>117</v>
      </c>
      <c r="G52" s="1127"/>
      <c r="H52" s="1128" t="s">
        <v>282</v>
      </c>
      <c r="I52" s="1128"/>
      <c r="J52" s="1128"/>
      <c r="K52" s="1128"/>
      <c r="L52" s="1128"/>
      <c r="M52" s="1128"/>
      <c r="N52" s="1128"/>
      <c r="O52" s="1128"/>
      <c r="P52" s="1128"/>
      <c r="Q52" s="1128"/>
      <c r="R52" s="1128"/>
      <c r="S52" s="1128"/>
      <c r="T52" s="1128"/>
      <c r="U52" s="1128"/>
      <c r="V52" s="1128"/>
      <c r="W52" s="1128"/>
      <c r="X52" s="1128"/>
      <c r="Y52" s="1128"/>
      <c r="Z52" s="1128"/>
      <c r="AA52" s="1129"/>
      <c r="AB52" s="1130"/>
      <c r="AC52" s="1130"/>
      <c r="AD52" s="1131"/>
      <c r="AE52" s="1152"/>
      <c r="AF52" s="1152"/>
      <c r="AG52" s="1152"/>
      <c r="AI52" s="149" t="b">
        <f t="shared" si="2"/>
        <v>0</v>
      </c>
      <c r="AJ52" s="1058"/>
    </row>
    <row r="53" spans="1:54" ht="15" customHeight="1">
      <c r="A53" s="1088"/>
      <c r="B53" s="1089"/>
      <c r="C53" s="1089"/>
      <c r="D53" s="1089"/>
      <c r="E53" s="1089"/>
      <c r="F53" s="1126" t="s">
        <v>69</v>
      </c>
      <c r="G53" s="1127"/>
      <c r="H53" s="1128" t="s">
        <v>938</v>
      </c>
      <c r="I53" s="1128"/>
      <c r="J53" s="1128"/>
      <c r="K53" s="1128"/>
      <c r="L53" s="1128"/>
      <c r="M53" s="1128"/>
      <c r="N53" s="1128"/>
      <c r="O53" s="1128"/>
      <c r="P53" s="1128"/>
      <c r="Q53" s="1128"/>
      <c r="R53" s="1128"/>
      <c r="S53" s="1128"/>
      <c r="T53" s="1128"/>
      <c r="U53" s="1128"/>
      <c r="V53" s="1128"/>
      <c r="W53" s="1128"/>
      <c r="X53" s="1128"/>
      <c r="Y53" s="1128"/>
      <c r="Z53" s="1128"/>
      <c r="AA53" s="1129"/>
      <c r="AB53" s="1130"/>
      <c r="AC53" s="1130"/>
      <c r="AD53" s="1131"/>
      <c r="AE53" s="1152"/>
      <c r="AF53" s="1152"/>
      <c r="AG53" s="1152"/>
      <c r="AI53" s="149" t="b">
        <f t="shared" si="2"/>
        <v>0</v>
      </c>
      <c r="AJ53" s="1058"/>
    </row>
    <row r="54" spans="1:54" ht="15" customHeight="1">
      <c r="A54" s="1088"/>
      <c r="B54" s="1089"/>
      <c r="C54" s="1089"/>
      <c r="D54" s="1089"/>
      <c r="E54" s="1089"/>
      <c r="F54" s="1123" t="s">
        <v>70</v>
      </c>
      <c r="G54" s="1124"/>
      <c r="H54" s="1125" t="s">
        <v>283</v>
      </c>
      <c r="I54" s="1125"/>
      <c r="J54" s="1125"/>
      <c r="K54" s="1125"/>
      <c r="L54" s="1125"/>
      <c r="M54" s="1125"/>
      <c r="N54" s="1125"/>
      <c r="O54" s="1125"/>
      <c r="P54" s="1125"/>
      <c r="Q54" s="1125"/>
      <c r="R54" s="1125"/>
      <c r="S54" s="1125"/>
      <c r="T54" s="1125"/>
      <c r="U54" s="1125"/>
      <c r="V54" s="1125"/>
      <c r="W54" s="1125"/>
      <c r="X54" s="1125"/>
      <c r="Y54" s="1125"/>
      <c r="Z54" s="1125"/>
      <c r="AA54" s="1135"/>
      <c r="AB54" s="1136"/>
      <c r="AC54" s="1136"/>
      <c r="AD54" s="1137"/>
      <c r="AE54" s="1152"/>
      <c r="AF54" s="1152"/>
      <c r="AG54" s="1152"/>
      <c r="AI54" s="149" t="b">
        <f t="shared" si="2"/>
        <v>0</v>
      </c>
      <c r="AJ54" s="1058"/>
    </row>
    <row r="55" spans="1:54" ht="15" customHeight="1">
      <c r="A55" s="1088"/>
      <c r="B55" s="1089"/>
      <c r="C55" s="1089"/>
      <c r="D55" s="1089"/>
      <c r="E55" s="1089"/>
      <c r="F55" s="763">
        <v>2</v>
      </c>
      <c r="G55" s="1090" t="s">
        <v>511</v>
      </c>
      <c r="H55" s="1090"/>
      <c r="I55" s="1090"/>
      <c r="J55" s="1090"/>
      <c r="K55" s="1090"/>
      <c r="L55" s="1090"/>
      <c r="M55" s="1090"/>
      <c r="N55" s="1090"/>
      <c r="O55" s="1090"/>
      <c r="P55" s="1090"/>
      <c r="Q55" s="1090"/>
      <c r="R55" s="1090"/>
      <c r="S55" s="1090"/>
      <c r="T55" s="1090"/>
      <c r="U55" s="1090"/>
      <c r="V55" s="1090"/>
      <c r="W55" s="1090"/>
      <c r="X55" s="1090"/>
      <c r="Y55" s="1090"/>
      <c r="Z55" s="1090"/>
      <c r="AA55" s="1086" t="str">
        <f>IF(COUNTIF(AI56:AI57,TRUE)=1,"○","×")</f>
        <v>×</v>
      </c>
      <c r="AB55" s="1087"/>
      <c r="AC55" s="1087"/>
      <c r="AD55" s="1122"/>
      <c r="AE55" s="1152" t="str">
        <f>【様式５】職員数算出表!O28</f>
        <v>×</v>
      </c>
      <c r="AF55" s="1152"/>
      <c r="AG55" s="1152"/>
      <c r="AI55" s="149" t="b">
        <f t="shared" si="2"/>
        <v>0</v>
      </c>
      <c r="AJ55" s="1058" t="b">
        <f>AE55="○"</f>
        <v>0</v>
      </c>
    </row>
    <row r="56" spans="1:54" ht="15" customHeight="1">
      <c r="A56" s="1088"/>
      <c r="B56" s="1089"/>
      <c r="C56" s="1089"/>
      <c r="D56" s="1089"/>
      <c r="E56" s="1089"/>
      <c r="F56" s="1126" t="s">
        <v>117</v>
      </c>
      <c r="G56" s="1127"/>
      <c r="H56" s="1128" t="s">
        <v>284</v>
      </c>
      <c r="I56" s="1128"/>
      <c r="J56" s="1128"/>
      <c r="K56" s="1128"/>
      <c r="L56" s="1128"/>
      <c r="M56" s="1128"/>
      <c r="N56" s="1128"/>
      <c r="O56" s="1128"/>
      <c r="P56" s="1128"/>
      <c r="Q56" s="1128"/>
      <c r="R56" s="1128"/>
      <c r="S56" s="1128"/>
      <c r="T56" s="1128"/>
      <c r="U56" s="1128"/>
      <c r="V56" s="1128"/>
      <c r="W56" s="1128"/>
      <c r="X56" s="1128"/>
      <c r="Y56" s="1128"/>
      <c r="Z56" s="1128"/>
      <c r="AA56" s="1129"/>
      <c r="AB56" s="1130"/>
      <c r="AC56" s="1130"/>
      <c r="AD56" s="1131"/>
      <c r="AE56" s="1152"/>
      <c r="AF56" s="1152"/>
      <c r="AG56" s="1152"/>
      <c r="AI56" s="149" t="b">
        <f t="shared" si="2"/>
        <v>0</v>
      </c>
      <c r="AJ56" s="1058"/>
    </row>
    <row r="57" spans="1:54" ht="24.95" customHeight="1">
      <c r="A57" s="1088"/>
      <c r="B57" s="1089"/>
      <c r="C57" s="1089"/>
      <c r="D57" s="1089"/>
      <c r="E57" s="1089"/>
      <c r="F57" s="1209" t="s">
        <v>69</v>
      </c>
      <c r="G57" s="1210"/>
      <c r="H57" s="1196" t="s">
        <v>285</v>
      </c>
      <c r="I57" s="1196"/>
      <c r="J57" s="1196"/>
      <c r="K57" s="1196"/>
      <c r="L57" s="1196"/>
      <c r="M57" s="1196"/>
      <c r="N57" s="1196"/>
      <c r="O57" s="1196"/>
      <c r="P57" s="1196"/>
      <c r="Q57" s="1196"/>
      <c r="R57" s="1196"/>
      <c r="S57" s="1196"/>
      <c r="T57" s="1196"/>
      <c r="U57" s="1196"/>
      <c r="V57" s="1196"/>
      <c r="W57" s="1196"/>
      <c r="X57" s="1196"/>
      <c r="Y57" s="1196"/>
      <c r="Z57" s="1196"/>
      <c r="AA57" s="1211"/>
      <c r="AB57" s="1212"/>
      <c r="AC57" s="1212"/>
      <c r="AD57" s="1213"/>
      <c r="AE57" s="1152"/>
      <c r="AF57" s="1152"/>
      <c r="AG57" s="1152"/>
      <c r="AI57" s="149" t="b">
        <f t="shared" si="2"/>
        <v>0</v>
      </c>
      <c r="AJ57" s="1058"/>
    </row>
    <row r="58" spans="1:54" ht="15" customHeight="1">
      <c r="A58" s="1088"/>
      <c r="B58" s="1089"/>
      <c r="C58" s="1089"/>
      <c r="D58" s="1089"/>
      <c r="E58" s="1089"/>
      <c r="F58" s="763">
        <v>3</v>
      </c>
      <c r="G58" s="1090" t="s">
        <v>286</v>
      </c>
      <c r="H58" s="1090"/>
      <c r="I58" s="1090"/>
      <c r="J58" s="1090"/>
      <c r="K58" s="1090"/>
      <c r="L58" s="1090"/>
      <c r="M58" s="1090"/>
      <c r="N58" s="1090"/>
      <c r="O58" s="1090"/>
      <c r="P58" s="1090"/>
      <c r="Q58" s="1090"/>
      <c r="R58" s="1090"/>
      <c r="S58" s="1090"/>
      <c r="T58" s="1090"/>
      <c r="U58" s="1090"/>
      <c r="V58" s="1090"/>
      <c r="W58" s="1090"/>
      <c r="X58" s="1090"/>
      <c r="Y58" s="1090"/>
      <c r="Z58" s="1090"/>
      <c r="AA58" s="1086" t="str">
        <f>IF(COUNTIF(AI59:AI59,TRUE)=1,"○","×")</f>
        <v>×</v>
      </c>
      <c r="AB58" s="1087"/>
      <c r="AC58" s="1087"/>
      <c r="AD58" s="1122"/>
      <c r="AE58" s="1152" t="str">
        <f>【様式５】職員数算出表!O36</f>
        <v>×</v>
      </c>
      <c r="AF58" s="1152"/>
      <c r="AG58" s="1152"/>
      <c r="AI58" s="149" t="b">
        <f t="shared" si="2"/>
        <v>0</v>
      </c>
    </row>
    <row r="59" spans="1:54" ht="15" customHeight="1">
      <c r="A59" s="1197"/>
      <c r="B59" s="1198"/>
      <c r="C59" s="1198"/>
      <c r="D59" s="1198"/>
      <c r="E59" s="1198"/>
      <c r="F59" s="1123" t="s">
        <v>117</v>
      </c>
      <c r="G59" s="1124"/>
      <c r="H59" s="1125" t="s">
        <v>287</v>
      </c>
      <c r="I59" s="1125"/>
      <c r="J59" s="1125"/>
      <c r="K59" s="1125"/>
      <c r="L59" s="1125"/>
      <c r="M59" s="1125"/>
      <c r="N59" s="1125"/>
      <c r="O59" s="1125"/>
      <c r="P59" s="1125"/>
      <c r="Q59" s="1125"/>
      <c r="R59" s="1125"/>
      <c r="S59" s="1125"/>
      <c r="T59" s="1125"/>
      <c r="U59" s="1125"/>
      <c r="V59" s="1125"/>
      <c r="W59" s="1125"/>
      <c r="X59" s="1125"/>
      <c r="Y59" s="1125"/>
      <c r="Z59" s="1125"/>
      <c r="AA59" s="1135"/>
      <c r="AB59" s="1136"/>
      <c r="AC59" s="1136"/>
      <c r="AD59" s="1137"/>
      <c r="AE59" s="1152"/>
      <c r="AF59" s="1152"/>
      <c r="AG59" s="1152"/>
      <c r="AI59" s="149" t="b">
        <f t="shared" si="2"/>
        <v>0</v>
      </c>
    </row>
    <row r="60" spans="1:54" ht="15" customHeight="1">
      <c r="A60" s="1224" t="s">
        <v>518</v>
      </c>
      <c r="B60" s="1224"/>
      <c r="C60" s="1224"/>
      <c r="D60" s="1224"/>
      <c r="E60" s="1224"/>
      <c r="F60" s="1224"/>
      <c r="G60" s="1224"/>
      <c r="H60" s="1224"/>
      <c r="I60" s="1224"/>
      <c r="J60" s="1224"/>
      <c r="K60" s="1224"/>
      <c r="L60" s="1224"/>
      <c r="M60" s="1224"/>
      <c r="N60" s="1224"/>
      <c r="O60" s="1224"/>
      <c r="P60" s="1224"/>
      <c r="Q60" s="1224"/>
      <c r="R60" s="1224"/>
      <c r="S60" s="1224"/>
      <c r="T60" s="1224"/>
      <c r="U60" s="1224"/>
      <c r="V60" s="1224"/>
      <c r="W60" s="1224"/>
      <c r="X60" s="1224"/>
      <c r="Y60" s="1224"/>
      <c r="Z60" s="1224"/>
      <c r="AA60" s="1224"/>
      <c r="AB60" s="1224"/>
      <c r="AC60" s="1224"/>
      <c r="AD60" s="1224"/>
      <c r="AE60" s="1224"/>
      <c r="AF60" s="1224"/>
      <c r="AG60" s="1224"/>
    </row>
    <row r="61" spans="1:54" customFormat="1" ht="15" customHeight="1" thickBot="1">
      <c r="A61" s="806"/>
      <c r="B61" s="806"/>
      <c r="C61" s="806"/>
      <c r="D61" s="806"/>
      <c r="E61" s="806"/>
      <c r="F61" s="806"/>
      <c r="G61" s="806"/>
      <c r="H61" s="806"/>
      <c r="I61" s="806"/>
      <c r="J61" s="806"/>
      <c r="K61" s="806"/>
      <c r="L61" s="806"/>
      <c r="M61" s="806"/>
      <c r="N61" s="806"/>
      <c r="O61" s="806"/>
      <c r="P61" s="806"/>
      <c r="Q61" s="806"/>
      <c r="R61" s="806"/>
      <c r="S61" s="806"/>
      <c r="T61" s="806"/>
      <c r="U61" s="806"/>
      <c r="V61" s="806"/>
      <c r="W61" s="806"/>
      <c r="X61" s="806"/>
      <c r="Y61" s="806"/>
      <c r="Z61" s="806"/>
      <c r="AA61" s="806"/>
      <c r="AB61" s="806"/>
      <c r="AC61" s="806"/>
      <c r="AD61" s="806"/>
      <c r="AE61" s="806"/>
      <c r="AF61" s="806"/>
      <c r="AG61" s="806"/>
      <c r="AU61" s="70"/>
      <c r="AV61" s="70"/>
      <c r="AW61" s="70"/>
      <c r="AX61" s="70"/>
      <c r="AY61" s="70"/>
      <c r="AZ61" s="70"/>
      <c r="BA61" s="70"/>
      <c r="BB61" s="70"/>
    </row>
    <row r="62" spans="1:54" ht="15" customHeight="1" thickBot="1">
      <c r="A62" s="1100" t="s">
        <v>34</v>
      </c>
      <c r="B62" s="1100"/>
      <c r="C62" s="1100"/>
      <c r="D62" s="1100"/>
      <c r="E62" s="1100"/>
      <c r="F62" s="1100"/>
      <c r="G62" s="1100"/>
      <c r="H62" s="1100"/>
      <c r="I62" s="1101"/>
      <c r="J62" s="1199" t="str">
        <f>IF(AI63,"○","×")</f>
        <v>×</v>
      </c>
      <c r="K62" s="1200"/>
      <c r="L62" s="1200"/>
      <c r="M62" s="1200"/>
      <c r="N62" s="1201"/>
      <c r="O62" s="1096" t="s">
        <v>279</v>
      </c>
      <c r="P62" s="1097"/>
      <c r="Q62" s="1097"/>
      <c r="R62" s="341"/>
      <c r="S62" s="341"/>
      <c r="T62" s="341"/>
      <c r="U62" s="341"/>
      <c r="V62" s="341"/>
      <c r="W62" s="341"/>
      <c r="X62" s="341"/>
      <c r="Y62" s="341"/>
      <c r="Z62" s="341"/>
      <c r="AA62" s="341"/>
      <c r="AB62" s="341"/>
      <c r="AC62" s="341"/>
      <c r="AD62" s="341"/>
      <c r="AE62" s="341"/>
      <c r="AF62" s="341"/>
      <c r="AG62" s="341"/>
    </row>
    <row r="63" spans="1:54" ht="15" customHeight="1">
      <c r="A63" s="1154" t="s">
        <v>96</v>
      </c>
      <c r="B63" s="1155"/>
      <c r="C63" s="1155"/>
      <c r="D63" s="1155"/>
      <c r="E63" s="1156"/>
      <c r="F63" s="1102"/>
      <c r="G63" s="1103"/>
      <c r="H63" s="1103"/>
      <c r="I63" s="1103"/>
      <c r="J63" s="1103"/>
      <c r="K63" s="1104"/>
      <c r="L63" s="341"/>
      <c r="M63" s="341"/>
      <c r="N63" s="341"/>
      <c r="O63" s="341"/>
      <c r="P63" s="341"/>
      <c r="Q63" s="341"/>
      <c r="R63" s="341"/>
      <c r="S63" s="341"/>
      <c r="T63" s="341"/>
      <c r="U63" s="341"/>
      <c r="V63" s="761"/>
      <c r="W63" s="761"/>
      <c r="X63" s="761"/>
      <c r="Y63" s="761"/>
      <c r="Z63" s="761"/>
      <c r="AA63" s="761"/>
      <c r="AB63" s="761"/>
      <c r="AC63" s="761"/>
      <c r="AD63" s="761"/>
      <c r="AE63" s="341"/>
      <c r="AF63" s="341"/>
      <c r="AG63" s="341"/>
      <c r="AH63" s="77"/>
      <c r="AI63" s="149" t="b">
        <f>F63="申請する"</f>
        <v>0</v>
      </c>
    </row>
    <row r="64" spans="1:54" ht="15" customHeight="1">
      <c r="A64" s="1098" t="s">
        <v>55</v>
      </c>
      <c r="B64" s="1098"/>
      <c r="C64" s="1098"/>
      <c r="D64" s="1098"/>
      <c r="E64" s="1098"/>
      <c r="F64" s="1098"/>
      <c r="G64" s="1098"/>
      <c r="H64" s="1098"/>
      <c r="I64" s="1098"/>
      <c r="J64" s="1098"/>
      <c r="K64" s="1098"/>
      <c r="L64" s="1098"/>
      <c r="M64" s="1098"/>
      <c r="N64" s="1098"/>
      <c r="O64" s="1098"/>
      <c r="P64" s="1098"/>
      <c r="Q64" s="1098"/>
      <c r="R64" s="1098"/>
      <c r="S64" s="1098"/>
      <c r="T64" s="1098"/>
      <c r="U64" s="1098"/>
      <c r="V64" s="1098"/>
      <c r="W64" s="1098"/>
      <c r="X64" s="1098"/>
      <c r="Y64" s="1098"/>
      <c r="Z64" s="1098"/>
      <c r="AA64" s="1098"/>
      <c r="AB64" s="1098"/>
      <c r="AC64" s="1098"/>
      <c r="AD64" s="1098"/>
      <c r="AE64" s="1098"/>
      <c r="AF64" s="1098"/>
      <c r="AG64" s="1098"/>
    </row>
    <row r="65" spans="1:38" ht="15" customHeight="1" thickBot="1">
      <c r="A65" s="762"/>
      <c r="B65" s="762"/>
      <c r="C65" s="762"/>
      <c r="D65" s="762"/>
      <c r="E65" s="762"/>
      <c r="F65" s="762"/>
      <c r="G65" s="762"/>
      <c r="H65" s="762"/>
      <c r="I65" s="762"/>
      <c r="J65" s="762"/>
      <c r="K65" s="762"/>
      <c r="L65" s="762"/>
      <c r="M65" s="762"/>
      <c r="N65" s="762"/>
      <c r="O65" s="762"/>
      <c r="P65" s="762"/>
      <c r="Q65" s="762"/>
      <c r="R65" s="762"/>
      <c r="S65" s="762"/>
      <c r="T65" s="762"/>
      <c r="U65" s="762"/>
      <c r="V65" s="762"/>
      <c r="W65" s="762"/>
      <c r="X65" s="762"/>
      <c r="Y65" s="762"/>
      <c r="Z65" s="762"/>
      <c r="AA65" s="762"/>
      <c r="AB65" s="762"/>
      <c r="AC65" s="762"/>
      <c r="AD65" s="762"/>
      <c r="AE65" s="762"/>
      <c r="AF65" s="762"/>
      <c r="AG65" s="762"/>
    </row>
    <row r="66" spans="1:38" ht="15" customHeight="1" thickBot="1">
      <c r="A66" s="1100" t="s">
        <v>410</v>
      </c>
      <c r="B66" s="1100"/>
      <c r="C66" s="1100"/>
      <c r="D66" s="1100"/>
      <c r="E66" s="1100"/>
      <c r="F66" s="1100"/>
      <c r="G66" s="1100"/>
      <c r="H66" s="1100"/>
      <c r="I66" s="1101"/>
      <c r="J66" s="1199" t="str">
        <f>IF(AND(AI67,AI69),$AE$76,"×")</f>
        <v>×</v>
      </c>
      <c r="K66" s="1200"/>
      <c r="L66" s="1200"/>
      <c r="M66" s="1200"/>
      <c r="N66" s="1201"/>
      <c r="O66" s="1096" t="s">
        <v>279</v>
      </c>
      <c r="P66" s="1097"/>
      <c r="Q66" s="1097"/>
      <c r="R66" s="341"/>
      <c r="S66" s="341"/>
      <c r="T66" s="341"/>
      <c r="U66" s="341"/>
      <c r="V66" s="341"/>
      <c r="W66" s="341"/>
      <c r="X66" s="341"/>
      <c r="Y66" s="341"/>
      <c r="Z66" s="341"/>
      <c r="AA66" s="341"/>
      <c r="AB66" s="341"/>
      <c r="AC66" s="341"/>
      <c r="AD66" s="341"/>
      <c r="AE66" s="341"/>
      <c r="AF66" s="341"/>
      <c r="AG66" s="341"/>
    </row>
    <row r="67" spans="1:38" ht="15" customHeight="1">
      <c r="A67" s="1062" t="s">
        <v>96</v>
      </c>
      <c r="B67" s="1063"/>
      <c r="C67" s="1063"/>
      <c r="D67" s="1063"/>
      <c r="E67" s="1080"/>
      <c r="F67" s="1102"/>
      <c r="G67" s="1103"/>
      <c r="H67" s="1103"/>
      <c r="I67" s="1103"/>
      <c r="J67" s="1103"/>
      <c r="K67" s="1104"/>
      <c r="L67" s="341"/>
      <c r="M67" s="341"/>
      <c r="N67" s="341"/>
      <c r="O67" s="341"/>
      <c r="P67" s="341"/>
      <c r="Q67" s="341"/>
      <c r="R67" s="341"/>
      <c r="S67" s="341"/>
      <c r="T67" s="341"/>
      <c r="U67" s="341"/>
      <c r="V67" s="761"/>
      <c r="W67" s="761"/>
      <c r="X67" s="761"/>
      <c r="Y67" s="761"/>
      <c r="Z67" s="761"/>
      <c r="AA67" s="761"/>
      <c r="AB67" s="761"/>
      <c r="AC67" s="761"/>
      <c r="AD67" s="761"/>
      <c r="AE67" s="341"/>
      <c r="AF67" s="341"/>
      <c r="AG67" s="341"/>
      <c r="AH67" s="77"/>
      <c r="AI67" s="149" t="b">
        <f>F67="申請する"</f>
        <v>0</v>
      </c>
    </row>
    <row r="68" spans="1:38" ht="24.95" customHeight="1">
      <c r="A68" s="1105" t="s">
        <v>457</v>
      </c>
      <c r="B68" s="1106"/>
      <c r="C68" s="1106"/>
      <c r="D68" s="1106"/>
      <c r="E68" s="1106"/>
      <c r="F68" s="1065" t="s">
        <v>79</v>
      </c>
      <c r="G68" s="1065"/>
      <c r="H68" s="1065"/>
      <c r="I68" s="1065"/>
      <c r="J68" s="1065"/>
      <c r="K68" s="1065"/>
      <c r="L68" s="1065"/>
      <c r="M68" s="1065"/>
      <c r="N68" s="1065"/>
      <c r="O68" s="1065"/>
      <c r="P68" s="1065"/>
      <c r="Q68" s="1065"/>
      <c r="R68" s="1065"/>
      <c r="S68" s="1065"/>
      <c r="T68" s="1065"/>
      <c r="U68" s="1065"/>
      <c r="V68" s="1065"/>
      <c r="W68" s="1065"/>
      <c r="X68" s="1065"/>
      <c r="Y68" s="1065"/>
      <c r="Z68" s="1066"/>
      <c r="AA68" s="1064" t="s">
        <v>281</v>
      </c>
      <c r="AB68" s="1065"/>
      <c r="AC68" s="1065"/>
      <c r="AD68" s="1066"/>
      <c r="AE68" s="617"/>
      <c r="AF68" s="617"/>
      <c r="AG68" s="617"/>
      <c r="AH68" s="77"/>
      <c r="AI68" s="77"/>
    </row>
    <row r="69" spans="1:38" ht="24.95" customHeight="1">
      <c r="A69" s="1107"/>
      <c r="B69" s="1108"/>
      <c r="C69" s="1108"/>
      <c r="D69" s="1108"/>
      <c r="E69" s="1108"/>
      <c r="F69" s="1072" t="s">
        <v>439</v>
      </c>
      <c r="G69" s="1073"/>
      <c r="H69" s="1073"/>
      <c r="I69" s="1073"/>
      <c r="J69" s="1073"/>
      <c r="K69" s="1073"/>
      <c r="L69" s="1073"/>
      <c r="M69" s="1073"/>
      <c r="N69" s="1073"/>
      <c r="O69" s="1073"/>
      <c r="P69" s="1073"/>
      <c r="Q69" s="1073"/>
      <c r="R69" s="1073"/>
      <c r="S69" s="1073"/>
      <c r="T69" s="1073"/>
      <c r="U69" s="1073"/>
      <c r="V69" s="1073"/>
      <c r="W69" s="1073"/>
      <c r="X69" s="1073"/>
      <c r="Y69" s="1073"/>
      <c r="Z69" s="1074"/>
      <c r="AA69" s="1083" t="str">
        <f>【様式５】職員数算出表!O37</f>
        <v>-</v>
      </c>
      <c r="AB69" s="1084"/>
      <c r="AC69" s="1084"/>
      <c r="AD69" s="1085"/>
      <c r="AE69" s="617"/>
      <c r="AF69" s="617"/>
      <c r="AG69" s="617"/>
      <c r="AH69" s="77"/>
      <c r="AI69" s="149" t="b">
        <f>AA69="○"</f>
        <v>0</v>
      </c>
    </row>
    <row r="70" spans="1:38" ht="15" customHeight="1">
      <c r="A70" s="1109" t="s">
        <v>315</v>
      </c>
      <c r="B70" s="1110"/>
      <c r="C70" s="1115" t="s">
        <v>135</v>
      </c>
      <c r="D70" s="1116"/>
      <c r="E70" s="1116"/>
      <c r="F70" s="1116"/>
      <c r="G70" s="1116"/>
      <c r="H70" s="1116"/>
      <c r="I70" s="1117" t="s">
        <v>136</v>
      </c>
      <c r="J70" s="1117"/>
      <c r="K70" s="1117"/>
      <c r="L70" s="1117"/>
      <c r="M70" s="1117"/>
      <c r="N70" s="1117"/>
      <c r="O70" s="1117" t="s">
        <v>137</v>
      </c>
      <c r="P70" s="1117"/>
      <c r="Q70" s="1117"/>
      <c r="R70" s="1117"/>
      <c r="S70" s="1117"/>
      <c r="T70" s="1117"/>
      <c r="U70" s="1117" t="s">
        <v>138</v>
      </c>
      <c r="V70" s="1117"/>
      <c r="W70" s="1117"/>
      <c r="X70" s="1117"/>
      <c r="Y70" s="1117"/>
      <c r="Z70" s="1118"/>
      <c r="AA70" s="1099" t="s">
        <v>139</v>
      </c>
      <c r="AB70" s="1099"/>
      <c r="AC70" s="1099"/>
      <c r="AD70" s="1099"/>
      <c r="AE70" s="1095" t="s">
        <v>411</v>
      </c>
      <c r="AF70" s="1095"/>
      <c r="AG70" s="1095"/>
      <c r="AI70" s="74" t="s">
        <v>415</v>
      </c>
      <c r="AJ70" s="149" t="s">
        <v>412</v>
      </c>
      <c r="AK70" s="149" t="s">
        <v>413</v>
      </c>
      <c r="AL70" s="149" t="s">
        <v>414</v>
      </c>
    </row>
    <row r="71" spans="1:38" ht="15" customHeight="1">
      <c r="A71" s="1111"/>
      <c r="B71" s="1112"/>
      <c r="C71" s="1077"/>
      <c r="D71" s="1078"/>
      <c r="E71" s="1078"/>
      <c r="F71" s="1078"/>
      <c r="G71" s="1078"/>
      <c r="H71" s="1078"/>
      <c r="I71" s="1075"/>
      <c r="J71" s="1075"/>
      <c r="K71" s="1075"/>
      <c r="L71" s="1075"/>
      <c r="M71" s="1075"/>
      <c r="N71" s="1075"/>
      <c r="O71" s="1075"/>
      <c r="P71" s="1075"/>
      <c r="Q71" s="1075"/>
      <c r="R71" s="1075"/>
      <c r="S71" s="1075"/>
      <c r="T71" s="1075"/>
      <c r="U71" s="1075"/>
      <c r="V71" s="1075"/>
      <c r="W71" s="1075"/>
      <c r="X71" s="1075"/>
      <c r="Y71" s="1075"/>
      <c r="Z71" s="1076"/>
      <c r="AA71" s="1051"/>
      <c r="AB71" s="1052"/>
      <c r="AC71" s="1052"/>
      <c r="AD71" s="1053"/>
      <c r="AE71" s="1059" t="str">
        <f>IF(COUNTA(C71:AD71)=0,"",IF(AND(AI71,AJ71,AK71,AL71),"○","入力誤り"))</f>
        <v/>
      </c>
      <c r="AF71" s="1059"/>
      <c r="AG71" s="1059"/>
      <c r="AI71" s="74" t="b">
        <f>AND(I71&lt;&gt;"",I71&lt;&gt;0)</f>
        <v>0</v>
      </c>
      <c r="AJ71" s="74" t="b">
        <f>AND(O71&gt;=I71,O71&lt;=DATE(IF(AND(AA71&gt;=4,AA71&lt;=12),$AJ$2,$AJ$2+1),AA71,1))</f>
        <v>1</v>
      </c>
      <c r="AK71" s="74" t="b">
        <f>AND(U71&gt;=I71,U71&lt;=DATE(IF(AND(AA71&gt;=4,AA71&lt;=12),$AJ$2,$AJ$2+1),AA71,1))</f>
        <v>1</v>
      </c>
      <c r="AL71" s="149" t="b">
        <f>AND(AA71&lt;&gt;"",AA71&lt;&gt;0,VLOOKUP(AA71,$AK$3:$AL$15,2,FALSE)&lt;=$AI$19)</f>
        <v>0</v>
      </c>
    </row>
    <row r="72" spans="1:38" ht="15" customHeight="1">
      <c r="A72" s="1111"/>
      <c r="B72" s="1112"/>
      <c r="C72" s="1077"/>
      <c r="D72" s="1078"/>
      <c r="E72" s="1078"/>
      <c r="F72" s="1078"/>
      <c r="G72" s="1078"/>
      <c r="H72" s="1078"/>
      <c r="I72" s="1075"/>
      <c r="J72" s="1075"/>
      <c r="K72" s="1075"/>
      <c r="L72" s="1075"/>
      <c r="M72" s="1075"/>
      <c r="N72" s="1075"/>
      <c r="O72" s="1075"/>
      <c r="P72" s="1075"/>
      <c r="Q72" s="1075"/>
      <c r="R72" s="1075"/>
      <c r="S72" s="1075"/>
      <c r="T72" s="1075"/>
      <c r="U72" s="1075"/>
      <c r="V72" s="1075"/>
      <c r="W72" s="1075"/>
      <c r="X72" s="1075"/>
      <c r="Y72" s="1075"/>
      <c r="Z72" s="1076"/>
      <c r="AA72" s="1051"/>
      <c r="AB72" s="1052"/>
      <c r="AC72" s="1052"/>
      <c r="AD72" s="1053"/>
      <c r="AE72" s="1059" t="str">
        <f t="shared" ref="AE72:AE75" si="3">IF(COUNTA(C72:AD72)=0,"",IF(AND(AI72,AJ72,AK72,AL72),"○","入力誤り"))</f>
        <v/>
      </c>
      <c r="AF72" s="1059"/>
      <c r="AG72" s="1059"/>
      <c r="AI72" s="74" t="b">
        <f t="shared" ref="AI72:AI75" si="4">AND(I72&lt;&gt;"",I72&lt;&gt;0)</f>
        <v>0</v>
      </c>
      <c r="AJ72" s="74" t="b">
        <f t="shared" ref="AJ72:AJ75" si="5">AND(O72&gt;=I72,O72&lt;=DATE(IF(AND(AA72&gt;=4,AA72&lt;=12),$AJ$2,$AJ$2+1),AA72,1))</f>
        <v>1</v>
      </c>
      <c r="AK72" s="74" t="b">
        <f t="shared" ref="AK72:AK75" si="6">AND(U72&gt;=I72,U72&lt;=DATE(IF(AND(AA72&gt;=4,AA72&lt;=12),$AJ$2,$AJ$2+1),AA72,1))</f>
        <v>1</v>
      </c>
      <c r="AL72" s="149" t="b">
        <f>AND(AA72&lt;&gt;"",AA72&lt;&gt;0,VLOOKUP(AA72,$AK$3:$AL$15,2,FALSE)&lt;=$AI$19)</f>
        <v>0</v>
      </c>
    </row>
    <row r="73" spans="1:38" ht="15" customHeight="1">
      <c r="A73" s="1111"/>
      <c r="B73" s="1112"/>
      <c r="C73" s="1077"/>
      <c r="D73" s="1078"/>
      <c r="E73" s="1078"/>
      <c r="F73" s="1078"/>
      <c r="G73" s="1078"/>
      <c r="H73" s="1078"/>
      <c r="I73" s="1075"/>
      <c r="J73" s="1075"/>
      <c r="K73" s="1075"/>
      <c r="L73" s="1075"/>
      <c r="M73" s="1075"/>
      <c r="N73" s="1075"/>
      <c r="O73" s="1075"/>
      <c r="P73" s="1075"/>
      <c r="Q73" s="1075"/>
      <c r="R73" s="1075"/>
      <c r="S73" s="1075"/>
      <c r="T73" s="1075"/>
      <c r="U73" s="1075"/>
      <c r="V73" s="1075"/>
      <c r="W73" s="1075"/>
      <c r="X73" s="1075"/>
      <c r="Y73" s="1075"/>
      <c r="Z73" s="1076"/>
      <c r="AA73" s="1051"/>
      <c r="AB73" s="1052"/>
      <c r="AC73" s="1052"/>
      <c r="AD73" s="1053"/>
      <c r="AE73" s="1059" t="str">
        <f t="shared" si="3"/>
        <v/>
      </c>
      <c r="AF73" s="1059"/>
      <c r="AG73" s="1059"/>
      <c r="AI73" s="74" t="b">
        <f t="shared" si="4"/>
        <v>0</v>
      </c>
      <c r="AJ73" s="74" t="b">
        <f t="shared" si="5"/>
        <v>1</v>
      </c>
      <c r="AK73" s="74" t="b">
        <f t="shared" si="6"/>
        <v>1</v>
      </c>
      <c r="AL73" s="149" t="b">
        <f>AND(AA73&lt;&gt;"",AA73&lt;&gt;0,VLOOKUP(AA73,$AK$3:$AL$15,2,FALSE)&lt;=$AI$19)</f>
        <v>0</v>
      </c>
    </row>
    <row r="74" spans="1:38" ht="15" customHeight="1">
      <c r="A74" s="1111"/>
      <c r="B74" s="1112"/>
      <c r="C74" s="1077"/>
      <c r="D74" s="1078"/>
      <c r="E74" s="1078"/>
      <c r="F74" s="1078"/>
      <c r="G74" s="1078"/>
      <c r="H74" s="1078"/>
      <c r="I74" s="1075"/>
      <c r="J74" s="1075"/>
      <c r="K74" s="1075"/>
      <c r="L74" s="1075"/>
      <c r="M74" s="1075"/>
      <c r="N74" s="1075"/>
      <c r="O74" s="1075"/>
      <c r="P74" s="1075"/>
      <c r="Q74" s="1075"/>
      <c r="R74" s="1075"/>
      <c r="S74" s="1075"/>
      <c r="T74" s="1075"/>
      <c r="U74" s="1075"/>
      <c r="V74" s="1075"/>
      <c r="W74" s="1075"/>
      <c r="X74" s="1075"/>
      <c r="Y74" s="1075"/>
      <c r="Z74" s="1076"/>
      <c r="AA74" s="1051"/>
      <c r="AB74" s="1052"/>
      <c r="AC74" s="1052"/>
      <c r="AD74" s="1053"/>
      <c r="AE74" s="1059" t="str">
        <f t="shared" si="3"/>
        <v/>
      </c>
      <c r="AF74" s="1059"/>
      <c r="AG74" s="1059"/>
      <c r="AI74" s="74" t="b">
        <f t="shared" si="4"/>
        <v>0</v>
      </c>
      <c r="AJ74" s="74" t="b">
        <f t="shared" si="5"/>
        <v>1</v>
      </c>
      <c r="AK74" s="74" t="b">
        <f t="shared" si="6"/>
        <v>1</v>
      </c>
      <c r="AL74" s="149" t="b">
        <f>AND(AA74&lt;&gt;"",AA74&lt;&gt;0,VLOOKUP(AA74,$AK$3:$AL$15,2,FALSE)&lt;=$AI$19)</f>
        <v>0</v>
      </c>
    </row>
    <row r="75" spans="1:38" ht="15" customHeight="1">
      <c r="A75" s="1113"/>
      <c r="B75" s="1114"/>
      <c r="C75" s="1077"/>
      <c r="D75" s="1078"/>
      <c r="E75" s="1078"/>
      <c r="F75" s="1078"/>
      <c r="G75" s="1078"/>
      <c r="H75" s="1078"/>
      <c r="I75" s="1075"/>
      <c r="J75" s="1075"/>
      <c r="K75" s="1075"/>
      <c r="L75" s="1075"/>
      <c r="M75" s="1075"/>
      <c r="N75" s="1075"/>
      <c r="O75" s="1075"/>
      <c r="P75" s="1075"/>
      <c r="Q75" s="1075"/>
      <c r="R75" s="1075"/>
      <c r="S75" s="1075"/>
      <c r="T75" s="1075"/>
      <c r="U75" s="1075"/>
      <c r="V75" s="1075"/>
      <c r="W75" s="1075"/>
      <c r="X75" s="1075"/>
      <c r="Y75" s="1075"/>
      <c r="Z75" s="1076"/>
      <c r="AA75" s="1051"/>
      <c r="AB75" s="1052"/>
      <c r="AC75" s="1052"/>
      <c r="AD75" s="1053"/>
      <c r="AE75" s="1059" t="str">
        <f t="shared" si="3"/>
        <v/>
      </c>
      <c r="AF75" s="1059"/>
      <c r="AG75" s="1059"/>
      <c r="AI75" s="74" t="b">
        <f t="shared" si="4"/>
        <v>0</v>
      </c>
      <c r="AJ75" s="74" t="b">
        <f t="shared" si="5"/>
        <v>1</v>
      </c>
      <c r="AK75" s="74" t="b">
        <f t="shared" si="6"/>
        <v>1</v>
      </c>
      <c r="AL75" s="149" t="b">
        <f>AND(AA75&lt;&gt;"",AA75&lt;&gt;0,VLOOKUP(AA75,$AK$3:$AL$15,2,FALSE)&lt;=$AI$19)</f>
        <v>0</v>
      </c>
    </row>
    <row r="76" spans="1:38" ht="39.950000000000003" customHeight="1">
      <c r="A76" s="1060" t="s">
        <v>35</v>
      </c>
      <c r="B76" s="1061"/>
      <c r="C76" s="1061"/>
      <c r="D76" s="1061"/>
      <c r="E76" s="1079"/>
      <c r="F76" s="1081" t="s">
        <v>798</v>
      </c>
      <c r="G76" s="1081"/>
      <c r="H76" s="1081"/>
      <c r="I76" s="1081"/>
      <c r="J76" s="1081"/>
      <c r="K76" s="1081"/>
      <c r="L76" s="1081"/>
      <c r="M76" s="1081"/>
      <c r="N76" s="1081"/>
      <c r="O76" s="1081"/>
      <c r="P76" s="1081"/>
      <c r="Q76" s="1081"/>
      <c r="R76" s="1081"/>
      <c r="S76" s="1081"/>
      <c r="T76" s="1081"/>
      <c r="U76" s="1081"/>
      <c r="V76" s="1081"/>
      <c r="W76" s="1081"/>
      <c r="X76" s="1081"/>
      <c r="Y76" s="1081"/>
      <c r="Z76" s="1081"/>
      <c r="AA76" s="1081"/>
      <c r="AB76" s="1081"/>
      <c r="AC76" s="1081"/>
      <c r="AD76" s="1081"/>
      <c r="AE76" s="1225" t="str">
        <f>IF(AI76=0,"",IF(AI76=SUM(【様式５】職員数算出表!N10:N11),AI76&amp;"人","様式5と不一致"))</f>
        <v/>
      </c>
      <c r="AF76" s="1226"/>
      <c r="AG76" s="1227"/>
      <c r="AI76" s="149">
        <f>COUNTIF(AE71:AG75,"○")</f>
        <v>0</v>
      </c>
    </row>
    <row r="77" spans="1:38" ht="15" customHeight="1">
      <c r="A77" s="1062"/>
      <c r="B77" s="1063"/>
      <c r="C77" s="1063"/>
      <c r="D77" s="1063"/>
      <c r="E77" s="1080"/>
      <c r="F77" s="1082" t="s">
        <v>440</v>
      </c>
      <c r="G77" s="1082"/>
      <c r="H77" s="1082"/>
      <c r="I77" s="1082"/>
      <c r="J77" s="1082"/>
      <c r="K77" s="1082"/>
      <c r="L77" s="1082"/>
      <c r="M77" s="1082"/>
      <c r="N77" s="1082"/>
      <c r="O77" s="1082"/>
      <c r="P77" s="1082"/>
      <c r="Q77" s="1082"/>
      <c r="R77" s="1082"/>
      <c r="S77" s="1082"/>
      <c r="T77" s="1082"/>
      <c r="U77" s="1082"/>
      <c r="V77" s="1082"/>
      <c r="W77" s="1082"/>
      <c r="X77" s="1082"/>
      <c r="Y77" s="1082"/>
      <c r="Z77" s="1082"/>
      <c r="AA77" s="1082"/>
      <c r="AB77" s="1082"/>
      <c r="AC77" s="1082"/>
      <c r="AD77" s="1082"/>
      <c r="AE77" s="1228"/>
      <c r="AF77" s="1229"/>
      <c r="AG77" s="1230"/>
    </row>
    <row r="78" spans="1:38" ht="15" customHeight="1" thickBot="1">
      <c r="A78" s="617"/>
      <c r="B78" s="617"/>
      <c r="C78" s="617"/>
      <c r="D78" s="617"/>
      <c r="E78" s="617"/>
      <c r="F78" s="617"/>
      <c r="G78" s="617"/>
      <c r="H78" s="617"/>
      <c r="I78" s="617"/>
      <c r="J78" s="617"/>
      <c r="K78" s="617"/>
      <c r="L78" s="617"/>
      <c r="M78" s="617"/>
      <c r="N78" s="617"/>
      <c r="O78" s="617"/>
      <c r="P78" s="617"/>
      <c r="Q78" s="617"/>
      <c r="R78" s="617"/>
      <c r="S78" s="617"/>
      <c r="T78" s="617"/>
      <c r="U78" s="617"/>
      <c r="V78" s="617"/>
      <c r="W78" s="617"/>
      <c r="X78" s="617"/>
      <c r="Y78" s="617"/>
      <c r="Z78" s="617"/>
      <c r="AA78" s="617"/>
      <c r="AB78" s="617"/>
      <c r="AC78" s="617"/>
      <c r="AD78" s="617"/>
      <c r="AE78" s="617"/>
      <c r="AF78" s="617"/>
      <c r="AG78" s="617"/>
      <c r="AH78" s="77"/>
      <c r="AI78" s="77"/>
    </row>
    <row r="79" spans="1:38" ht="15" customHeight="1" thickBot="1">
      <c r="A79" s="1044" t="s">
        <v>416</v>
      </c>
      <c r="B79" s="1044"/>
      <c r="C79" s="1044"/>
      <c r="D79" s="1044"/>
      <c r="E79" s="1044"/>
      <c r="F79" s="1044"/>
      <c r="G79" s="1044"/>
      <c r="H79" s="1044"/>
      <c r="I79" s="1044"/>
      <c r="J79" s="1199" t="str">
        <f>IFERROR(IF(AND(AI81,AI83,AI87,AI89),TEXT(AD92,"#,##0#")&amp;"人","×"),"エラー")</f>
        <v>エラー</v>
      </c>
      <c r="K79" s="1200"/>
      <c r="L79" s="1200"/>
      <c r="M79" s="1200"/>
      <c r="N79" s="1201"/>
      <c r="O79" s="1096" t="s">
        <v>279</v>
      </c>
      <c r="P79" s="1097"/>
      <c r="Q79" s="1097"/>
      <c r="R79" s="341"/>
      <c r="S79" s="341"/>
      <c r="T79" s="341"/>
      <c r="U79" s="341"/>
      <c r="V79" s="341"/>
      <c r="W79" s="341"/>
      <c r="X79" s="341"/>
      <c r="Y79" s="341"/>
      <c r="Z79" s="341"/>
      <c r="AA79" s="341"/>
      <c r="AB79" s="341"/>
      <c r="AC79" s="341"/>
      <c r="AD79" s="341"/>
      <c r="AE79" s="341"/>
      <c r="AF79" s="341"/>
      <c r="AG79" s="341"/>
      <c r="AH79" s="77"/>
    </row>
    <row r="80" spans="1:38" ht="15" customHeight="1">
      <c r="A80" s="678" t="s">
        <v>432</v>
      </c>
      <c r="B80" s="679"/>
      <c r="C80" s="680"/>
      <c r="D80" s="680"/>
      <c r="E80" s="680"/>
      <c r="F80" s="680"/>
      <c r="G80" s="680"/>
      <c r="H80" s="680"/>
      <c r="I80" s="680"/>
      <c r="J80" s="654"/>
      <c r="K80" s="654"/>
      <c r="L80" s="654"/>
      <c r="M80" s="654"/>
      <c r="N80" s="654"/>
      <c r="O80" s="761"/>
      <c r="P80" s="761"/>
      <c r="Q80" s="761"/>
      <c r="R80" s="341"/>
      <c r="S80" s="341"/>
      <c r="T80" s="341"/>
      <c r="U80" s="341"/>
      <c r="V80" s="761"/>
      <c r="W80" s="761"/>
      <c r="X80" s="761"/>
      <c r="Y80" s="761"/>
      <c r="Z80" s="761"/>
      <c r="AA80" s="761"/>
      <c r="AB80" s="761"/>
      <c r="AC80" s="761"/>
      <c r="AD80" s="761"/>
      <c r="AE80" s="341"/>
      <c r="AF80" s="341"/>
      <c r="AG80" s="341"/>
      <c r="AH80" s="77"/>
    </row>
    <row r="81" spans="1:49" ht="15" customHeight="1">
      <c r="A81" s="1094" t="s">
        <v>96</v>
      </c>
      <c r="B81" s="1094"/>
      <c r="C81" s="1094"/>
      <c r="D81" s="1094"/>
      <c r="E81" s="1094"/>
      <c r="F81" s="1182"/>
      <c r="G81" s="1142"/>
      <c r="H81" s="1142"/>
      <c r="I81" s="1142"/>
      <c r="J81" s="1142"/>
      <c r="K81" s="1183"/>
      <c r="L81" s="341"/>
      <c r="M81" s="341"/>
      <c r="N81" s="341"/>
      <c r="O81" s="341"/>
      <c r="P81" s="341"/>
      <c r="Q81" s="341"/>
      <c r="R81" s="341"/>
      <c r="S81" s="341"/>
      <c r="T81" s="341"/>
      <c r="U81" s="341"/>
      <c r="V81" s="341"/>
      <c r="W81" s="341"/>
      <c r="X81" s="341"/>
      <c r="Y81" s="341"/>
      <c r="Z81" s="341"/>
      <c r="AA81" s="341"/>
      <c r="AB81" s="341"/>
      <c r="AC81" s="341"/>
      <c r="AD81" s="341"/>
      <c r="AE81" s="341"/>
      <c r="AF81" s="341"/>
      <c r="AG81" s="341"/>
      <c r="AI81" s="149" t="b">
        <f>F81="申請する"</f>
        <v>0</v>
      </c>
    </row>
    <row r="82" spans="1:49" ht="15" customHeight="1">
      <c r="A82" s="1086" t="s">
        <v>948</v>
      </c>
      <c r="B82" s="1087"/>
      <c r="C82" s="1087"/>
      <c r="D82" s="1087"/>
      <c r="E82" s="1087"/>
      <c r="F82" s="1065" t="s">
        <v>79</v>
      </c>
      <c r="G82" s="1065"/>
      <c r="H82" s="1065"/>
      <c r="I82" s="1065"/>
      <c r="J82" s="1065"/>
      <c r="K82" s="1065"/>
      <c r="L82" s="1065"/>
      <c r="M82" s="1065"/>
      <c r="N82" s="1065"/>
      <c r="O82" s="1065"/>
      <c r="P82" s="1065"/>
      <c r="Q82" s="1065"/>
      <c r="R82" s="1065"/>
      <c r="S82" s="1065"/>
      <c r="T82" s="1065"/>
      <c r="U82" s="1065"/>
      <c r="V82" s="1065"/>
      <c r="W82" s="1065"/>
      <c r="X82" s="1065"/>
      <c r="Y82" s="1065"/>
      <c r="Z82" s="1066"/>
      <c r="AA82" s="1064" t="s">
        <v>281</v>
      </c>
      <c r="AB82" s="1065"/>
      <c r="AC82" s="1065"/>
      <c r="AD82" s="1066"/>
      <c r="AE82" s="341"/>
      <c r="AF82" s="341"/>
      <c r="AG82" s="341"/>
      <c r="AI82" s="72"/>
    </row>
    <row r="83" spans="1:49" ht="24.95" customHeight="1">
      <c r="A83" s="1088"/>
      <c r="B83" s="1089"/>
      <c r="C83" s="1089"/>
      <c r="D83" s="1089"/>
      <c r="E83" s="1089"/>
      <c r="F83" s="758">
        <v>1</v>
      </c>
      <c r="G83" s="1090" t="s">
        <v>448</v>
      </c>
      <c r="H83" s="1090"/>
      <c r="I83" s="1090"/>
      <c r="J83" s="1090"/>
      <c r="K83" s="1090"/>
      <c r="L83" s="1090"/>
      <c r="M83" s="1090"/>
      <c r="N83" s="1090"/>
      <c r="O83" s="1090"/>
      <c r="P83" s="1090"/>
      <c r="Q83" s="1090"/>
      <c r="R83" s="1090"/>
      <c r="S83" s="1090"/>
      <c r="T83" s="1090"/>
      <c r="U83" s="1090"/>
      <c r="V83" s="1090"/>
      <c r="W83" s="1090"/>
      <c r="X83" s="1090"/>
      <c r="Y83" s="1090"/>
      <c r="Z83" s="1091"/>
      <c r="AA83" s="1251" t="str">
        <f>IF(OR(AI84,AND(AI85,AI86)),"○","×")</f>
        <v>×</v>
      </c>
      <c r="AB83" s="1252"/>
      <c r="AC83" s="1252"/>
      <c r="AD83" s="1253"/>
      <c r="AE83" s="341"/>
      <c r="AF83" s="341"/>
      <c r="AG83" s="341"/>
      <c r="AH83" s="77"/>
      <c r="AI83" s="149" t="b">
        <f>AA83="○"</f>
        <v>0</v>
      </c>
      <c r="AU83" s="1325"/>
      <c r="AV83" s="1325"/>
      <c r="AW83" s="1325"/>
    </row>
    <row r="84" spans="1:49" ht="15" customHeight="1">
      <c r="A84" s="1088"/>
      <c r="B84" s="1089"/>
      <c r="C84" s="1089"/>
      <c r="D84" s="1089"/>
      <c r="E84" s="1089"/>
      <c r="F84" s="1231" t="s">
        <v>445</v>
      </c>
      <c r="G84" s="1232"/>
      <c r="H84" s="1128" t="s">
        <v>317</v>
      </c>
      <c r="I84" s="1128"/>
      <c r="J84" s="1128"/>
      <c r="K84" s="1128"/>
      <c r="L84" s="1128"/>
      <c r="M84" s="1128"/>
      <c r="N84" s="1128"/>
      <c r="O84" s="1128"/>
      <c r="P84" s="1128"/>
      <c r="Q84" s="1128"/>
      <c r="R84" s="1128"/>
      <c r="S84" s="1128"/>
      <c r="T84" s="1128"/>
      <c r="U84" s="1128"/>
      <c r="V84" s="1128"/>
      <c r="W84" s="1128"/>
      <c r="X84" s="1128"/>
      <c r="Y84" s="1128"/>
      <c r="Z84" s="1287"/>
      <c r="AA84" s="1217"/>
      <c r="AB84" s="1218"/>
      <c r="AC84" s="1218"/>
      <c r="AD84" s="1219"/>
      <c r="AE84" s="341"/>
      <c r="AF84" s="341"/>
      <c r="AG84" s="341"/>
      <c r="AH84" s="77"/>
      <c r="AI84" s="149" t="b">
        <f>AA84="○"</f>
        <v>0</v>
      </c>
      <c r="AU84" s="779"/>
      <c r="AV84" s="779"/>
      <c r="AW84" s="779"/>
    </row>
    <row r="85" spans="1:49" ht="24.95" customHeight="1">
      <c r="A85" s="1088"/>
      <c r="B85" s="1089"/>
      <c r="C85" s="1089"/>
      <c r="D85" s="1089"/>
      <c r="E85" s="1089"/>
      <c r="F85" s="1251" t="s">
        <v>446</v>
      </c>
      <c r="G85" s="1252"/>
      <c r="H85" s="1196" t="s">
        <v>515</v>
      </c>
      <c r="I85" s="1196"/>
      <c r="J85" s="1196"/>
      <c r="K85" s="1196"/>
      <c r="L85" s="1196"/>
      <c r="M85" s="1196"/>
      <c r="N85" s="1196"/>
      <c r="O85" s="1196"/>
      <c r="P85" s="1196"/>
      <c r="Q85" s="1196"/>
      <c r="R85" s="1196"/>
      <c r="S85" s="1196"/>
      <c r="T85" s="1196"/>
      <c r="U85" s="1196"/>
      <c r="V85" s="1196"/>
      <c r="W85" s="1196"/>
      <c r="X85" s="1196"/>
      <c r="Y85" s="1196"/>
      <c r="Z85" s="1238"/>
      <c r="AA85" s="1217"/>
      <c r="AB85" s="1218"/>
      <c r="AC85" s="1218"/>
      <c r="AD85" s="1219"/>
      <c r="AE85" s="341"/>
      <c r="AF85" s="341"/>
      <c r="AG85" s="341"/>
      <c r="AH85" s="77"/>
      <c r="AI85" s="149" t="b">
        <f>AA85="○"</f>
        <v>0</v>
      </c>
      <c r="AU85" s="779"/>
      <c r="AV85" s="779"/>
      <c r="AW85" s="779"/>
    </row>
    <row r="86" spans="1:49" ht="15" customHeight="1">
      <c r="A86" s="1088"/>
      <c r="B86" s="1089"/>
      <c r="C86" s="1089"/>
      <c r="D86" s="1089"/>
      <c r="E86" s="1089"/>
      <c r="F86" s="1062"/>
      <c r="G86" s="1063"/>
      <c r="H86" s="1223" t="s">
        <v>447</v>
      </c>
      <c r="I86" s="1223"/>
      <c r="J86" s="1223"/>
      <c r="K86" s="1223"/>
      <c r="L86" s="1223"/>
      <c r="M86" s="1223"/>
      <c r="N86" s="1250"/>
      <c r="O86" s="1250"/>
      <c r="P86" s="1250"/>
      <c r="Q86" s="1250"/>
      <c r="R86" s="1250"/>
      <c r="S86" s="1250"/>
      <c r="T86" s="1250"/>
      <c r="U86" s="1250"/>
      <c r="V86" s="1250"/>
      <c r="W86" s="1250"/>
      <c r="X86" s="1250"/>
      <c r="Y86" s="1250"/>
      <c r="Z86" s="1268"/>
      <c r="AA86" s="1220"/>
      <c r="AB86" s="1221"/>
      <c r="AC86" s="1221"/>
      <c r="AD86" s="1222"/>
      <c r="AE86" s="341"/>
      <c r="AF86" s="341"/>
      <c r="AG86" s="341"/>
      <c r="AH86" s="77"/>
      <c r="AI86" s="780" t="b">
        <f>N86&lt;&gt;0</f>
        <v>0</v>
      </c>
      <c r="AU86" s="779"/>
      <c r="AV86" s="779"/>
      <c r="AW86" s="779"/>
    </row>
    <row r="87" spans="1:49" ht="15" customHeight="1">
      <c r="A87" s="1088"/>
      <c r="B87" s="1089"/>
      <c r="C87" s="1089"/>
      <c r="D87" s="1089"/>
      <c r="E87" s="1089"/>
      <c r="F87" s="1060">
        <v>2</v>
      </c>
      <c r="G87" s="1090" t="s">
        <v>949</v>
      </c>
      <c r="H87" s="1090"/>
      <c r="I87" s="1090"/>
      <c r="J87" s="1090"/>
      <c r="K87" s="1090"/>
      <c r="L87" s="1090"/>
      <c r="M87" s="1090"/>
      <c r="N87" s="1090"/>
      <c r="O87" s="1090"/>
      <c r="P87" s="1090"/>
      <c r="Q87" s="1090"/>
      <c r="R87" s="1090"/>
      <c r="S87" s="1090"/>
      <c r="T87" s="1090"/>
      <c r="U87" s="1090"/>
      <c r="V87" s="1090"/>
      <c r="W87" s="1090"/>
      <c r="X87" s="1090"/>
      <c r="Y87" s="1090"/>
      <c r="Z87" s="1091"/>
      <c r="AA87" s="1060" t="e">
        <f>'(別紙3)休日'!$AC$5</f>
        <v>#DIV/0!</v>
      </c>
      <c r="AB87" s="1061"/>
      <c r="AC87" s="1061"/>
      <c r="AD87" s="1079"/>
      <c r="AE87" s="341"/>
      <c r="AF87" s="341"/>
      <c r="AG87" s="341"/>
      <c r="AH87" s="77"/>
      <c r="AI87" s="1326" t="e">
        <f>AA87="○"</f>
        <v>#DIV/0!</v>
      </c>
      <c r="AU87" s="1328"/>
      <c r="AV87" s="1328"/>
      <c r="AW87" s="1328"/>
    </row>
    <row r="88" spans="1:49" ht="12" customHeight="1">
      <c r="A88" s="1088"/>
      <c r="B88" s="1089"/>
      <c r="C88" s="1089"/>
      <c r="D88" s="1089"/>
      <c r="E88" s="1089"/>
      <c r="F88" s="1062"/>
      <c r="G88" s="1092"/>
      <c r="H88" s="1092"/>
      <c r="I88" s="1092"/>
      <c r="J88" s="1092"/>
      <c r="K88" s="1092"/>
      <c r="L88" s="1092"/>
      <c r="M88" s="1092"/>
      <c r="N88" s="1092"/>
      <c r="O88" s="1092"/>
      <c r="P88" s="1092"/>
      <c r="Q88" s="1092"/>
      <c r="R88" s="1092"/>
      <c r="S88" s="1092"/>
      <c r="T88" s="1092"/>
      <c r="U88" s="1092"/>
      <c r="V88" s="1092"/>
      <c r="W88" s="1092"/>
      <c r="X88" s="1092"/>
      <c r="Y88" s="1092"/>
      <c r="Z88" s="1093"/>
      <c r="AA88" s="1062"/>
      <c r="AB88" s="1063"/>
      <c r="AC88" s="1063"/>
      <c r="AD88" s="1080"/>
      <c r="AE88" s="341"/>
      <c r="AF88" s="341"/>
      <c r="AG88" s="341"/>
      <c r="AH88" s="77"/>
      <c r="AI88" s="1327" t="b">
        <f t="shared" ref="AI88" si="7">AA88="○"</f>
        <v>0</v>
      </c>
      <c r="AU88" s="72"/>
      <c r="AV88" s="72"/>
      <c r="AW88" s="72"/>
    </row>
    <row r="89" spans="1:49" ht="15" customHeight="1">
      <c r="A89" s="1060" t="s">
        <v>318</v>
      </c>
      <c r="B89" s="1061"/>
      <c r="C89" s="1061"/>
      <c r="D89" s="1061"/>
      <c r="E89" s="1061"/>
      <c r="F89" s="1064" t="s">
        <v>530</v>
      </c>
      <c r="G89" s="1065"/>
      <c r="H89" s="1065"/>
      <c r="I89" s="1065"/>
      <c r="J89" s="1065"/>
      <c r="K89" s="1065"/>
      <c r="L89" s="1065"/>
      <c r="M89" s="1065"/>
      <c r="N89" s="1065"/>
      <c r="O89" s="1065"/>
      <c r="P89" s="1065"/>
      <c r="Q89" s="1065"/>
      <c r="R89" s="1065"/>
      <c r="S89" s="1065"/>
      <c r="T89" s="1065"/>
      <c r="U89" s="1065"/>
      <c r="V89" s="1065"/>
      <c r="W89" s="1065"/>
      <c r="X89" s="1065"/>
      <c r="Y89" s="1065"/>
      <c r="Z89" s="1065"/>
      <c r="AA89" s="1065"/>
      <c r="AB89" s="1065"/>
      <c r="AC89" s="1066"/>
      <c r="AD89" s="1182"/>
      <c r="AE89" s="1142"/>
      <c r="AF89" s="1142"/>
      <c r="AG89" s="1183"/>
      <c r="AH89" s="77"/>
      <c r="AI89" s="74" t="b">
        <f>OR(AND(AI90,AI92),AND(AI91,AI92,AI93))</f>
        <v>0</v>
      </c>
    </row>
    <row r="90" spans="1:49" ht="15" customHeight="1">
      <c r="A90" s="1062"/>
      <c r="B90" s="1063"/>
      <c r="C90" s="1063"/>
      <c r="D90" s="1063"/>
      <c r="E90" s="1063"/>
      <c r="F90" s="1067">
        <v>4</v>
      </c>
      <c r="G90" s="1068"/>
      <c r="H90" s="1069">
        <v>5</v>
      </c>
      <c r="I90" s="1070"/>
      <c r="J90" s="1069">
        <v>6</v>
      </c>
      <c r="K90" s="1070"/>
      <c r="L90" s="1069">
        <v>7</v>
      </c>
      <c r="M90" s="1070"/>
      <c r="N90" s="1069">
        <v>8</v>
      </c>
      <c r="O90" s="1070"/>
      <c r="P90" s="1069">
        <v>9</v>
      </c>
      <c r="Q90" s="1070"/>
      <c r="R90" s="1069">
        <v>10</v>
      </c>
      <c r="S90" s="1070"/>
      <c r="T90" s="1069">
        <v>11</v>
      </c>
      <c r="U90" s="1070"/>
      <c r="V90" s="1069">
        <v>12</v>
      </c>
      <c r="W90" s="1070"/>
      <c r="X90" s="1069">
        <v>1</v>
      </c>
      <c r="Y90" s="1070"/>
      <c r="Z90" s="1069">
        <v>2</v>
      </c>
      <c r="AA90" s="1070"/>
      <c r="AB90" s="1069">
        <v>3</v>
      </c>
      <c r="AC90" s="1071"/>
      <c r="AD90" s="1059" t="s">
        <v>1</v>
      </c>
      <c r="AE90" s="1059"/>
      <c r="AF90" s="1059"/>
      <c r="AG90" s="1059"/>
      <c r="AH90" s="77"/>
      <c r="AI90" s="74" t="b">
        <f>AD90="○"</f>
        <v>0</v>
      </c>
    </row>
    <row r="91" spans="1:49" ht="39.950000000000003" customHeight="1">
      <c r="A91" s="1261" t="str">
        <f>IF(AD90="○","入力不要","前年度延べ利用子ども数※3、4、5（実績）")</f>
        <v>前年度延べ利用子ども数※3、4、5（実績）</v>
      </c>
      <c r="B91" s="1261"/>
      <c r="C91" s="1261"/>
      <c r="D91" s="1261"/>
      <c r="E91" s="1261"/>
      <c r="F91" s="1241"/>
      <c r="G91" s="1242"/>
      <c r="H91" s="1242"/>
      <c r="I91" s="1242"/>
      <c r="J91" s="1242"/>
      <c r="K91" s="1242"/>
      <c r="L91" s="1242"/>
      <c r="M91" s="1242"/>
      <c r="N91" s="1242"/>
      <c r="O91" s="1242"/>
      <c r="P91" s="1242"/>
      <c r="Q91" s="1242"/>
      <c r="R91" s="1242"/>
      <c r="S91" s="1242"/>
      <c r="T91" s="1242"/>
      <c r="U91" s="1242"/>
      <c r="V91" s="1242"/>
      <c r="W91" s="1242"/>
      <c r="X91" s="1242"/>
      <c r="Y91" s="1242"/>
      <c r="Z91" s="1242"/>
      <c r="AA91" s="1242"/>
      <c r="AB91" s="1242"/>
      <c r="AC91" s="1307"/>
      <c r="AD91" s="1216">
        <f>IF(AD90="○","",SUM(F91:AC91))</f>
        <v>0</v>
      </c>
      <c r="AE91" s="1216"/>
      <c r="AF91" s="1216"/>
      <c r="AG91" s="1216"/>
      <c r="AH91" s="77"/>
      <c r="AI91" s="74" t="b">
        <f>AD91&gt;0</f>
        <v>0</v>
      </c>
    </row>
    <row r="92" spans="1:49" ht="39.950000000000003" customHeight="1">
      <c r="A92" s="1239" t="s">
        <v>950</v>
      </c>
      <c r="B92" s="1239"/>
      <c r="C92" s="1239"/>
      <c r="D92" s="1239"/>
      <c r="E92" s="1239"/>
      <c r="F92" s="1308">
        <f>F91</f>
        <v>0</v>
      </c>
      <c r="G92" s="1309"/>
      <c r="H92" s="1214">
        <f t="shared" ref="H92" si="8">H91</f>
        <v>0</v>
      </c>
      <c r="I92" s="1215"/>
      <c r="J92" s="1214">
        <f t="shared" ref="J92" si="9">J91</f>
        <v>0</v>
      </c>
      <c r="K92" s="1215"/>
      <c r="L92" s="1214">
        <f t="shared" ref="L92" si="10">L91</f>
        <v>0</v>
      </c>
      <c r="M92" s="1215"/>
      <c r="N92" s="1214">
        <f t="shared" ref="N92" si="11">N91</f>
        <v>0</v>
      </c>
      <c r="O92" s="1215"/>
      <c r="P92" s="1214">
        <f t="shared" ref="P92" si="12">P91</f>
        <v>0</v>
      </c>
      <c r="Q92" s="1215"/>
      <c r="R92" s="1214">
        <f t="shared" ref="R92" si="13">R91</f>
        <v>0</v>
      </c>
      <c r="S92" s="1215"/>
      <c r="T92" s="1214">
        <f t="shared" ref="T92" si="14">T91</f>
        <v>0</v>
      </c>
      <c r="U92" s="1215"/>
      <c r="V92" s="1214">
        <f t="shared" ref="V92" si="15">V91</f>
        <v>0</v>
      </c>
      <c r="W92" s="1215"/>
      <c r="X92" s="1214">
        <f t="shared" ref="X92" si="16">X91</f>
        <v>0</v>
      </c>
      <c r="Y92" s="1215"/>
      <c r="Z92" s="1214">
        <f t="shared" ref="Z92" si="17">Z91</f>
        <v>0</v>
      </c>
      <c r="AA92" s="1215"/>
      <c r="AB92" s="1214">
        <f>AB91</f>
        <v>0</v>
      </c>
      <c r="AC92" s="1272"/>
      <c r="AD92" s="1273">
        <f>SUM(F92:AC92)</f>
        <v>0</v>
      </c>
      <c r="AE92" s="1273"/>
      <c r="AF92" s="1273"/>
      <c r="AG92" s="1273"/>
      <c r="AH92" s="77"/>
      <c r="AI92" s="74" t="b">
        <f>AD92&gt;0</f>
        <v>0</v>
      </c>
    </row>
    <row r="93" spans="1:49" ht="39.950000000000003" customHeight="1">
      <c r="A93" s="1271" t="s">
        <v>951</v>
      </c>
      <c r="B93" s="1271"/>
      <c r="C93" s="1271"/>
      <c r="D93" s="1271"/>
      <c r="E93" s="1271"/>
      <c r="F93" s="1274"/>
      <c r="G93" s="1275"/>
      <c r="H93" s="1275"/>
      <c r="I93" s="1275"/>
      <c r="J93" s="1275"/>
      <c r="K93" s="1275"/>
      <c r="L93" s="1275"/>
      <c r="M93" s="1275"/>
      <c r="N93" s="1275"/>
      <c r="O93" s="1275"/>
      <c r="P93" s="1275"/>
      <c r="Q93" s="1275"/>
      <c r="R93" s="1275"/>
      <c r="S93" s="1275"/>
      <c r="T93" s="1275"/>
      <c r="U93" s="1275"/>
      <c r="V93" s="1275"/>
      <c r="W93" s="1275"/>
      <c r="X93" s="1275"/>
      <c r="Y93" s="1275"/>
      <c r="Z93" s="1275"/>
      <c r="AA93" s="1275"/>
      <c r="AB93" s="1275"/>
      <c r="AC93" s="1276"/>
      <c r="AD93" s="1277"/>
      <c r="AE93" s="1277"/>
      <c r="AF93" s="1277"/>
      <c r="AG93" s="1277"/>
      <c r="AH93" s="77"/>
      <c r="AI93" s="74" t="b">
        <f>OR(AND(IFERROR(ROUND((AD92/AD91-1)*100,0),0)&gt;=10,F93&lt;&gt;0),IFERROR(ROUND((AD92/AD91-1)*100,0),0)&lt;10)</f>
        <v>1</v>
      </c>
    </row>
    <row r="94" spans="1:49" ht="15" customHeight="1">
      <c r="A94" s="1060" t="s">
        <v>35</v>
      </c>
      <c r="B94" s="1061"/>
      <c r="C94" s="1061"/>
      <c r="D94" s="1061"/>
      <c r="E94" s="1079"/>
      <c r="F94" s="1265" t="s">
        <v>952</v>
      </c>
      <c r="G94" s="1090"/>
      <c r="H94" s="1090"/>
      <c r="I94" s="1090"/>
      <c r="J94" s="1090"/>
      <c r="K94" s="1090"/>
      <c r="L94" s="1090"/>
      <c r="M94" s="1090"/>
      <c r="N94" s="1090"/>
      <c r="O94" s="1090"/>
      <c r="P94" s="1090"/>
      <c r="Q94" s="1090"/>
      <c r="R94" s="1090"/>
      <c r="S94" s="1090"/>
      <c r="T94" s="1090"/>
      <c r="U94" s="1090"/>
      <c r="V94" s="1090"/>
      <c r="W94" s="1090"/>
      <c r="X94" s="1090"/>
      <c r="Y94" s="1090"/>
      <c r="Z94" s="1090"/>
      <c r="AA94" s="1090"/>
      <c r="AB94" s="1090"/>
      <c r="AC94" s="1090"/>
      <c r="AD94" s="1090"/>
      <c r="AE94" s="1090"/>
      <c r="AF94" s="1090"/>
      <c r="AG94" s="1091"/>
      <c r="AH94" s="77"/>
    </row>
    <row r="95" spans="1:49" ht="15" customHeight="1">
      <c r="A95" s="1062"/>
      <c r="B95" s="1063"/>
      <c r="C95" s="1063"/>
      <c r="D95" s="1063"/>
      <c r="E95" s="1080"/>
      <c r="F95" s="1288" t="s">
        <v>492</v>
      </c>
      <c r="G95" s="1092"/>
      <c r="H95" s="1092"/>
      <c r="I95" s="1092"/>
      <c r="J95" s="1092"/>
      <c r="K95" s="1092"/>
      <c r="L95" s="1092"/>
      <c r="M95" s="1092"/>
      <c r="N95" s="1092"/>
      <c r="O95" s="1092"/>
      <c r="P95" s="1092"/>
      <c r="Q95" s="1092"/>
      <c r="R95" s="1092"/>
      <c r="S95" s="1092"/>
      <c r="T95" s="1092"/>
      <c r="U95" s="1092"/>
      <c r="V95" s="1092"/>
      <c r="W95" s="1092"/>
      <c r="X95" s="1092"/>
      <c r="Y95" s="1092"/>
      <c r="Z95" s="1092"/>
      <c r="AA95" s="1092"/>
      <c r="AB95" s="1092"/>
      <c r="AC95" s="1092"/>
      <c r="AD95" s="1092"/>
      <c r="AE95" s="1092"/>
      <c r="AF95" s="1092"/>
      <c r="AG95" s="1093"/>
      <c r="AH95" s="77"/>
    </row>
    <row r="96" spans="1:49" ht="39.950000000000003" customHeight="1">
      <c r="A96" s="1098" t="s">
        <v>493</v>
      </c>
      <c r="B96" s="1098"/>
      <c r="C96" s="1098"/>
      <c r="D96" s="1098"/>
      <c r="E96" s="1098"/>
      <c r="F96" s="1098"/>
      <c r="G96" s="1098"/>
      <c r="H96" s="1098"/>
      <c r="I96" s="1098"/>
      <c r="J96" s="1098"/>
      <c r="K96" s="1098"/>
      <c r="L96" s="1098"/>
      <c r="M96" s="1098"/>
      <c r="N96" s="1098"/>
      <c r="O96" s="1098"/>
      <c r="P96" s="1098"/>
      <c r="Q96" s="1098"/>
      <c r="R96" s="1098"/>
      <c r="S96" s="1098"/>
      <c r="T96" s="1098"/>
      <c r="U96" s="1098"/>
      <c r="V96" s="1098"/>
      <c r="W96" s="1098"/>
      <c r="X96" s="1098"/>
      <c r="Y96" s="1098"/>
      <c r="Z96" s="1098"/>
      <c r="AA96" s="1098"/>
      <c r="AB96" s="1098"/>
      <c r="AC96" s="1098"/>
      <c r="AD96" s="1098"/>
      <c r="AE96" s="1098"/>
      <c r="AF96" s="1098"/>
      <c r="AG96" s="1098"/>
      <c r="AH96" s="77"/>
    </row>
    <row r="97" spans="1:35">
      <c r="A97" s="1098" t="s">
        <v>809</v>
      </c>
      <c r="B97" s="1098"/>
      <c r="C97" s="1098"/>
      <c r="D97" s="1098"/>
      <c r="E97" s="1098"/>
      <c r="F97" s="1098"/>
      <c r="G97" s="1098"/>
      <c r="H97" s="1098"/>
      <c r="I97" s="1098"/>
      <c r="J97" s="1098"/>
      <c r="K97" s="1098"/>
      <c r="L97" s="1098"/>
      <c r="M97" s="1098"/>
      <c r="N97" s="1098"/>
      <c r="O97" s="1098"/>
      <c r="P97" s="1098"/>
      <c r="Q97" s="1098"/>
      <c r="R97" s="1098"/>
      <c r="S97" s="1098"/>
      <c r="T97" s="1098"/>
      <c r="U97" s="1098"/>
      <c r="V97" s="1098"/>
      <c r="W97" s="1098"/>
      <c r="X97" s="1098"/>
      <c r="Y97" s="1098"/>
      <c r="Z97" s="1098"/>
      <c r="AA97" s="1098"/>
      <c r="AB97" s="1098"/>
      <c r="AC97" s="1098"/>
      <c r="AD97" s="1098"/>
      <c r="AE97" s="1098"/>
      <c r="AF97" s="1098"/>
      <c r="AG97" s="1098"/>
      <c r="AH97" s="77"/>
    </row>
    <row r="98" spans="1:35" ht="15" customHeight="1">
      <c r="A98" s="1240" t="s">
        <v>810</v>
      </c>
      <c r="B98" s="1240"/>
      <c r="C98" s="1240"/>
      <c r="D98" s="1240"/>
      <c r="E98" s="1240"/>
      <c r="F98" s="1240"/>
      <c r="G98" s="1240"/>
      <c r="H98" s="1240"/>
      <c r="I98" s="1240"/>
      <c r="J98" s="1240"/>
      <c r="K98" s="1240"/>
      <c r="L98" s="1240"/>
      <c r="M98" s="1240"/>
      <c r="N98" s="1240"/>
      <c r="O98" s="1240"/>
      <c r="P98" s="1240"/>
      <c r="Q98" s="1240"/>
      <c r="R98" s="1240"/>
      <c r="S98" s="1240"/>
      <c r="T98" s="1240"/>
      <c r="U98" s="1240"/>
      <c r="V98" s="1240"/>
      <c r="W98" s="1240"/>
      <c r="X98" s="1240"/>
      <c r="Y98" s="1240"/>
      <c r="Z98" s="1240"/>
      <c r="AA98" s="1240"/>
      <c r="AB98" s="1240"/>
      <c r="AC98" s="1240"/>
      <c r="AD98" s="1240"/>
      <c r="AE98" s="1240"/>
      <c r="AF98" s="1240"/>
      <c r="AG98" s="1240"/>
      <c r="AH98" s="77"/>
    </row>
    <row r="99" spans="1:35" ht="24.95" customHeight="1">
      <c r="A99" s="1098" t="s">
        <v>811</v>
      </c>
      <c r="B99" s="1098"/>
      <c r="C99" s="1098"/>
      <c r="D99" s="1098"/>
      <c r="E99" s="1098"/>
      <c r="F99" s="1098"/>
      <c r="G99" s="1098"/>
      <c r="H99" s="1098"/>
      <c r="I99" s="1098"/>
      <c r="J99" s="1098"/>
      <c r="K99" s="1098"/>
      <c r="L99" s="1098"/>
      <c r="M99" s="1098"/>
      <c r="N99" s="1098"/>
      <c r="O99" s="1098"/>
      <c r="P99" s="1098"/>
      <c r="Q99" s="1098"/>
      <c r="R99" s="1098"/>
      <c r="S99" s="1098"/>
      <c r="T99" s="1098"/>
      <c r="U99" s="1098"/>
      <c r="V99" s="1098"/>
      <c r="W99" s="1098"/>
      <c r="X99" s="1098"/>
      <c r="Y99" s="1098"/>
      <c r="Z99" s="1098"/>
      <c r="AA99" s="1098"/>
      <c r="AB99" s="1098"/>
      <c r="AC99" s="1098"/>
      <c r="AD99" s="1098"/>
      <c r="AE99" s="1098"/>
      <c r="AF99" s="1098"/>
      <c r="AG99" s="1098"/>
      <c r="AH99" s="77"/>
    </row>
    <row r="100" spans="1:35" ht="15" customHeight="1">
      <c r="A100" s="1098" t="s">
        <v>812</v>
      </c>
      <c r="B100" s="1098"/>
      <c r="C100" s="1098"/>
      <c r="D100" s="1098"/>
      <c r="E100" s="1098"/>
      <c r="F100" s="1098"/>
      <c r="G100" s="1098"/>
      <c r="H100" s="1098"/>
      <c r="I100" s="1098"/>
      <c r="J100" s="1098"/>
      <c r="K100" s="1098"/>
      <c r="L100" s="1098"/>
      <c r="M100" s="1098"/>
      <c r="N100" s="1098"/>
      <c r="O100" s="1098"/>
      <c r="P100" s="1098"/>
      <c r="Q100" s="1098"/>
      <c r="R100" s="1098"/>
      <c r="S100" s="1098"/>
      <c r="T100" s="1098"/>
      <c r="U100" s="1098"/>
      <c r="V100" s="1098"/>
      <c r="W100" s="1098"/>
      <c r="X100" s="1098"/>
      <c r="Y100" s="1098"/>
      <c r="Z100" s="1098"/>
      <c r="AA100" s="1098"/>
      <c r="AB100" s="1098"/>
      <c r="AC100" s="1098"/>
      <c r="AD100" s="1098"/>
      <c r="AE100" s="1098"/>
      <c r="AF100" s="1098"/>
      <c r="AG100" s="1098"/>
      <c r="AH100" s="77"/>
    </row>
    <row r="101" spans="1:35" ht="27" customHeight="1" thickBot="1">
      <c r="A101" s="1098" t="s">
        <v>953</v>
      </c>
      <c r="B101" s="1098"/>
      <c r="C101" s="1098"/>
      <c r="D101" s="1098"/>
      <c r="E101" s="1098"/>
      <c r="F101" s="1098"/>
      <c r="G101" s="1098"/>
      <c r="H101" s="1098"/>
      <c r="I101" s="1098"/>
      <c r="J101" s="1098"/>
      <c r="K101" s="1098"/>
      <c r="L101" s="1098"/>
      <c r="M101" s="1098"/>
      <c r="N101" s="1098"/>
      <c r="O101" s="1098"/>
      <c r="P101" s="1098"/>
      <c r="Q101" s="1098"/>
      <c r="R101" s="1098"/>
      <c r="S101" s="1098"/>
      <c r="T101" s="1098"/>
      <c r="U101" s="1098"/>
      <c r="V101" s="1098"/>
      <c r="W101" s="1098"/>
      <c r="X101" s="1098"/>
      <c r="Y101" s="1098"/>
      <c r="Z101" s="1098"/>
      <c r="AA101" s="1098"/>
      <c r="AB101" s="1098"/>
      <c r="AC101" s="1098"/>
      <c r="AD101" s="1098"/>
      <c r="AE101" s="1098"/>
      <c r="AF101" s="1098"/>
      <c r="AG101" s="1098"/>
    </row>
    <row r="102" spans="1:35" ht="15" customHeight="1" thickBot="1">
      <c r="A102" s="1100" t="s">
        <v>417</v>
      </c>
      <c r="B102" s="1100"/>
      <c r="C102" s="1100"/>
      <c r="D102" s="1100"/>
      <c r="E102" s="1100"/>
      <c r="F102" s="1100"/>
      <c r="G102" s="1100"/>
      <c r="H102" s="1100"/>
      <c r="I102" s="1100"/>
      <c r="J102" s="1199" t="str">
        <f>IF(AND(AI103,AI105,AI106,OR(AI107,AI108),AI112),"○","×")</f>
        <v>×</v>
      </c>
      <c r="K102" s="1200"/>
      <c r="L102" s="1200"/>
      <c r="M102" s="1200"/>
      <c r="N102" s="1201"/>
      <c r="O102" s="1096" t="s">
        <v>279</v>
      </c>
      <c r="P102" s="1097"/>
      <c r="Q102" s="1097"/>
      <c r="R102" s="341"/>
      <c r="S102" s="341"/>
      <c r="T102" s="341"/>
      <c r="U102" s="341"/>
      <c r="V102" s="341"/>
      <c r="W102" s="341"/>
      <c r="X102" s="341"/>
      <c r="Y102" s="341"/>
      <c r="Z102" s="341"/>
      <c r="AA102" s="341"/>
      <c r="AB102" s="341"/>
      <c r="AC102" s="341"/>
      <c r="AD102" s="341"/>
      <c r="AE102" s="341"/>
      <c r="AF102" s="341"/>
      <c r="AG102" s="341"/>
      <c r="AH102" s="77"/>
    </row>
    <row r="103" spans="1:35" ht="15" customHeight="1">
      <c r="A103" s="1094" t="s">
        <v>96</v>
      </c>
      <c r="B103" s="1094"/>
      <c r="C103" s="1094"/>
      <c r="D103" s="1094"/>
      <c r="E103" s="1094"/>
      <c r="F103" s="1102"/>
      <c r="G103" s="1103"/>
      <c r="H103" s="1103"/>
      <c r="I103" s="1103"/>
      <c r="J103" s="1103"/>
      <c r="K103" s="1104"/>
      <c r="L103" s="341"/>
      <c r="M103" s="341"/>
      <c r="N103" s="341"/>
      <c r="O103" s="341"/>
      <c r="P103" s="341"/>
      <c r="Q103" s="341"/>
      <c r="R103" s="341"/>
      <c r="S103" s="341"/>
      <c r="T103" s="341"/>
      <c r="U103" s="341"/>
      <c r="V103" s="341"/>
      <c r="W103" s="341"/>
      <c r="X103" s="341"/>
      <c r="Y103" s="341"/>
      <c r="Z103" s="341"/>
      <c r="AA103" s="341"/>
      <c r="AB103" s="341"/>
      <c r="AC103" s="341"/>
      <c r="AD103" s="341"/>
      <c r="AE103" s="341"/>
      <c r="AF103" s="341"/>
      <c r="AG103" s="341"/>
      <c r="AI103" s="149" t="b">
        <f>F103="申請する"</f>
        <v>0</v>
      </c>
    </row>
    <row r="104" spans="1:35" ht="15" customHeight="1">
      <c r="A104" s="1086" t="s">
        <v>320</v>
      </c>
      <c r="B104" s="1087"/>
      <c r="C104" s="1087"/>
      <c r="D104" s="1087"/>
      <c r="E104" s="1087"/>
      <c r="F104" s="1065" t="s">
        <v>79</v>
      </c>
      <c r="G104" s="1065"/>
      <c r="H104" s="1065"/>
      <c r="I104" s="1065"/>
      <c r="J104" s="1065"/>
      <c r="K104" s="1065"/>
      <c r="L104" s="1065"/>
      <c r="M104" s="1065"/>
      <c r="N104" s="1065"/>
      <c r="O104" s="1065"/>
      <c r="P104" s="1065"/>
      <c r="Q104" s="1065"/>
      <c r="R104" s="1065"/>
      <c r="S104" s="1065"/>
      <c r="T104" s="1065"/>
      <c r="U104" s="1065"/>
      <c r="V104" s="1065"/>
      <c r="W104" s="1065"/>
      <c r="X104" s="1065"/>
      <c r="Y104" s="1065"/>
      <c r="Z104" s="1066"/>
      <c r="AA104" s="1064" t="s">
        <v>281</v>
      </c>
      <c r="AB104" s="1065"/>
      <c r="AC104" s="1065"/>
      <c r="AD104" s="1066"/>
      <c r="AE104" s="341"/>
      <c r="AF104" s="341"/>
      <c r="AG104" s="341"/>
      <c r="AH104" s="77"/>
    </row>
    <row r="105" spans="1:35" ht="39.950000000000003" customHeight="1">
      <c r="A105" s="1088"/>
      <c r="B105" s="1089"/>
      <c r="C105" s="1089"/>
      <c r="D105" s="1089"/>
      <c r="E105" s="1089"/>
      <c r="F105" s="763">
        <v>1</v>
      </c>
      <c r="G105" s="1090" t="s">
        <v>487</v>
      </c>
      <c r="H105" s="1090"/>
      <c r="I105" s="1090"/>
      <c r="J105" s="1090"/>
      <c r="K105" s="1090"/>
      <c r="L105" s="1090"/>
      <c r="M105" s="1090"/>
      <c r="N105" s="1090"/>
      <c r="O105" s="1090"/>
      <c r="P105" s="1090"/>
      <c r="Q105" s="1090"/>
      <c r="R105" s="1090"/>
      <c r="S105" s="1090"/>
      <c r="T105" s="1090"/>
      <c r="U105" s="1090"/>
      <c r="V105" s="1090"/>
      <c r="W105" s="1090"/>
      <c r="X105" s="1090"/>
      <c r="Y105" s="1090"/>
      <c r="Z105" s="1091"/>
      <c r="AA105" s="1102"/>
      <c r="AB105" s="1103"/>
      <c r="AC105" s="1103"/>
      <c r="AD105" s="1104"/>
      <c r="AE105" s="341"/>
      <c r="AF105" s="341"/>
      <c r="AG105" s="341"/>
      <c r="AH105" s="77"/>
      <c r="AI105" s="149" t="b">
        <f>AA105="○"</f>
        <v>0</v>
      </c>
    </row>
    <row r="106" spans="1:35" ht="24.95" customHeight="1">
      <c r="A106" s="1088"/>
      <c r="B106" s="1089"/>
      <c r="C106" s="1089"/>
      <c r="D106" s="1089"/>
      <c r="E106" s="1089"/>
      <c r="F106" s="763">
        <v>2</v>
      </c>
      <c r="G106" s="1090" t="s">
        <v>459</v>
      </c>
      <c r="H106" s="1090"/>
      <c r="I106" s="1090"/>
      <c r="J106" s="1090"/>
      <c r="K106" s="1090"/>
      <c r="L106" s="1090"/>
      <c r="M106" s="1090"/>
      <c r="N106" s="1090"/>
      <c r="O106" s="1090"/>
      <c r="P106" s="1090"/>
      <c r="Q106" s="1090"/>
      <c r="R106" s="1090"/>
      <c r="S106" s="1090"/>
      <c r="T106" s="1090"/>
      <c r="U106" s="1090"/>
      <c r="V106" s="1090"/>
      <c r="W106" s="1090"/>
      <c r="X106" s="1090"/>
      <c r="Y106" s="1090"/>
      <c r="Z106" s="1091"/>
      <c r="AA106" s="1102"/>
      <c r="AB106" s="1103"/>
      <c r="AC106" s="1103"/>
      <c r="AD106" s="1104"/>
      <c r="AE106" s="341"/>
      <c r="AF106" s="341"/>
      <c r="AG106" s="341"/>
      <c r="AH106" s="77"/>
      <c r="AI106" s="149" t="b">
        <f t="shared" ref="AI106:AI112" si="18">AA106="○"</f>
        <v>0</v>
      </c>
    </row>
    <row r="107" spans="1:35" ht="24.95" customHeight="1">
      <c r="A107" s="1088"/>
      <c r="B107" s="1089"/>
      <c r="C107" s="1089"/>
      <c r="D107" s="1089"/>
      <c r="E107" s="1089"/>
      <c r="F107" s="758">
        <v>3</v>
      </c>
      <c r="G107" s="1090" t="s">
        <v>458</v>
      </c>
      <c r="H107" s="1090"/>
      <c r="I107" s="1090"/>
      <c r="J107" s="1278"/>
      <c r="K107" s="1278"/>
      <c r="L107" s="1278"/>
      <c r="M107" s="1278"/>
      <c r="N107" s="1278"/>
      <c r="O107" s="1278"/>
      <c r="P107" s="1278"/>
      <c r="Q107" s="1278"/>
      <c r="R107" s="1278"/>
      <c r="S107" s="1278"/>
      <c r="T107" s="1278"/>
      <c r="U107" s="1278"/>
      <c r="V107" s="1278"/>
      <c r="W107" s="1278"/>
      <c r="X107" s="1278"/>
      <c r="Y107" s="1278"/>
      <c r="Z107" s="1279"/>
      <c r="AA107" s="1235"/>
      <c r="AB107" s="1236"/>
      <c r="AC107" s="1236"/>
      <c r="AD107" s="1237"/>
      <c r="AE107" s="341"/>
      <c r="AF107" s="341"/>
      <c r="AG107" s="341"/>
      <c r="AH107" s="77"/>
      <c r="AI107" s="149" t="b">
        <f t="shared" si="18"/>
        <v>0</v>
      </c>
    </row>
    <row r="108" spans="1:35" ht="24.95" customHeight="1">
      <c r="A108" s="1088"/>
      <c r="B108" s="1089"/>
      <c r="C108" s="1089"/>
      <c r="D108" s="1089"/>
      <c r="E108" s="1089"/>
      <c r="F108" s="1280" t="s">
        <v>116</v>
      </c>
      <c r="G108" s="1281"/>
      <c r="H108" s="1281"/>
      <c r="I108" s="1281"/>
      <c r="J108" s="1286" t="s">
        <v>321</v>
      </c>
      <c r="K108" s="1128"/>
      <c r="L108" s="1128"/>
      <c r="M108" s="1128"/>
      <c r="N108" s="1128"/>
      <c r="O108" s="1128"/>
      <c r="P108" s="1128"/>
      <c r="Q108" s="1128"/>
      <c r="R108" s="1128"/>
      <c r="S108" s="1128"/>
      <c r="T108" s="1128"/>
      <c r="U108" s="1128"/>
      <c r="V108" s="1128"/>
      <c r="W108" s="1128"/>
      <c r="X108" s="1128"/>
      <c r="Y108" s="1128"/>
      <c r="Z108" s="1287"/>
      <c r="AA108" s="1231" t="str">
        <f>IF(AA107="×",IF(AI109*AI110*AI111=1,"○","×"),"")</f>
        <v/>
      </c>
      <c r="AB108" s="1232"/>
      <c r="AC108" s="1232"/>
      <c r="AD108" s="1233"/>
      <c r="AE108" s="341"/>
      <c r="AF108" s="341"/>
      <c r="AG108" s="341"/>
      <c r="AH108" s="77"/>
      <c r="AI108" s="149" t="b">
        <f t="shared" si="18"/>
        <v>0</v>
      </c>
    </row>
    <row r="109" spans="1:35" ht="24.95" customHeight="1">
      <c r="A109" s="1088"/>
      <c r="B109" s="1089"/>
      <c r="C109" s="1089"/>
      <c r="D109" s="1089"/>
      <c r="E109" s="1089"/>
      <c r="F109" s="1282"/>
      <c r="G109" s="1283"/>
      <c r="H109" s="1283"/>
      <c r="I109" s="1283"/>
      <c r="J109" s="645" t="s">
        <v>117</v>
      </c>
      <c r="K109" s="1098" t="s">
        <v>322</v>
      </c>
      <c r="L109" s="1098"/>
      <c r="M109" s="1098"/>
      <c r="N109" s="1098"/>
      <c r="O109" s="1098"/>
      <c r="P109" s="1098"/>
      <c r="Q109" s="1098"/>
      <c r="R109" s="1098"/>
      <c r="S109" s="1098"/>
      <c r="T109" s="1098"/>
      <c r="U109" s="1098"/>
      <c r="V109" s="1098"/>
      <c r="W109" s="1098"/>
      <c r="X109" s="1098"/>
      <c r="Y109" s="1098"/>
      <c r="Z109" s="1234"/>
      <c r="AA109" s="1235"/>
      <c r="AB109" s="1236"/>
      <c r="AC109" s="1236"/>
      <c r="AD109" s="1237"/>
      <c r="AE109" s="341"/>
      <c r="AF109" s="341"/>
      <c r="AG109" s="341"/>
      <c r="AH109" s="77"/>
      <c r="AI109" s="149" t="b">
        <f t="shared" si="18"/>
        <v>0</v>
      </c>
    </row>
    <row r="110" spans="1:35" ht="24.95" customHeight="1">
      <c r="A110" s="1088"/>
      <c r="B110" s="1089"/>
      <c r="C110" s="1089"/>
      <c r="D110" s="1089"/>
      <c r="E110" s="1089"/>
      <c r="F110" s="1282"/>
      <c r="G110" s="1283"/>
      <c r="H110" s="1283"/>
      <c r="I110" s="1283"/>
      <c r="J110" s="646" t="s">
        <v>69</v>
      </c>
      <c r="K110" s="1196" t="s">
        <v>118</v>
      </c>
      <c r="L110" s="1196"/>
      <c r="M110" s="1196"/>
      <c r="N110" s="1196"/>
      <c r="O110" s="1196"/>
      <c r="P110" s="1196"/>
      <c r="Q110" s="1196"/>
      <c r="R110" s="1196"/>
      <c r="S110" s="1196"/>
      <c r="T110" s="1196"/>
      <c r="U110" s="1196"/>
      <c r="V110" s="1196"/>
      <c r="W110" s="1196"/>
      <c r="X110" s="1196"/>
      <c r="Y110" s="1196"/>
      <c r="Z110" s="1238"/>
      <c r="AA110" s="1204"/>
      <c r="AB110" s="1205"/>
      <c r="AC110" s="1205"/>
      <c r="AD110" s="1206"/>
      <c r="AE110" s="341"/>
      <c r="AF110" s="341"/>
      <c r="AG110" s="341"/>
      <c r="AH110" s="77"/>
      <c r="AI110" s="149" t="b">
        <f t="shared" si="18"/>
        <v>0</v>
      </c>
    </row>
    <row r="111" spans="1:35" ht="39.950000000000003" customHeight="1">
      <c r="A111" s="1088"/>
      <c r="B111" s="1089"/>
      <c r="C111" s="1089"/>
      <c r="D111" s="1089"/>
      <c r="E111" s="1089"/>
      <c r="F111" s="1284"/>
      <c r="G111" s="1285"/>
      <c r="H111" s="1285"/>
      <c r="I111" s="1285"/>
      <c r="J111" s="647" t="s">
        <v>70</v>
      </c>
      <c r="K111" s="1125" t="s">
        <v>450</v>
      </c>
      <c r="L111" s="1125"/>
      <c r="M111" s="1125"/>
      <c r="N111" s="1125"/>
      <c r="O111" s="1125"/>
      <c r="P111" s="1125"/>
      <c r="Q111" s="1125"/>
      <c r="R111" s="1125"/>
      <c r="S111" s="1125"/>
      <c r="T111" s="1125"/>
      <c r="U111" s="1125"/>
      <c r="V111" s="1125"/>
      <c r="W111" s="1125"/>
      <c r="X111" s="1125"/>
      <c r="Y111" s="1125"/>
      <c r="Z111" s="1207"/>
      <c r="AA111" s="1220"/>
      <c r="AB111" s="1221"/>
      <c r="AC111" s="1221"/>
      <c r="AD111" s="1222"/>
      <c r="AE111" s="341"/>
      <c r="AF111" s="341"/>
      <c r="AG111" s="341"/>
      <c r="AH111" s="77"/>
      <c r="AI111" s="149" t="b">
        <f t="shared" si="18"/>
        <v>0</v>
      </c>
    </row>
    <row r="112" spans="1:35" ht="24.95" customHeight="1">
      <c r="A112" s="1197"/>
      <c r="B112" s="1198"/>
      <c r="C112" s="1198"/>
      <c r="D112" s="1198"/>
      <c r="E112" s="1198"/>
      <c r="F112" s="771">
        <v>4</v>
      </c>
      <c r="G112" s="1202" t="s">
        <v>323</v>
      </c>
      <c r="H112" s="1202"/>
      <c r="I112" s="1202"/>
      <c r="J112" s="1202"/>
      <c r="K112" s="1202"/>
      <c r="L112" s="1202"/>
      <c r="M112" s="1202"/>
      <c r="N112" s="1202"/>
      <c r="O112" s="1202"/>
      <c r="P112" s="1202"/>
      <c r="Q112" s="1202"/>
      <c r="R112" s="1202"/>
      <c r="S112" s="1202"/>
      <c r="T112" s="1202"/>
      <c r="U112" s="1202"/>
      <c r="V112" s="1202"/>
      <c r="W112" s="1202"/>
      <c r="X112" s="1202"/>
      <c r="Y112" s="1202"/>
      <c r="Z112" s="1203"/>
      <c r="AA112" s="1062" t="str">
        <f>IF(J116="○","×","○")</f>
        <v>○</v>
      </c>
      <c r="AB112" s="1063"/>
      <c r="AC112" s="1063"/>
      <c r="AD112" s="1080"/>
      <c r="AE112" s="341"/>
      <c r="AF112" s="341"/>
      <c r="AG112" s="341"/>
      <c r="AH112" s="77"/>
      <c r="AI112" s="149" t="b">
        <f t="shared" si="18"/>
        <v>1</v>
      </c>
    </row>
    <row r="113" spans="1:42" ht="15" customHeight="1">
      <c r="A113" s="1263" t="s">
        <v>35</v>
      </c>
      <c r="B113" s="1263"/>
      <c r="C113" s="1263"/>
      <c r="D113" s="1263"/>
      <c r="E113" s="1263"/>
      <c r="F113" s="1081" t="s">
        <v>799</v>
      </c>
      <c r="G113" s="1081"/>
      <c r="H113" s="1081"/>
      <c r="I113" s="1081"/>
      <c r="J113" s="1081"/>
      <c r="K113" s="1081"/>
      <c r="L113" s="1081"/>
      <c r="M113" s="1081"/>
      <c r="N113" s="1081"/>
      <c r="O113" s="1081"/>
      <c r="P113" s="1081"/>
      <c r="Q113" s="1081"/>
      <c r="R113" s="1081"/>
      <c r="S113" s="1081"/>
      <c r="T113" s="1081"/>
      <c r="U113" s="1081"/>
      <c r="V113" s="1081"/>
      <c r="W113" s="1081"/>
      <c r="X113" s="1081"/>
      <c r="Y113" s="1081"/>
      <c r="Z113" s="1081"/>
      <c r="AA113" s="1081"/>
      <c r="AB113" s="1081"/>
      <c r="AC113" s="1081"/>
      <c r="AD113" s="1081"/>
      <c r="AE113" s="341"/>
      <c r="AF113" s="341"/>
      <c r="AG113" s="341"/>
      <c r="AH113" s="77"/>
    </row>
    <row r="114" spans="1:42" ht="24.95" customHeight="1">
      <c r="A114" s="1138"/>
      <c r="B114" s="1138"/>
      <c r="C114" s="1138"/>
      <c r="D114" s="1138"/>
      <c r="E114" s="1138"/>
      <c r="F114" s="1082" t="s">
        <v>800</v>
      </c>
      <c r="G114" s="1082"/>
      <c r="H114" s="1082"/>
      <c r="I114" s="1082"/>
      <c r="J114" s="1082"/>
      <c r="K114" s="1082"/>
      <c r="L114" s="1082"/>
      <c r="M114" s="1082"/>
      <c r="N114" s="1082"/>
      <c r="O114" s="1082"/>
      <c r="P114" s="1082"/>
      <c r="Q114" s="1082"/>
      <c r="R114" s="1082"/>
      <c r="S114" s="1082"/>
      <c r="T114" s="1082"/>
      <c r="U114" s="1082"/>
      <c r="V114" s="1082"/>
      <c r="W114" s="1082"/>
      <c r="X114" s="1082"/>
      <c r="Y114" s="1082"/>
      <c r="Z114" s="1082"/>
      <c r="AA114" s="1082"/>
      <c r="AB114" s="1082"/>
      <c r="AC114" s="1082"/>
      <c r="AD114" s="1082"/>
      <c r="AE114" s="341"/>
      <c r="AF114" s="341"/>
      <c r="AG114" s="341"/>
      <c r="AH114" s="77"/>
    </row>
    <row r="115" spans="1:42" ht="15" customHeight="1" thickBot="1">
      <c r="A115" s="761"/>
      <c r="B115" s="761"/>
      <c r="C115" s="761"/>
      <c r="D115" s="761"/>
      <c r="E115" s="761"/>
      <c r="F115" s="762"/>
      <c r="G115" s="762"/>
      <c r="H115" s="762"/>
      <c r="I115" s="762"/>
      <c r="J115" s="762"/>
      <c r="K115" s="762"/>
      <c r="L115" s="762"/>
      <c r="M115" s="762"/>
      <c r="N115" s="762"/>
      <c r="O115" s="762"/>
      <c r="P115" s="762"/>
      <c r="Q115" s="762"/>
      <c r="R115" s="762"/>
      <c r="S115" s="762"/>
      <c r="T115" s="762"/>
      <c r="U115" s="762"/>
      <c r="V115" s="762"/>
      <c r="W115" s="762"/>
      <c r="X115" s="762"/>
      <c r="Y115" s="762"/>
      <c r="Z115" s="762"/>
      <c r="AA115" s="762"/>
      <c r="AB115" s="762"/>
      <c r="AC115" s="762"/>
      <c r="AD115" s="762"/>
      <c r="AE115" s="341"/>
      <c r="AF115" s="341"/>
      <c r="AG115" s="341"/>
    </row>
    <row r="116" spans="1:42" ht="15" customHeight="1" thickBot="1">
      <c r="A116" s="1100" t="s">
        <v>418</v>
      </c>
      <c r="B116" s="1100"/>
      <c r="C116" s="1100"/>
      <c r="D116" s="1100"/>
      <c r="E116" s="1100"/>
      <c r="F116" s="1100"/>
      <c r="G116" s="1100"/>
      <c r="H116" s="1100"/>
      <c r="I116" s="1100"/>
      <c r="J116" s="1247" t="str">
        <f>IF(AND(AI117,AI119,AI120,AI121),"○","×")</f>
        <v>×</v>
      </c>
      <c r="K116" s="1248"/>
      <c r="L116" s="1248"/>
      <c r="M116" s="1248"/>
      <c r="N116" s="1249"/>
      <c r="O116" s="1096" t="s">
        <v>279</v>
      </c>
      <c r="P116" s="1097"/>
      <c r="Q116" s="1097"/>
      <c r="R116" s="341"/>
      <c r="S116" s="341"/>
      <c r="T116" s="341"/>
      <c r="U116" s="341"/>
      <c r="V116" s="341"/>
      <c r="W116" s="341"/>
      <c r="X116" s="341"/>
      <c r="Y116" s="341"/>
      <c r="Z116" s="341"/>
      <c r="AA116" s="341"/>
      <c r="AB116" s="341"/>
      <c r="AC116" s="341"/>
      <c r="AD116" s="341"/>
      <c r="AE116" s="341"/>
      <c r="AF116" s="341"/>
      <c r="AG116" s="341"/>
      <c r="AH116" s="77"/>
    </row>
    <row r="117" spans="1:42" ht="15" customHeight="1">
      <c r="A117" s="1094" t="s">
        <v>96</v>
      </c>
      <c r="B117" s="1094"/>
      <c r="C117" s="1094"/>
      <c r="D117" s="1094"/>
      <c r="E117" s="1094"/>
      <c r="F117" s="1102"/>
      <c r="G117" s="1103"/>
      <c r="H117" s="1103"/>
      <c r="I117" s="1103"/>
      <c r="J117" s="1103"/>
      <c r="K117" s="1104"/>
      <c r="L117" s="341"/>
      <c r="M117" s="341"/>
      <c r="N117" s="341"/>
      <c r="O117" s="341"/>
      <c r="P117" s="341"/>
      <c r="Q117" s="341"/>
      <c r="R117" s="341"/>
      <c r="S117" s="341"/>
      <c r="T117" s="341"/>
      <c r="U117" s="341"/>
      <c r="V117" s="761"/>
      <c r="W117" s="761"/>
      <c r="X117" s="761"/>
      <c r="Y117" s="761"/>
      <c r="Z117" s="761"/>
      <c r="AA117" s="761"/>
      <c r="AB117" s="761"/>
      <c r="AC117" s="761"/>
      <c r="AD117" s="761"/>
      <c r="AE117" s="341"/>
      <c r="AF117" s="341"/>
      <c r="AG117" s="341"/>
      <c r="AH117" s="77"/>
      <c r="AI117" s="149" t="b">
        <f>F117="申請する"</f>
        <v>0</v>
      </c>
    </row>
    <row r="118" spans="1:42" ht="15" customHeight="1">
      <c r="A118" s="1086" t="s">
        <v>441</v>
      </c>
      <c r="B118" s="1087"/>
      <c r="C118" s="1087"/>
      <c r="D118" s="1087"/>
      <c r="E118" s="1087"/>
      <c r="F118" s="1065" t="s">
        <v>79</v>
      </c>
      <c r="G118" s="1065"/>
      <c r="H118" s="1065"/>
      <c r="I118" s="1065"/>
      <c r="J118" s="1065"/>
      <c r="K118" s="1065"/>
      <c r="L118" s="1065"/>
      <c r="M118" s="1065"/>
      <c r="N118" s="1065"/>
      <c r="O118" s="1065"/>
      <c r="P118" s="1065"/>
      <c r="Q118" s="1065"/>
      <c r="R118" s="1065"/>
      <c r="S118" s="1065"/>
      <c r="T118" s="1065"/>
      <c r="U118" s="1065"/>
      <c r="V118" s="1065"/>
      <c r="W118" s="1065"/>
      <c r="X118" s="1065"/>
      <c r="Y118" s="1065"/>
      <c r="Z118" s="1066"/>
      <c r="AA118" s="1064" t="s">
        <v>281</v>
      </c>
      <c r="AB118" s="1065"/>
      <c r="AC118" s="1065"/>
      <c r="AD118" s="1066"/>
      <c r="AE118" s="341"/>
      <c r="AF118" s="341"/>
      <c r="AG118" s="341"/>
      <c r="AH118" s="77"/>
    </row>
    <row r="119" spans="1:42" ht="39.950000000000003" customHeight="1">
      <c r="A119" s="1088"/>
      <c r="B119" s="1089"/>
      <c r="C119" s="1089"/>
      <c r="D119" s="1089"/>
      <c r="E119" s="1089"/>
      <c r="F119" s="777">
        <v>1</v>
      </c>
      <c r="G119" s="1202" t="s">
        <v>488</v>
      </c>
      <c r="H119" s="1202"/>
      <c r="I119" s="1202"/>
      <c r="J119" s="1202"/>
      <c r="K119" s="1202"/>
      <c r="L119" s="1202"/>
      <c r="M119" s="1202"/>
      <c r="N119" s="1202"/>
      <c r="O119" s="1202"/>
      <c r="P119" s="1202"/>
      <c r="Q119" s="1202"/>
      <c r="R119" s="1202"/>
      <c r="S119" s="1202"/>
      <c r="T119" s="1202"/>
      <c r="U119" s="1202"/>
      <c r="V119" s="1202"/>
      <c r="W119" s="1202"/>
      <c r="X119" s="1202"/>
      <c r="Y119" s="1202"/>
      <c r="Z119" s="1203"/>
      <c r="AA119" s="1102"/>
      <c r="AB119" s="1103"/>
      <c r="AC119" s="1103"/>
      <c r="AD119" s="1104"/>
      <c r="AE119" s="341"/>
      <c r="AF119" s="341"/>
      <c r="AG119" s="341"/>
      <c r="AH119" s="77"/>
      <c r="AI119" s="149" t="b">
        <f>AA119="○"</f>
        <v>0</v>
      </c>
    </row>
    <row r="120" spans="1:42" ht="24.95" customHeight="1">
      <c r="A120" s="1088"/>
      <c r="B120" s="1089"/>
      <c r="C120" s="1089"/>
      <c r="D120" s="1089"/>
      <c r="E120" s="1089"/>
      <c r="F120" s="777">
        <v>2</v>
      </c>
      <c r="G120" s="1202" t="s">
        <v>460</v>
      </c>
      <c r="H120" s="1157"/>
      <c r="I120" s="1157"/>
      <c r="J120" s="1157"/>
      <c r="K120" s="1157"/>
      <c r="L120" s="1157"/>
      <c r="M120" s="1157"/>
      <c r="N120" s="1157"/>
      <c r="O120" s="1157"/>
      <c r="P120" s="1157"/>
      <c r="Q120" s="1157"/>
      <c r="R120" s="1157"/>
      <c r="S120" s="1157"/>
      <c r="T120" s="1157"/>
      <c r="U120" s="1157"/>
      <c r="V120" s="1157"/>
      <c r="W120" s="1157"/>
      <c r="X120" s="1157"/>
      <c r="Y120" s="1157"/>
      <c r="Z120" s="1262"/>
      <c r="AA120" s="1102"/>
      <c r="AB120" s="1103"/>
      <c r="AC120" s="1103"/>
      <c r="AD120" s="1104"/>
      <c r="AE120" s="341"/>
      <c r="AF120" s="341"/>
      <c r="AG120" s="341"/>
      <c r="AH120" s="77"/>
      <c r="AI120" s="149" t="b">
        <f>AA120="○"</f>
        <v>0</v>
      </c>
    </row>
    <row r="121" spans="1:42" ht="24.95" customHeight="1">
      <c r="A121" s="1197"/>
      <c r="B121" s="1198"/>
      <c r="C121" s="1198"/>
      <c r="D121" s="1198"/>
      <c r="E121" s="1198"/>
      <c r="F121" s="758">
        <v>3</v>
      </c>
      <c r="G121" s="1202" t="s">
        <v>461</v>
      </c>
      <c r="H121" s="1202"/>
      <c r="I121" s="1202"/>
      <c r="J121" s="1202"/>
      <c r="K121" s="1202"/>
      <c r="L121" s="1202"/>
      <c r="M121" s="1202"/>
      <c r="N121" s="1202"/>
      <c r="O121" s="1202"/>
      <c r="P121" s="1202"/>
      <c r="Q121" s="1202"/>
      <c r="R121" s="1202"/>
      <c r="S121" s="1202"/>
      <c r="T121" s="1202"/>
      <c r="U121" s="1202"/>
      <c r="V121" s="1202"/>
      <c r="W121" s="1202"/>
      <c r="X121" s="1202"/>
      <c r="Y121" s="1202"/>
      <c r="Z121" s="1203"/>
      <c r="AA121" s="1102"/>
      <c r="AB121" s="1103"/>
      <c r="AC121" s="1103"/>
      <c r="AD121" s="1104"/>
      <c r="AE121" s="341"/>
      <c r="AF121" s="341"/>
      <c r="AG121" s="341"/>
      <c r="AH121" s="77"/>
      <c r="AI121" s="149" t="b">
        <f>AA121="○"</f>
        <v>0</v>
      </c>
    </row>
    <row r="122" spans="1:42" ht="24.95" customHeight="1">
      <c r="A122" s="1094" t="s">
        <v>35</v>
      </c>
      <c r="B122" s="1094"/>
      <c r="C122" s="1094"/>
      <c r="D122" s="1094"/>
      <c r="E122" s="1094"/>
      <c r="F122" s="1208" t="s">
        <v>801</v>
      </c>
      <c r="G122" s="1202"/>
      <c r="H122" s="1202"/>
      <c r="I122" s="1202"/>
      <c r="J122" s="1202"/>
      <c r="K122" s="1202"/>
      <c r="L122" s="1202"/>
      <c r="M122" s="1202"/>
      <c r="N122" s="1202"/>
      <c r="O122" s="1202"/>
      <c r="P122" s="1202"/>
      <c r="Q122" s="1202"/>
      <c r="R122" s="1202"/>
      <c r="S122" s="1202"/>
      <c r="T122" s="1202"/>
      <c r="U122" s="1202"/>
      <c r="V122" s="1202"/>
      <c r="W122" s="1202"/>
      <c r="X122" s="1202"/>
      <c r="Y122" s="1202"/>
      <c r="Z122" s="1202"/>
      <c r="AA122" s="1202"/>
      <c r="AB122" s="1202"/>
      <c r="AC122" s="1202"/>
      <c r="AD122" s="1203"/>
      <c r="AE122" s="341"/>
      <c r="AF122" s="341"/>
      <c r="AG122" s="341"/>
      <c r="AH122" s="77"/>
    </row>
    <row r="123" spans="1:42" ht="15" customHeight="1" thickBot="1">
      <c r="A123" s="341"/>
      <c r="B123" s="341"/>
      <c r="C123" s="341"/>
      <c r="D123" s="341"/>
      <c r="E123" s="341"/>
      <c r="F123" s="341"/>
      <c r="G123" s="341"/>
      <c r="H123" s="341"/>
      <c r="I123" s="341"/>
      <c r="J123" s="341"/>
      <c r="K123" s="341"/>
      <c r="L123" s="341"/>
      <c r="M123" s="341"/>
      <c r="N123" s="341"/>
      <c r="O123" s="341"/>
      <c r="P123" s="341"/>
      <c r="Q123" s="341"/>
      <c r="R123" s="341"/>
      <c r="S123" s="341"/>
      <c r="T123" s="341"/>
      <c r="U123" s="341"/>
      <c r="V123" s="341"/>
      <c r="W123" s="341"/>
      <c r="X123" s="341"/>
      <c r="Y123" s="341"/>
      <c r="Z123" s="341"/>
      <c r="AA123" s="341"/>
      <c r="AB123" s="341"/>
      <c r="AC123" s="341"/>
      <c r="AD123" s="341"/>
      <c r="AE123" s="341"/>
      <c r="AF123" s="341"/>
      <c r="AG123" s="341"/>
    </row>
    <row r="124" spans="1:42" ht="15" customHeight="1" thickBot="1">
      <c r="A124" s="1264" t="s">
        <v>419</v>
      </c>
      <c r="B124" s="1264"/>
      <c r="C124" s="1264"/>
      <c r="D124" s="1264"/>
      <c r="E124" s="1264"/>
      <c r="F124" s="1264"/>
      <c r="G124" s="1264"/>
      <c r="H124" s="1264"/>
      <c r="I124" s="1264"/>
      <c r="J124" s="1247" t="e">
        <f>IF(VLOOKUP($D$13,'施設状況(要更新)'!$F$4:$R$144,13,FALSE)&gt;=20,IF(AND(AI127,AI133),"×","○"),IF(AND(AI127,AI131,AI132,AI133),"×","○"))</f>
        <v>#N/A</v>
      </c>
      <c r="K124" s="1248"/>
      <c r="L124" s="1248"/>
      <c r="M124" s="1248"/>
      <c r="N124" s="1249"/>
      <c r="O124" s="1096" t="s">
        <v>279</v>
      </c>
      <c r="P124" s="1097"/>
      <c r="Q124" s="1097"/>
      <c r="R124" s="341"/>
      <c r="S124" s="341"/>
      <c r="T124" s="341"/>
      <c r="U124" s="341"/>
      <c r="V124" s="341"/>
      <c r="W124" s="341"/>
      <c r="X124" s="341"/>
      <c r="Y124" s="341"/>
      <c r="Z124" s="341"/>
      <c r="AA124" s="341"/>
      <c r="AB124" s="341"/>
      <c r="AC124" s="341"/>
      <c r="AD124" s="341"/>
      <c r="AE124" s="341"/>
      <c r="AF124" s="341"/>
      <c r="AG124" s="341"/>
      <c r="AP124" s="77"/>
    </row>
    <row r="125" spans="1:42" ht="15" customHeight="1">
      <c r="A125" s="1260" t="s">
        <v>325</v>
      </c>
      <c r="B125" s="1260"/>
      <c r="C125" s="1260"/>
      <c r="D125" s="1260"/>
      <c r="E125" s="1260"/>
      <c r="F125" s="1260"/>
      <c r="G125" s="1260"/>
      <c r="H125" s="1260"/>
      <c r="I125" s="1260"/>
      <c r="J125" s="1260"/>
      <c r="K125" s="1260"/>
      <c r="L125" s="1260"/>
      <c r="M125" s="1260"/>
      <c r="N125" s="1260"/>
      <c r="O125" s="1260"/>
      <c r="P125" s="1260"/>
      <c r="Q125" s="1260"/>
      <c r="R125" s="1260"/>
      <c r="S125" s="1260"/>
      <c r="T125" s="1260"/>
      <c r="U125" s="1260"/>
      <c r="V125" s="1260"/>
      <c r="W125" s="1260"/>
      <c r="X125" s="1260"/>
      <c r="Y125" s="1260"/>
      <c r="Z125" s="1260"/>
      <c r="AA125" s="1260"/>
      <c r="AB125" s="1260"/>
      <c r="AC125" s="1260"/>
      <c r="AD125" s="1260"/>
      <c r="AE125" s="1260"/>
      <c r="AF125" s="1260"/>
      <c r="AG125" s="1260"/>
      <c r="AH125" s="71"/>
      <c r="AP125" s="77"/>
    </row>
    <row r="126" spans="1:42" ht="15" customHeight="1">
      <c r="A126" s="1086" t="s">
        <v>490</v>
      </c>
      <c r="B126" s="1087"/>
      <c r="C126" s="1087"/>
      <c r="D126" s="1087"/>
      <c r="E126" s="1087"/>
      <c r="F126" s="1065" t="s">
        <v>79</v>
      </c>
      <c r="G126" s="1065"/>
      <c r="H126" s="1065"/>
      <c r="I126" s="1065"/>
      <c r="J126" s="1065"/>
      <c r="K126" s="1065"/>
      <c r="L126" s="1065"/>
      <c r="M126" s="1065"/>
      <c r="N126" s="1065"/>
      <c r="O126" s="1065"/>
      <c r="P126" s="1065"/>
      <c r="Q126" s="1065"/>
      <c r="R126" s="1065"/>
      <c r="S126" s="1065"/>
      <c r="T126" s="1065"/>
      <c r="U126" s="1065"/>
      <c r="V126" s="1065"/>
      <c r="W126" s="1065"/>
      <c r="X126" s="1065"/>
      <c r="Y126" s="1065"/>
      <c r="Z126" s="1066"/>
      <c r="AA126" s="1064" t="s">
        <v>281</v>
      </c>
      <c r="AB126" s="1065"/>
      <c r="AC126" s="1065"/>
      <c r="AD126" s="1066"/>
      <c r="AE126" s="649"/>
      <c r="AF126" s="649"/>
      <c r="AG126" s="649"/>
      <c r="AH126" s="71"/>
      <c r="AP126" s="77"/>
    </row>
    <row r="127" spans="1:42" ht="15" customHeight="1">
      <c r="A127" s="1088"/>
      <c r="B127" s="1089"/>
      <c r="C127" s="1089"/>
      <c r="D127" s="1089"/>
      <c r="E127" s="1089"/>
      <c r="F127" s="648">
        <v>1</v>
      </c>
      <c r="G127" s="1187" t="s">
        <v>324</v>
      </c>
      <c r="H127" s="1187"/>
      <c r="I127" s="1187"/>
      <c r="J127" s="1187"/>
      <c r="K127" s="1187"/>
      <c r="L127" s="1187"/>
      <c r="M127" s="1187"/>
      <c r="N127" s="1187"/>
      <c r="O127" s="1187"/>
      <c r="P127" s="1187"/>
      <c r="Q127" s="1187"/>
      <c r="R127" s="1187"/>
      <c r="S127" s="1187"/>
      <c r="T127" s="1187"/>
      <c r="U127" s="1187"/>
      <c r="V127" s="1187"/>
      <c r="W127" s="1187"/>
      <c r="X127" s="1187"/>
      <c r="Y127" s="1187"/>
      <c r="Z127" s="1188"/>
      <c r="AA127" s="1189" t="str">
        <f>IF(OR(ISTEXT(H128),ISTEXT(H129),ISTEXT(H130)),"○","×")</f>
        <v>×</v>
      </c>
      <c r="AB127" s="1189"/>
      <c r="AC127" s="1189"/>
      <c r="AD127" s="1190"/>
      <c r="AE127" s="341"/>
      <c r="AF127" s="341"/>
      <c r="AG127" s="341"/>
      <c r="AI127" s="149" t="b">
        <f>AA127="○"</f>
        <v>0</v>
      </c>
    </row>
    <row r="128" spans="1:42" ht="15" customHeight="1">
      <c r="A128" s="1088"/>
      <c r="B128" s="1089"/>
      <c r="C128" s="1089"/>
      <c r="D128" s="1089"/>
      <c r="E128" s="1089"/>
      <c r="F128" s="1195" t="s">
        <v>117</v>
      </c>
      <c r="G128" s="1191"/>
      <c r="H128" s="1269"/>
      <c r="I128" s="1269"/>
      <c r="J128" s="1269"/>
      <c r="K128" s="1269"/>
      <c r="L128" s="1269"/>
      <c r="M128" s="1269"/>
      <c r="N128" s="1269"/>
      <c r="O128" s="1269"/>
      <c r="P128" s="1269"/>
      <c r="Q128" s="1269"/>
      <c r="R128" s="1269"/>
      <c r="S128" s="1269"/>
      <c r="T128" s="1269"/>
      <c r="U128" s="1269"/>
      <c r="V128" s="1269"/>
      <c r="W128" s="1269"/>
      <c r="X128" s="1269"/>
      <c r="Y128" s="1269"/>
      <c r="Z128" s="1270"/>
      <c r="AA128" s="1191"/>
      <c r="AB128" s="1191"/>
      <c r="AC128" s="1191"/>
      <c r="AD128" s="1192"/>
      <c r="AE128" s="341"/>
      <c r="AF128" s="341"/>
      <c r="AG128" s="341"/>
    </row>
    <row r="129" spans="1:36" ht="15" customHeight="1">
      <c r="A129" s="1088"/>
      <c r="B129" s="1089"/>
      <c r="C129" s="1089"/>
      <c r="D129" s="1089"/>
      <c r="E129" s="1089"/>
      <c r="F129" s="1195" t="s">
        <v>69</v>
      </c>
      <c r="G129" s="1191"/>
      <c r="H129" s="1269"/>
      <c r="I129" s="1269"/>
      <c r="J129" s="1269"/>
      <c r="K129" s="1269"/>
      <c r="L129" s="1269"/>
      <c r="M129" s="1269"/>
      <c r="N129" s="1269"/>
      <c r="O129" s="1269"/>
      <c r="P129" s="1269"/>
      <c r="Q129" s="1269"/>
      <c r="R129" s="1269"/>
      <c r="S129" s="1269"/>
      <c r="T129" s="1269"/>
      <c r="U129" s="1269"/>
      <c r="V129" s="1269"/>
      <c r="W129" s="1269"/>
      <c r="X129" s="1269"/>
      <c r="Y129" s="1269"/>
      <c r="Z129" s="1270"/>
      <c r="AA129" s="1191"/>
      <c r="AB129" s="1191"/>
      <c r="AC129" s="1191"/>
      <c r="AD129" s="1192"/>
      <c r="AE129" s="341"/>
      <c r="AF129" s="341"/>
      <c r="AG129" s="341"/>
    </row>
    <row r="130" spans="1:36" ht="15" customHeight="1">
      <c r="A130" s="1088"/>
      <c r="B130" s="1089"/>
      <c r="C130" s="1089"/>
      <c r="D130" s="1089"/>
      <c r="E130" s="1089"/>
      <c r="F130" s="1195" t="s">
        <v>70</v>
      </c>
      <c r="G130" s="1191"/>
      <c r="H130" s="1269"/>
      <c r="I130" s="1269"/>
      <c r="J130" s="1269"/>
      <c r="K130" s="1269"/>
      <c r="L130" s="1269"/>
      <c r="M130" s="1269"/>
      <c r="N130" s="1269"/>
      <c r="O130" s="1269"/>
      <c r="P130" s="1269"/>
      <c r="Q130" s="1269"/>
      <c r="R130" s="1269"/>
      <c r="S130" s="1269"/>
      <c r="T130" s="1269"/>
      <c r="U130" s="1269"/>
      <c r="V130" s="1269"/>
      <c r="W130" s="1269"/>
      <c r="X130" s="1269"/>
      <c r="Y130" s="1269"/>
      <c r="Z130" s="1270"/>
      <c r="AA130" s="1193"/>
      <c r="AB130" s="1193"/>
      <c r="AC130" s="1193"/>
      <c r="AD130" s="1194"/>
      <c r="AE130" s="341"/>
      <c r="AF130" s="341"/>
      <c r="AG130" s="341"/>
      <c r="AJ130" s="114" t="s">
        <v>1018</v>
      </c>
    </row>
    <row r="131" spans="1:36" ht="39.950000000000003" customHeight="1">
      <c r="A131" s="1088"/>
      <c r="B131" s="1089"/>
      <c r="C131" s="1089"/>
      <c r="D131" s="1089"/>
      <c r="E131" s="1089"/>
      <c r="F131" s="757">
        <v>2</v>
      </c>
      <c r="G131" s="1202" t="s">
        <v>464</v>
      </c>
      <c r="H131" s="1202"/>
      <c r="I131" s="1202"/>
      <c r="J131" s="1202"/>
      <c r="K131" s="1202"/>
      <c r="L131" s="1202"/>
      <c r="M131" s="1202"/>
      <c r="N131" s="1202"/>
      <c r="O131" s="1202"/>
      <c r="P131" s="1202"/>
      <c r="Q131" s="1202"/>
      <c r="R131" s="1202"/>
      <c r="S131" s="1202"/>
      <c r="T131" s="1202"/>
      <c r="U131" s="1202"/>
      <c r="V131" s="1202"/>
      <c r="W131" s="1202"/>
      <c r="X131" s="1202"/>
      <c r="Y131" s="1202"/>
      <c r="Z131" s="1203"/>
      <c r="AA131" s="1182"/>
      <c r="AB131" s="1142"/>
      <c r="AC131" s="1142"/>
      <c r="AD131" s="1183"/>
      <c r="AE131" s="341"/>
      <c r="AF131" s="341"/>
      <c r="AG131" s="341"/>
      <c r="AI131" s="149" t="b">
        <f>AA131="○"</f>
        <v>0</v>
      </c>
      <c r="AJ131" s="74" t="e">
        <f>VLOOKUP($D$13,'施設状況(要更新)'!$F$4:$R$144,13,FALSE)&gt;=20</f>
        <v>#N/A</v>
      </c>
    </row>
    <row r="132" spans="1:36" ht="50.1" customHeight="1">
      <c r="A132" s="1088"/>
      <c r="B132" s="1089"/>
      <c r="C132" s="1089"/>
      <c r="D132" s="1089"/>
      <c r="E132" s="1089"/>
      <c r="F132" s="757">
        <v>3</v>
      </c>
      <c r="G132" s="1202" t="s">
        <v>463</v>
      </c>
      <c r="H132" s="1202"/>
      <c r="I132" s="1202"/>
      <c r="J132" s="1202"/>
      <c r="K132" s="1202"/>
      <c r="L132" s="1202"/>
      <c r="M132" s="1202"/>
      <c r="N132" s="1202"/>
      <c r="O132" s="1202"/>
      <c r="P132" s="1202"/>
      <c r="Q132" s="1202"/>
      <c r="R132" s="1202"/>
      <c r="S132" s="1202"/>
      <c r="T132" s="1202"/>
      <c r="U132" s="1202"/>
      <c r="V132" s="1202"/>
      <c r="W132" s="1202"/>
      <c r="X132" s="1202"/>
      <c r="Y132" s="1202"/>
      <c r="Z132" s="1203"/>
      <c r="AA132" s="1182"/>
      <c r="AB132" s="1142"/>
      <c r="AC132" s="1142"/>
      <c r="AD132" s="1183"/>
      <c r="AE132" s="341"/>
      <c r="AF132" s="341"/>
      <c r="AG132" s="341"/>
      <c r="AI132" s="149" t="b">
        <f>AA132="○"</f>
        <v>0</v>
      </c>
      <c r="AJ132" s="74" t="e">
        <f>VLOOKUP($D$13,'施設状況(要更新)'!$F$4:$R$144,13,FALSE)&gt;=20</f>
        <v>#N/A</v>
      </c>
    </row>
    <row r="133" spans="1:36" ht="39.950000000000003" customHeight="1">
      <c r="A133" s="1197"/>
      <c r="B133" s="1198"/>
      <c r="C133" s="1198"/>
      <c r="D133" s="1198"/>
      <c r="E133" s="1198"/>
      <c r="F133" s="757">
        <v>4</v>
      </c>
      <c r="G133" s="1202" t="s">
        <v>462</v>
      </c>
      <c r="H133" s="1202"/>
      <c r="I133" s="1202"/>
      <c r="J133" s="1202"/>
      <c r="K133" s="1202"/>
      <c r="L133" s="1202"/>
      <c r="M133" s="1202"/>
      <c r="N133" s="1202"/>
      <c r="O133" s="1202"/>
      <c r="P133" s="1202"/>
      <c r="Q133" s="1202"/>
      <c r="R133" s="1202"/>
      <c r="S133" s="1202"/>
      <c r="T133" s="1202"/>
      <c r="U133" s="1202"/>
      <c r="V133" s="1202"/>
      <c r="W133" s="1202"/>
      <c r="X133" s="1202"/>
      <c r="Y133" s="1202"/>
      <c r="Z133" s="1203"/>
      <c r="AA133" s="1102"/>
      <c r="AB133" s="1103"/>
      <c r="AC133" s="1103"/>
      <c r="AD133" s="1104"/>
      <c r="AE133" s="341"/>
      <c r="AF133" s="341"/>
      <c r="AG133" s="341"/>
      <c r="AI133" s="149" t="b">
        <f>AA133="○"</f>
        <v>0</v>
      </c>
      <c r="AJ133" s="965"/>
    </row>
    <row r="134" spans="1:36" ht="15" customHeight="1">
      <c r="A134" s="769"/>
      <c r="B134" s="769"/>
      <c r="C134" s="769"/>
      <c r="D134" s="769"/>
      <c r="E134" s="769"/>
      <c r="F134" s="341"/>
      <c r="G134" s="341"/>
      <c r="H134" s="341"/>
      <c r="I134" s="341"/>
      <c r="J134" s="341"/>
      <c r="K134" s="341"/>
      <c r="L134" s="341"/>
      <c r="M134" s="341"/>
      <c r="N134" s="341"/>
      <c r="O134" s="341"/>
      <c r="P134" s="341"/>
      <c r="Q134" s="341"/>
      <c r="R134" s="341"/>
      <c r="S134" s="341"/>
      <c r="T134" s="341"/>
      <c r="U134" s="341"/>
      <c r="V134" s="341"/>
      <c r="W134" s="341"/>
      <c r="X134" s="341"/>
      <c r="Y134" s="341"/>
      <c r="Z134" s="341"/>
      <c r="AA134" s="341"/>
      <c r="AB134" s="341"/>
      <c r="AC134" s="341"/>
      <c r="AD134" s="341"/>
      <c r="AE134" s="341"/>
      <c r="AF134" s="341"/>
      <c r="AG134" s="341"/>
    </row>
    <row r="135" spans="1:36" ht="15" customHeight="1">
      <c r="A135" s="1244" t="s">
        <v>420</v>
      </c>
      <c r="B135" s="1244"/>
      <c r="C135" s="1244"/>
      <c r="D135" s="1244"/>
      <c r="E135" s="1244"/>
      <c r="F135" s="1244"/>
      <c r="G135" s="1244"/>
      <c r="H135" s="1244"/>
      <c r="I135" s="1244"/>
      <c r="J135" s="341"/>
      <c r="K135" s="341"/>
      <c r="L135" s="341"/>
      <c r="M135" s="341"/>
      <c r="N135" s="341"/>
      <c r="O135" s="341"/>
      <c r="P135" s="341"/>
      <c r="Q135" s="341"/>
      <c r="R135" s="341"/>
      <c r="S135" s="341"/>
      <c r="T135" s="341"/>
      <c r="U135" s="341"/>
      <c r="V135" s="341"/>
      <c r="W135" s="341"/>
      <c r="X135" s="341"/>
      <c r="Y135" s="341"/>
      <c r="Z135" s="341"/>
      <c r="AA135" s="341"/>
      <c r="AB135" s="341"/>
      <c r="AC135" s="341"/>
      <c r="AD135" s="341"/>
      <c r="AE135" s="341"/>
      <c r="AF135" s="341"/>
      <c r="AG135" s="341"/>
    </row>
    <row r="136" spans="1:36" ht="15" customHeight="1" thickBot="1">
      <c r="A136" s="1244"/>
      <c r="B136" s="1244"/>
      <c r="C136" s="1244"/>
      <c r="D136" s="1244"/>
      <c r="E136" s="1244"/>
      <c r="F136" s="1244"/>
      <c r="G136" s="1244"/>
      <c r="H136" s="1244"/>
      <c r="I136" s="1244"/>
      <c r="J136" s="341"/>
      <c r="K136" s="341"/>
      <c r="L136" s="341"/>
      <c r="M136" s="341"/>
      <c r="N136" s="341"/>
      <c r="O136" s="341"/>
      <c r="P136" s="341"/>
      <c r="Q136" s="341"/>
      <c r="R136" s="341"/>
      <c r="S136" s="341"/>
      <c r="T136" s="341"/>
      <c r="U136" s="341"/>
      <c r="V136" s="341"/>
      <c r="W136" s="341"/>
      <c r="X136" s="341"/>
      <c r="Y136" s="341"/>
      <c r="Z136" s="341"/>
      <c r="AA136" s="341"/>
      <c r="AB136" s="341"/>
      <c r="AC136" s="341"/>
      <c r="AD136" s="341"/>
      <c r="AE136" s="341"/>
      <c r="AF136" s="341"/>
      <c r="AG136" s="341"/>
    </row>
    <row r="137" spans="1:36" ht="15" customHeight="1" thickBot="1">
      <c r="A137" s="1244"/>
      <c r="B137" s="1244"/>
      <c r="C137" s="1244"/>
      <c r="D137" s="1244"/>
      <c r="E137" s="1244"/>
      <c r="F137" s="1244"/>
      <c r="G137" s="1244"/>
      <c r="H137" s="1244"/>
      <c r="I137" s="1244"/>
      <c r="J137" s="1247" t="str">
        <f>IF(OR(AI140,AI141),"×","○")</f>
        <v>○</v>
      </c>
      <c r="K137" s="1248"/>
      <c r="L137" s="1248"/>
      <c r="M137" s="1248"/>
      <c r="N137" s="1249"/>
      <c r="O137" s="1096" t="s">
        <v>279</v>
      </c>
      <c r="P137" s="1097"/>
      <c r="Q137" s="1097"/>
      <c r="R137" s="341"/>
      <c r="S137" s="341"/>
      <c r="T137" s="341"/>
      <c r="U137" s="341"/>
      <c r="V137" s="341"/>
      <c r="W137" s="341"/>
      <c r="X137" s="341"/>
      <c r="Y137" s="341"/>
      <c r="Z137" s="341"/>
      <c r="AA137" s="341"/>
      <c r="AB137" s="341"/>
      <c r="AC137" s="341"/>
      <c r="AD137" s="341"/>
      <c r="AE137" s="341"/>
      <c r="AF137" s="341"/>
      <c r="AG137" s="341"/>
    </row>
    <row r="138" spans="1:36" ht="15" customHeight="1">
      <c r="A138" s="1260" t="s">
        <v>326</v>
      </c>
      <c r="B138" s="1260"/>
      <c r="C138" s="1260"/>
      <c r="D138" s="1260"/>
      <c r="E138" s="1260"/>
      <c r="F138" s="1260"/>
      <c r="G138" s="1260"/>
      <c r="H138" s="1260"/>
      <c r="I138" s="1260"/>
      <c r="J138" s="1260"/>
      <c r="K138" s="1260"/>
      <c r="L138" s="1260"/>
      <c r="M138" s="1260"/>
      <c r="N138" s="1260"/>
      <c r="O138" s="1260"/>
      <c r="P138" s="1260"/>
      <c r="Q138" s="1260"/>
      <c r="R138" s="1260"/>
      <c r="S138" s="1260"/>
      <c r="T138" s="1260"/>
      <c r="U138" s="1260"/>
      <c r="V138" s="1260"/>
      <c r="W138" s="1260"/>
      <c r="X138" s="1260"/>
      <c r="Y138" s="1260"/>
      <c r="Z138" s="1260"/>
      <c r="AA138" s="1260"/>
      <c r="AB138" s="1260"/>
      <c r="AC138" s="1260"/>
      <c r="AD138" s="1260"/>
      <c r="AE138" s="1260"/>
      <c r="AF138" s="1260"/>
      <c r="AG138" s="1260"/>
    </row>
    <row r="139" spans="1:36" ht="15" customHeight="1">
      <c r="A139" s="1086" t="s">
        <v>489</v>
      </c>
      <c r="B139" s="1087"/>
      <c r="C139" s="1087"/>
      <c r="D139" s="1087"/>
      <c r="E139" s="1087"/>
      <c r="F139" s="1065" t="s">
        <v>79</v>
      </c>
      <c r="G139" s="1065"/>
      <c r="H139" s="1065"/>
      <c r="I139" s="1065"/>
      <c r="J139" s="1065"/>
      <c r="K139" s="1065"/>
      <c r="L139" s="1065"/>
      <c r="M139" s="1065"/>
      <c r="N139" s="1065"/>
      <c r="O139" s="1065"/>
      <c r="P139" s="1065"/>
      <c r="Q139" s="1065"/>
      <c r="R139" s="1065"/>
      <c r="S139" s="1065"/>
      <c r="T139" s="1065"/>
      <c r="U139" s="1065"/>
      <c r="V139" s="1065"/>
      <c r="W139" s="1065"/>
      <c r="X139" s="1065"/>
      <c r="Y139" s="1065"/>
      <c r="Z139" s="1066"/>
      <c r="AA139" s="1154" t="s">
        <v>281</v>
      </c>
      <c r="AB139" s="1155"/>
      <c r="AC139" s="1155"/>
      <c r="AD139" s="1156"/>
      <c r="AE139" s="341"/>
      <c r="AF139" s="341"/>
      <c r="AG139" s="341"/>
    </row>
    <row r="140" spans="1:36" ht="15" customHeight="1">
      <c r="A140" s="1088"/>
      <c r="B140" s="1089"/>
      <c r="C140" s="1089"/>
      <c r="D140" s="1089"/>
      <c r="E140" s="1089"/>
      <c r="F140" s="757">
        <v>1</v>
      </c>
      <c r="G140" s="1157" t="s">
        <v>327</v>
      </c>
      <c r="H140" s="1157"/>
      <c r="I140" s="1157"/>
      <c r="J140" s="1157"/>
      <c r="K140" s="1157"/>
      <c r="L140" s="1157"/>
      <c r="M140" s="1157"/>
      <c r="N140" s="1157"/>
      <c r="O140" s="1157"/>
      <c r="P140" s="1157"/>
      <c r="Q140" s="1157"/>
      <c r="R140" s="1157"/>
      <c r="S140" s="1157"/>
      <c r="T140" s="1157"/>
      <c r="U140" s="1157"/>
      <c r="V140" s="1157"/>
      <c r="W140" s="1157"/>
      <c r="X140" s="1157"/>
      <c r="Y140" s="1157"/>
      <c r="Z140" s="1157"/>
      <c r="AA140" s="1102"/>
      <c r="AB140" s="1103"/>
      <c r="AC140" s="1103"/>
      <c r="AD140" s="1104"/>
      <c r="AE140" s="341"/>
      <c r="AF140" s="341"/>
      <c r="AG140" s="341"/>
      <c r="AI140" s="149" t="b">
        <f>AA140="○"</f>
        <v>0</v>
      </c>
    </row>
    <row r="141" spans="1:36" ht="24.95" customHeight="1">
      <c r="A141" s="1088"/>
      <c r="B141" s="1089"/>
      <c r="C141" s="1089"/>
      <c r="D141" s="1089"/>
      <c r="E141" s="1089"/>
      <c r="F141" s="758">
        <v>2</v>
      </c>
      <c r="G141" s="1187" t="s">
        <v>328</v>
      </c>
      <c r="H141" s="1187"/>
      <c r="I141" s="1187"/>
      <c r="J141" s="1187"/>
      <c r="K141" s="1187"/>
      <c r="L141" s="1187"/>
      <c r="M141" s="1187"/>
      <c r="N141" s="1187"/>
      <c r="O141" s="1187"/>
      <c r="P141" s="1187"/>
      <c r="Q141" s="1187"/>
      <c r="R141" s="1187"/>
      <c r="S141" s="1187"/>
      <c r="T141" s="1187"/>
      <c r="U141" s="1187"/>
      <c r="V141" s="1187"/>
      <c r="W141" s="1187"/>
      <c r="X141" s="1187"/>
      <c r="Y141" s="1187"/>
      <c r="Z141" s="1188"/>
      <c r="AA141" s="1189" t="str">
        <f>IF(OR(ISTEXT(H142),ISTEXT(H143),ISTEXT(H144)),"○","×")</f>
        <v>×</v>
      </c>
      <c r="AB141" s="1189"/>
      <c r="AC141" s="1189"/>
      <c r="AD141" s="1190"/>
      <c r="AE141" s="341"/>
      <c r="AF141" s="341"/>
      <c r="AG141" s="341"/>
      <c r="AI141" s="149" t="b">
        <f>AA141="○"</f>
        <v>0</v>
      </c>
    </row>
    <row r="142" spans="1:36" ht="15" customHeight="1">
      <c r="A142" s="1088"/>
      <c r="B142" s="1089"/>
      <c r="C142" s="1089"/>
      <c r="D142" s="1089"/>
      <c r="E142" s="1089"/>
      <c r="F142" s="1195" t="s">
        <v>117</v>
      </c>
      <c r="G142" s="1191"/>
      <c r="H142" s="1269"/>
      <c r="I142" s="1269"/>
      <c r="J142" s="1269"/>
      <c r="K142" s="1269"/>
      <c r="L142" s="1269"/>
      <c r="M142" s="1269"/>
      <c r="N142" s="1269"/>
      <c r="O142" s="1269"/>
      <c r="P142" s="1269"/>
      <c r="Q142" s="1269"/>
      <c r="R142" s="1269"/>
      <c r="S142" s="1269"/>
      <c r="T142" s="1269"/>
      <c r="U142" s="1269"/>
      <c r="V142" s="1269"/>
      <c r="W142" s="1269"/>
      <c r="X142" s="1269"/>
      <c r="Y142" s="1269"/>
      <c r="Z142" s="1270"/>
      <c r="AA142" s="1191"/>
      <c r="AB142" s="1191"/>
      <c r="AC142" s="1191"/>
      <c r="AD142" s="1192"/>
      <c r="AE142" s="341"/>
      <c r="AF142" s="341"/>
      <c r="AG142" s="341"/>
    </row>
    <row r="143" spans="1:36" ht="15" customHeight="1">
      <c r="A143" s="1088"/>
      <c r="B143" s="1089"/>
      <c r="C143" s="1089"/>
      <c r="D143" s="1089"/>
      <c r="E143" s="1089"/>
      <c r="F143" s="1195" t="s">
        <v>69</v>
      </c>
      <c r="G143" s="1191"/>
      <c r="H143" s="1269"/>
      <c r="I143" s="1269"/>
      <c r="J143" s="1269"/>
      <c r="K143" s="1269"/>
      <c r="L143" s="1269"/>
      <c r="M143" s="1269"/>
      <c r="N143" s="1269"/>
      <c r="O143" s="1269"/>
      <c r="P143" s="1269"/>
      <c r="Q143" s="1269"/>
      <c r="R143" s="1269"/>
      <c r="S143" s="1269"/>
      <c r="T143" s="1269"/>
      <c r="U143" s="1269"/>
      <c r="V143" s="1269"/>
      <c r="W143" s="1269"/>
      <c r="X143" s="1269"/>
      <c r="Y143" s="1269"/>
      <c r="Z143" s="1270"/>
      <c r="AA143" s="1191"/>
      <c r="AB143" s="1191"/>
      <c r="AC143" s="1191"/>
      <c r="AD143" s="1192"/>
      <c r="AE143" s="341"/>
      <c r="AF143" s="341"/>
      <c r="AG143" s="341"/>
    </row>
    <row r="144" spans="1:36" ht="15" customHeight="1">
      <c r="A144" s="1197"/>
      <c r="B144" s="1198"/>
      <c r="C144" s="1198"/>
      <c r="D144" s="1198"/>
      <c r="E144" s="1198"/>
      <c r="F144" s="1370" t="s">
        <v>70</v>
      </c>
      <c r="G144" s="1193"/>
      <c r="H144" s="1250"/>
      <c r="I144" s="1250"/>
      <c r="J144" s="1250"/>
      <c r="K144" s="1250"/>
      <c r="L144" s="1250"/>
      <c r="M144" s="1250"/>
      <c r="N144" s="1250"/>
      <c r="O144" s="1250"/>
      <c r="P144" s="1250"/>
      <c r="Q144" s="1250"/>
      <c r="R144" s="1250"/>
      <c r="S144" s="1250"/>
      <c r="T144" s="1250"/>
      <c r="U144" s="1250"/>
      <c r="V144" s="1250"/>
      <c r="W144" s="1250"/>
      <c r="X144" s="1250"/>
      <c r="Y144" s="1250"/>
      <c r="Z144" s="1268"/>
      <c r="AA144" s="1193"/>
      <c r="AB144" s="1193"/>
      <c r="AC144" s="1193"/>
      <c r="AD144" s="1194"/>
      <c r="AE144" s="341"/>
      <c r="AF144" s="341"/>
      <c r="AG144" s="341"/>
    </row>
    <row r="145" spans="1:35" ht="15" customHeight="1" thickBot="1">
      <c r="A145" s="762"/>
      <c r="B145" s="762"/>
      <c r="C145" s="762"/>
      <c r="D145" s="762"/>
      <c r="E145" s="762"/>
      <c r="F145" s="762"/>
      <c r="G145" s="762"/>
      <c r="H145" s="762"/>
      <c r="I145" s="762"/>
      <c r="J145" s="762"/>
      <c r="K145" s="762"/>
      <c r="L145" s="762"/>
      <c r="M145" s="762"/>
      <c r="N145" s="762"/>
      <c r="O145" s="762"/>
      <c r="P145" s="762"/>
      <c r="Q145" s="762"/>
      <c r="R145" s="762"/>
      <c r="S145" s="762"/>
      <c r="T145" s="762"/>
      <c r="U145" s="762"/>
      <c r="V145" s="762"/>
      <c r="W145" s="762"/>
      <c r="X145" s="762"/>
      <c r="Y145" s="762"/>
      <c r="Z145" s="762"/>
      <c r="AA145" s="762"/>
      <c r="AB145" s="762"/>
      <c r="AC145" s="762"/>
      <c r="AD145" s="762"/>
      <c r="AE145" s="341"/>
      <c r="AF145" s="341"/>
      <c r="AG145" s="341"/>
    </row>
    <row r="146" spans="1:35" ht="15" customHeight="1" thickBot="1">
      <c r="A146" s="1100" t="s">
        <v>421</v>
      </c>
      <c r="B146" s="1100"/>
      <c r="C146" s="1100"/>
      <c r="D146" s="1100"/>
      <c r="E146" s="1100"/>
      <c r="F146" s="1100"/>
      <c r="G146" s="1100"/>
      <c r="H146" s="1100"/>
      <c r="I146" s="1101"/>
      <c r="J146" s="1247" t="str">
        <f>IF(AND(AI148,AI153,AI158,AI159,AI162),"×","○")</f>
        <v>○</v>
      </c>
      <c r="K146" s="1248"/>
      <c r="L146" s="1248"/>
      <c r="M146" s="1248"/>
      <c r="N146" s="1249"/>
      <c r="O146" s="1096" t="s">
        <v>279</v>
      </c>
      <c r="P146" s="1097"/>
      <c r="Q146" s="1097"/>
      <c r="R146" s="341"/>
      <c r="S146" s="341"/>
      <c r="T146" s="341"/>
      <c r="U146" s="341"/>
      <c r="V146" s="709"/>
      <c r="W146" s="709"/>
      <c r="X146" s="709"/>
      <c r="Y146" s="709"/>
      <c r="Z146" s="709"/>
      <c r="AA146" s="709"/>
      <c r="AB146" s="709"/>
      <c r="AC146" s="709"/>
      <c r="AD146" s="709"/>
      <c r="AE146" s="341"/>
      <c r="AF146" s="341"/>
      <c r="AG146" s="341"/>
    </row>
    <row r="147" spans="1:35" ht="15" customHeight="1">
      <c r="A147" s="1086" t="s">
        <v>520</v>
      </c>
      <c r="B147" s="1087"/>
      <c r="C147" s="1087"/>
      <c r="D147" s="1087"/>
      <c r="E147" s="1087"/>
      <c r="F147" s="1065" t="s">
        <v>79</v>
      </c>
      <c r="G147" s="1065"/>
      <c r="H147" s="1065"/>
      <c r="I147" s="1065"/>
      <c r="J147" s="1065"/>
      <c r="K147" s="1065"/>
      <c r="L147" s="1065"/>
      <c r="M147" s="1065"/>
      <c r="N147" s="1065"/>
      <c r="O147" s="1065"/>
      <c r="P147" s="1065"/>
      <c r="Q147" s="1065"/>
      <c r="R147" s="1065"/>
      <c r="S147" s="1065"/>
      <c r="T147" s="1065"/>
      <c r="U147" s="1065"/>
      <c r="V147" s="1063"/>
      <c r="W147" s="1063"/>
      <c r="X147" s="1063"/>
      <c r="Y147" s="1063"/>
      <c r="Z147" s="1080"/>
      <c r="AA147" s="1062" t="s">
        <v>281</v>
      </c>
      <c r="AB147" s="1063"/>
      <c r="AC147" s="1063"/>
      <c r="AD147" s="1080"/>
      <c r="AE147" s="341"/>
      <c r="AF147" s="341"/>
      <c r="AG147" s="341"/>
      <c r="AH147" s="77"/>
    </row>
    <row r="148" spans="1:35" ht="15" customHeight="1">
      <c r="A148" s="1088"/>
      <c r="B148" s="1089"/>
      <c r="C148" s="1089"/>
      <c r="D148" s="1089"/>
      <c r="E148" s="1089"/>
      <c r="F148" s="650">
        <v>1</v>
      </c>
      <c r="G148" s="1090" t="s">
        <v>519</v>
      </c>
      <c r="H148" s="1090"/>
      <c r="I148" s="1090"/>
      <c r="J148" s="1090"/>
      <c r="K148" s="1090"/>
      <c r="L148" s="1090"/>
      <c r="M148" s="1090"/>
      <c r="N148" s="1090"/>
      <c r="O148" s="1090"/>
      <c r="P148" s="1090"/>
      <c r="Q148" s="1090"/>
      <c r="R148" s="1090"/>
      <c r="S148" s="1090"/>
      <c r="T148" s="1090"/>
      <c r="U148" s="1090"/>
      <c r="V148" s="1090"/>
      <c r="W148" s="1090"/>
      <c r="X148" s="1090"/>
      <c r="Y148" s="1090"/>
      <c r="Z148" s="1090"/>
      <c r="AA148" s="1060" t="str">
        <f>IF(AI149,"○",IF(AI150,"○",IF(AND(AI151,AI152),"○","×")))</f>
        <v>×</v>
      </c>
      <c r="AB148" s="1061"/>
      <c r="AC148" s="1061"/>
      <c r="AD148" s="1079"/>
      <c r="AE148" s="341"/>
      <c r="AF148" s="341"/>
      <c r="AG148" s="341"/>
      <c r="AH148" s="77"/>
      <c r="AI148" s="149" t="b">
        <f>AA148="○"</f>
        <v>0</v>
      </c>
    </row>
    <row r="149" spans="1:35" ht="15" customHeight="1">
      <c r="A149" s="1088"/>
      <c r="B149" s="1089"/>
      <c r="C149" s="1089"/>
      <c r="D149" s="1089"/>
      <c r="E149" s="1089"/>
      <c r="F149" s="1126" t="s">
        <v>288</v>
      </c>
      <c r="G149" s="1127"/>
      <c r="H149" s="1318" t="s">
        <v>443</v>
      </c>
      <c r="I149" s="1318"/>
      <c r="J149" s="1318"/>
      <c r="K149" s="1318"/>
      <c r="L149" s="1318"/>
      <c r="M149" s="1318"/>
      <c r="N149" s="1318"/>
      <c r="O149" s="1318"/>
      <c r="P149" s="1318"/>
      <c r="Q149" s="1318"/>
      <c r="R149" s="1318"/>
      <c r="S149" s="1318"/>
      <c r="T149" s="1318"/>
      <c r="U149" s="1318"/>
      <c r="V149" s="1318"/>
      <c r="W149" s="1318"/>
      <c r="X149" s="1318"/>
      <c r="Y149" s="1318"/>
      <c r="Z149" s="1318"/>
      <c r="AA149" s="1217"/>
      <c r="AB149" s="1218"/>
      <c r="AC149" s="1218"/>
      <c r="AD149" s="1219"/>
      <c r="AE149" s="341"/>
      <c r="AF149" s="341"/>
      <c r="AG149" s="341"/>
      <c r="AH149" s="77"/>
      <c r="AI149" s="149" t="b">
        <f>AA149="○"</f>
        <v>0</v>
      </c>
    </row>
    <row r="150" spans="1:35" ht="39.950000000000003" customHeight="1">
      <c r="A150" s="1088"/>
      <c r="B150" s="1089"/>
      <c r="C150" s="1089"/>
      <c r="D150" s="1089"/>
      <c r="E150" s="1089"/>
      <c r="F150" s="1088" t="s">
        <v>69</v>
      </c>
      <c r="G150" s="1089"/>
      <c r="H150" s="1196" t="s">
        <v>465</v>
      </c>
      <c r="I150" s="1196"/>
      <c r="J150" s="1196"/>
      <c r="K150" s="1196"/>
      <c r="L150" s="1196"/>
      <c r="M150" s="1196"/>
      <c r="N150" s="1196"/>
      <c r="O150" s="1196"/>
      <c r="P150" s="1196"/>
      <c r="Q150" s="1196"/>
      <c r="R150" s="1196"/>
      <c r="S150" s="1196"/>
      <c r="T150" s="1196"/>
      <c r="U150" s="1196"/>
      <c r="V150" s="1196"/>
      <c r="W150" s="1196"/>
      <c r="X150" s="1196"/>
      <c r="Y150" s="1196"/>
      <c r="Z150" s="1196"/>
      <c r="AA150" s="1217"/>
      <c r="AB150" s="1218"/>
      <c r="AC150" s="1218"/>
      <c r="AD150" s="1219"/>
      <c r="AE150" s="341"/>
      <c r="AF150" s="341"/>
      <c r="AG150" s="341"/>
      <c r="AH150" s="77"/>
      <c r="AI150" s="149" t="b">
        <f>AA150="○"</f>
        <v>0</v>
      </c>
    </row>
    <row r="151" spans="1:35" ht="75" customHeight="1">
      <c r="A151" s="1088"/>
      <c r="B151" s="1089"/>
      <c r="C151" s="1089"/>
      <c r="D151" s="1089"/>
      <c r="E151" s="1089"/>
      <c r="F151" s="1209" t="s">
        <v>70</v>
      </c>
      <c r="G151" s="1210"/>
      <c r="H151" s="1196" t="s">
        <v>466</v>
      </c>
      <c r="I151" s="1196"/>
      <c r="J151" s="1196"/>
      <c r="K151" s="1196"/>
      <c r="L151" s="1196"/>
      <c r="M151" s="1196"/>
      <c r="N151" s="1196"/>
      <c r="O151" s="1196"/>
      <c r="P151" s="1196"/>
      <c r="Q151" s="1196"/>
      <c r="R151" s="1196"/>
      <c r="S151" s="1196"/>
      <c r="T151" s="1196"/>
      <c r="U151" s="1196"/>
      <c r="V151" s="1196"/>
      <c r="W151" s="1196"/>
      <c r="X151" s="1196"/>
      <c r="Y151" s="1196"/>
      <c r="Z151" s="1196"/>
      <c r="AA151" s="1204"/>
      <c r="AB151" s="1205"/>
      <c r="AC151" s="1205"/>
      <c r="AD151" s="1206"/>
      <c r="AE151" s="341"/>
      <c r="AF151" s="341"/>
      <c r="AG151" s="341"/>
      <c r="AH151" s="77"/>
      <c r="AI151" s="149" t="b">
        <f>AA151="○"</f>
        <v>0</v>
      </c>
    </row>
    <row r="152" spans="1:35" ht="15" customHeight="1">
      <c r="A152" s="1088"/>
      <c r="B152" s="1089"/>
      <c r="C152" s="1089"/>
      <c r="D152" s="1089"/>
      <c r="E152" s="1089"/>
      <c r="F152" s="1197"/>
      <c r="G152" s="1089"/>
      <c r="H152" s="1245" t="s">
        <v>131</v>
      </c>
      <c r="I152" s="1245"/>
      <c r="J152" s="1245"/>
      <c r="K152" s="1245"/>
      <c r="L152" s="1250"/>
      <c r="M152" s="1250"/>
      <c r="N152" s="1250"/>
      <c r="O152" s="1250"/>
      <c r="P152" s="1250"/>
      <c r="Q152" s="1250"/>
      <c r="R152" s="1245" t="s">
        <v>289</v>
      </c>
      <c r="S152" s="1245"/>
      <c r="T152" s="1245"/>
      <c r="U152" s="1245"/>
      <c r="V152" s="1246"/>
      <c r="W152" s="1246"/>
      <c r="X152" s="651" t="s">
        <v>10</v>
      </c>
      <c r="Y152" s="773"/>
      <c r="Z152" s="652" t="s">
        <v>132</v>
      </c>
      <c r="AA152" s="1102"/>
      <c r="AB152" s="1103"/>
      <c r="AC152" s="1103"/>
      <c r="AD152" s="1104"/>
      <c r="AE152" s="341"/>
      <c r="AF152" s="341"/>
      <c r="AG152" s="341"/>
      <c r="AH152" s="77"/>
      <c r="AI152" s="149" t="b">
        <f>AND(L152&lt;&gt;0,V152&lt;&gt;0,Y152&lt;&gt;0)</f>
        <v>0</v>
      </c>
    </row>
    <row r="153" spans="1:35" ht="15" customHeight="1">
      <c r="A153" s="1088"/>
      <c r="B153" s="1089"/>
      <c r="C153" s="1089"/>
      <c r="D153" s="1089"/>
      <c r="E153" s="1089"/>
      <c r="F153" s="763">
        <v>2</v>
      </c>
      <c r="G153" s="1090" t="s">
        <v>521</v>
      </c>
      <c r="H153" s="1090"/>
      <c r="I153" s="1090"/>
      <c r="J153" s="1090"/>
      <c r="K153" s="1090"/>
      <c r="L153" s="1090"/>
      <c r="M153" s="1090"/>
      <c r="N153" s="1090"/>
      <c r="O153" s="1090"/>
      <c r="P153" s="1090"/>
      <c r="Q153" s="1090"/>
      <c r="R153" s="1090"/>
      <c r="S153" s="1090"/>
      <c r="T153" s="1090"/>
      <c r="U153" s="1090"/>
      <c r="V153" s="1090"/>
      <c r="W153" s="1090"/>
      <c r="X153" s="1090"/>
      <c r="Y153" s="1090"/>
      <c r="Z153" s="1090"/>
      <c r="AA153" s="1204"/>
      <c r="AB153" s="1205"/>
      <c r="AC153" s="1205"/>
      <c r="AD153" s="1206"/>
      <c r="AE153" s="341"/>
      <c r="AF153" s="341"/>
      <c r="AG153" s="341"/>
      <c r="AH153" s="77"/>
      <c r="AI153" s="149" t="b">
        <f>AA153="○"</f>
        <v>0</v>
      </c>
    </row>
    <row r="154" spans="1:35" ht="15" customHeight="1">
      <c r="A154" s="1088"/>
      <c r="B154" s="1089"/>
      <c r="C154" s="1089"/>
      <c r="D154" s="1089"/>
      <c r="E154" s="1089"/>
      <c r="F154" s="770"/>
      <c r="G154" s="1196" t="s">
        <v>908</v>
      </c>
      <c r="H154" s="1196"/>
      <c r="I154" s="1196"/>
      <c r="J154" s="1196"/>
      <c r="K154" s="1196"/>
      <c r="L154" s="1196"/>
      <c r="M154" s="1196"/>
      <c r="N154" s="1196"/>
      <c r="O154" s="1196"/>
      <c r="P154" s="1196"/>
      <c r="Q154" s="1196"/>
      <c r="R154" s="1196"/>
      <c r="S154" s="1196"/>
      <c r="T154" s="1196"/>
      <c r="U154" s="1196"/>
      <c r="V154" s="1196"/>
      <c r="W154" s="1196"/>
      <c r="X154" s="1196"/>
      <c r="Y154" s="1196"/>
      <c r="Z154" s="1238"/>
      <c r="AA154" s="1251" t="str">
        <f>IF(AI154,"○","")</f>
        <v/>
      </c>
      <c r="AB154" s="1252"/>
      <c r="AC154" s="1252"/>
      <c r="AD154" s="1253"/>
      <c r="AE154" s="341"/>
      <c r="AF154" s="341"/>
      <c r="AG154" s="341"/>
      <c r="AH154" s="77"/>
      <c r="AI154" s="149" t="b">
        <f>AND(AI155,AI156,AI157)</f>
        <v>0</v>
      </c>
    </row>
    <row r="155" spans="1:35" ht="15" customHeight="1">
      <c r="A155" s="1088"/>
      <c r="B155" s="1089"/>
      <c r="C155" s="1089"/>
      <c r="D155" s="1089"/>
      <c r="E155" s="1089"/>
      <c r="F155" s="1195" t="s">
        <v>117</v>
      </c>
      <c r="G155" s="1191"/>
      <c r="H155" s="1371" t="s">
        <v>909</v>
      </c>
      <c r="I155" s="1371"/>
      <c r="J155" s="1371"/>
      <c r="K155" s="1371"/>
      <c r="L155" s="1371"/>
      <c r="M155" s="1371"/>
      <c r="N155" s="1371"/>
      <c r="O155" s="1371"/>
      <c r="P155" s="1371"/>
      <c r="Q155" s="1371"/>
      <c r="R155" s="1371"/>
      <c r="S155" s="1371"/>
      <c r="T155" s="1371"/>
      <c r="U155" s="1371"/>
      <c r="V155" s="1371"/>
      <c r="W155" s="1371"/>
      <c r="X155" s="1371"/>
      <c r="Y155" s="1371"/>
      <c r="Z155" s="1372"/>
      <c r="AA155" s="1254"/>
      <c r="AB155" s="1255"/>
      <c r="AC155" s="1255"/>
      <c r="AD155" s="1256"/>
      <c r="AE155" s="341"/>
      <c r="AF155" s="341"/>
      <c r="AG155" s="341"/>
      <c r="AH155" s="77"/>
      <c r="AI155" s="149" t="b">
        <f t="shared" ref="AI155:AI157" si="19">AA155="○"</f>
        <v>0</v>
      </c>
    </row>
    <row r="156" spans="1:35" ht="15" customHeight="1">
      <c r="A156" s="1088"/>
      <c r="B156" s="1089"/>
      <c r="C156" s="1089"/>
      <c r="D156" s="1089"/>
      <c r="E156" s="1089"/>
      <c r="F156" s="1195" t="s">
        <v>69</v>
      </c>
      <c r="G156" s="1191"/>
      <c r="H156" s="1371" t="s">
        <v>910</v>
      </c>
      <c r="I156" s="1371"/>
      <c r="J156" s="1371"/>
      <c r="K156" s="1371"/>
      <c r="L156" s="1371"/>
      <c r="M156" s="1371"/>
      <c r="N156" s="1371"/>
      <c r="O156" s="1371"/>
      <c r="P156" s="1371"/>
      <c r="Q156" s="1371"/>
      <c r="R156" s="1371"/>
      <c r="S156" s="1371"/>
      <c r="T156" s="1371"/>
      <c r="U156" s="1371"/>
      <c r="V156" s="1371"/>
      <c r="W156" s="1371"/>
      <c r="X156" s="1371"/>
      <c r="Y156" s="1371"/>
      <c r="Z156" s="1372"/>
      <c r="AA156" s="1254"/>
      <c r="AB156" s="1255"/>
      <c r="AC156" s="1255"/>
      <c r="AD156" s="1256"/>
      <c r="AE156" s="341"/>
      <c r="AF156" s="341"/>
      <c r="AG156" s="341"/>
      <c r="AH156" s="77"/>
      <c r="AI156" s="149" t="b">
        <f t="shared" si="19"/>
        <v>0</v>
      </c>
    </row>
    <row r="157" spans="1:35" ht="24.95" customHeight="1">
      <c r="A157" s="1088"/>
      <c r="B157" s="1089"/>
      <c r="C157" s="1089"/>
      <c r="D157" s="1089"/>
      <c r="E157" s="1089"/>
      <c r="F157" s="1370" t="s">
        <v>70</v>
      </c>
      <c r="G157" s="1193"/>
      <c r="H157" s="1373" t="s">
        <v>911</v>
      </c>
      <c r="I157" s="1373"/>
      <c r="J157" s="1373"/>
      <c r="K157" s="1373"/>
      <c r="L157" s="1373"/>
      <c r="M157" s="1373"/>
      <c r="N157" s="1373"/>
      <c r="O157" s="1373"/>
      <c r="P157" s="1373"/>
      <c r="Q157" s="1373"/>
      <c r="R157" s="1373"/>
      <c r="S157" s="1373"/>
      <c r="T157" s="1373"/>
      <c r="U157" s="1373"/>
      <c r="V157" s="1373"/>
      <c r="W157" s="1373"/>
      <c r="X157" s="1373"/>
      <c r="Y157" s="1373"/>
      <c r="Z157" s="1374"/>
      <c r="AA157" s="1257"/>
      <c r="AB157" s="1258"/>
      <c r="AC157" s="1258"/>
      <c r="AD157" s="1259"/>
      <c r="AE157" s="341"/>
      <c r="AF157" s="341"/>
      <c r="AG157" s="341"/>
      <c r="AH157" s="77"/>
      <c r="AI157" s="149" t="b">
        <f t="shared" si="19"/>
        <v>0</v>
      </c>
    </row>
    <row r="158" spans="1:35" ht="15" customHeight="1">
      <c r="A158" s="1088"/>
      <c r="B158" s="1089"/>
      <c r="C158" s="1089"/>
      <c r="D158" s="1089"/>
      <c r="E158" s="1089"/>
      <c r="F158" s="763">
        <v>3</v>
      </c>
      <c r="G158" s="1202" t="s">
        <v>522</v>
      </c>
      <c r="H158" s="1202"/>
      <c r="I158" s="1202"/>
      <c r="J158" s="1202"/>
      <c r="K158" s="1202"/>
      <c r="L158" s="1202"/>
      <c r="M158" s="1202"/>
      <c r="N158" s="1202"/>
      <c r="O158" s="1202"/>
      <c r="P158" s="1202"/>
      <c r="Q158" s="1202"/>
      <c r="R158" s="1202"/>
      <c r="S158" s="1202"/>
      <c r="T158" s="1202"/>
      <c r="U158" s="1202"/>
      <c r="V158" s="1202"/>
      <c r="W158" s="1202"/>
      <c r="X158" s="1202"/>
      <c r="Y158" s="1202"/>
      <c r="Z158" s="1202"/>
      <c r="AA158" s="1182"/>
      <c r="AB158" s="1142"/>
      <c r="AC158" s="1142"/>
      <c r="AD158" s="1183"/>
      <c r="AE158" s="341"/>
      <c r="AF158" s="341"/>
      <c r="AG158" s="341"/>
      <c r="AH158" s="77"/>
      <c r="AI158" s="149" t="b">
        <f>AA158="○"</f>
        <v>0</v>
      </c>
    </row>
    <row r="159" spans="1:35" ht="15" customHeight="1">
      <c r="A159" s="1088"/>
      <c r="B159" s="1089"/>
      <c r="C159" s="1089"/>
      <c r="D159" s="1089"/>
      <c r="E159" s="1089"/>
      <c r="F159" s="763">
        <v>4</v>
      </c>
      <c r="G159" s="1090" t="s">
        <v>523</v>
      </c>
      <c r="H159" s="1090"/>
      <c r="I159" s="1090"/>
      <c r="J159" s="1090"/>
      <c r="K159" s="1090"/>
      <c r="L159" s="1090"/>
      <c r="M159" s="1090"/>
      <c r="N159" s="1090"/>
      <c r="O159" s="1090"/>
      <c r="P159" s="1090"/>
      <c r="Q159" s="1090"/>
      <c r="R159" s="1090"/>
      <c r="S159" s="1090"/>
      <c r="T159" s="1090"/>
      <c r="U159" s="1090"/>
      <c r="V159" s="1090"/>
      <c r="W159" s="1090"/>
      <c r="X159" s="1090"/>
      <c r="Y159" s="1090"/>
      <c r="Z159" s="1090"/>
      <c r="AA159" s="1060" t="str">
        <f>IF(AA160="○","○",IF(AA161="○","○","×"))</f>
        <v>×</v>
      </c>
      <c r="AB159" s="1061"/>
      <c r="AC159" s="1061"/>
      <c r="AD159" s="1079"/>
      <c r="AE159" s="341"/>
      <c r="AF159" s="341"/>
      <c r="AG159" s="341"/>
      <c r="AH159" s="77"/>
      <c r="AI159" s="149" t="b">
        <f>AA159="○"</f>
        <v>0</v>
      </c>
    </row>
    <row r="160" spans="1:35" ht="15" customHeight="1">
      <c r="A160" s="1088"/>
      <c r="B160" s="1089"/>
      <c r="C160" s="1089"/>
      <c r="D160" s="1089"/>
      <c r="E160" s="1089"/>
      <c r="F160" s="1126" t="s">
        <v>288</v>
      </c>
      <c r="G160" s="1127"/>
      <c r="H160" s="1128" t="s">
        <v>291</v>
      </c>
      <c r="I160" s="1128"/>
      <c r="J160" s="1128"/>
      <c r="K160" s="1128"/>
      <c r="L160" s="1128"/>
      <c r="M160" s="1128"/>
      <c r="N160" s="1128"/>
      <c r="O160" s="1128"/>
      <c r="P160" s="1128"/>
      <c r="Q160" s="1128"/>
      <c r="R160" s="1128"/>
      <c r="S160" s="1128"/>
      <c r="T160" s="1128"/>
      <c r="U160" s="1128"/>
      <c r="V160" s="1128"/>
      <c r="W160" s="1128"/>
      <c r="X160" s="1128"/>
      <c r="Y160" s="1128"/>
      <c r="Z160" s="1287"/>
      <c r="AA160" s="1217"/>
      <c r="AB160" s="1218"/>
      <c r="AC160" s="1218"/>
      <c r="AD160" s="1219"/>
      <c r="AE160" s="341"/>
      <c r="AF160" s="341"/>
      <c r="AG160" s="341"/>
      <c r="AH160" s="77"/>
      <c r="AI160" s="72"/>
    </row>
    <row r="161" spans="1:35" ht="24.95" customHeight="1">
      <c r="A161" s="1088"/>
      <c r="B161" s="1089"/>
      <c r="C161" s="1089"/>
      <c r="D161" s="1089"/>
      <c r="E161" s="1089"/>
      <c r="F161" s="1123" t="s">
        <v>290</v>
      </c>
      <c r="G161" s="1124"/>
      <c r="H161" s="1125" t="s">
        <v>292</v>
      </c>
      <c r="I161" s="1125"/>
      <c r="J161" s="1125"/>
      <c r="K161" s="1125"/>
      <c r="L161" s="1125"/>
      <c r="M161" s="1125"/>
      <c r="N161" s="1125"/>
      <c r="O161" s="1125"/>
      <c r="P161" s="1125"/>
      <c r="Q161" s="1125"/>
      <c r="R161" s="1125"/>
      <c r="S161" s="1125"/>
      <c r="T161" s="1125"/>
      <c r="U161" s="1125"/>
      <c r="V161" s="1125"/>
      <c r="W161" s="1125"/>
      <c r="X161" s="1125"/>
      <c r="Y161" s="1125"/>
      <c r="Z161" s="1207"/>
      <c r="AA161" s="1217"/>
      <c r="AB161" s="1218"/>
      <c r="AC161" s="1218"/>
      <c r="AD161" s="1219"/>
      <c r="AE161" s="341"/>
      <c r="AF161" s="341"/>
      <c r="AG161" s="341"/>
      <c r="AH161" s="77"/>
      <c r="AI161" s="72"/>
    </row>
    <row r="162" spans="1:35" ht="15" customHeight="1">
      <c r="A162" s="1197"/>
      <c r="B162" s="1198"/>
      <c r="C162" s="1198"/>
      <c r="D162" s="1198"/>
      <c r="E162" s="1198"/>
      <c r="F162" s="763">
        <v>5</v>
      </c>
      <c r="G162" s="1202" t="s">
        <v>813</v>
      </c>
      <c r="H162" s="1202"/>
      <c r="I162" s="1202"/>
      <c r="J162" s="1202"/>
      <c r="K162" s="1202"/>
      <c r="L162" s="1202"/>
      <c r="M162" s="1202"/>
      <c r="N162" s="1202"/>
      <c r="O162" s="1202"/>
      <c r="P162" s="1202"/>
      <c r="Q162" s="1202"/>
      <c r="R162" s="1202"/>
      <c r="S162" s="1202"/>
      <c r="T162" s="1202"/>
      <c r="U162" s="1202"/>
      <c r="V162" s="1202"/>
      <c r="W162" s="1202"/>
      <c r="X162" s="1202"/>
      <c r="Y162" s="1202"/>
      <c r="Z162" s="1203"/>
      <c r="AA162" s="1064" t="str">
        <f>【様式５】職員数算出表!O22</f>
        <v>×</v>
      </c>
      <c r="AB162" s="1065"/>
      <c r="AC162" s="1065"/>
      <c r="AD162" s="1066"/>
      <c r="AE162" s="341"/>
      <c r="AF162" s="341"/>
      <c r="AG162" s="341"/>
      <c r="AH162" s="77"/>
      <c r="AI162" s="149" t="b">
        <f>(AA162="○")</f>
        <v>0</v>
      </c>
    </row>
    <row r="163" spans="1:35" ht="15" customHeight="1">
      <c r="A163" s="1060" t="s">
        <v>35</v>
      </c>
      <c r="B163" s="1061"/>
      <c r="C163" s="1061"/>
      <c r="D163" s="1061"/>
      <c r="E163" s="1079"/>
      <c r="F163" s="1081" t="s">
        <v>436</v>
      </c>
      <c r="G163" s="1081"/>
      <c r="H163" s="1081"/>
      <c r="I163" s="1081"/>
      <c r="J163" s="1081"/>
      <c r="K163" s="1081"/>
      <c r="L163" s="1081"/>
      <c r="M163" s="1081"/>
      <c r="N163" s="1081"/>
      <c r="O163" s="1081"/>
      <c r="P163" s="1081"/>
      <c r="Q163" s="1081"/>
      <c r="R163" s="1081"/>
      <c r="S163" s="1081"/>
      <c r="T163" s="1081"/>
      <c r="U163" s="1081"/>
      <c r="V163" s="1081"/>
      <c r="W163" s="1081"/>
      <c r="X163" s="1081"/>
      <c r="Y163" s="1081"/>
      <c r="Z163" s="1081"/>
      <c r="AA163" s="1081"/>
      <c r="AB163" s="1081"/>
      <c r="AC163" s="1081"/>
      <c r="AD163" s="1081"/>
      <c r="AE163" s="341"/>
      <c r="AF163" s="341"/>
      <c r="AG163" s="341"/>
      <c r="AH163" s="77"/>
    </row>
    <row r="164" spans="1:35" ht="15" customHeight="1">
      <c r="A164" s="1316"/>
      <c r="B164" s="1097"/>
      <c r="C164" s="1097"/>
      <c r="D164" s="1097"/>
      <c r="E164" s="1317"/>
      <c r="F164" s="1243" t="s">
        <v>130</v>
      </c>
      <c r="G164" s="1098"/>
      <c r="H164" s="1098"/>
      <c r="I164" s="1098"/>
      <c r="J164" s="1098"/>
      <c r="K164" s="1098"/>
      <c r="L164" s="1098"/>
      <c r="M164" s="1098"/>
      <c r="N164" s="1098"/>
      <c r="O164" s="1098"/>
      <c r="P164" s="1098"/>
      <c r="Q164" s="1098"/>
      <c r="R164" s="1098"/>
      <c r="S164" s="1098"/>
      <c r="T164" s="1098"/>
      <c r="U164" s="1098"/>
      <c r="V164" s="1098"/>
      <c r="W164" s="1098"/>
      <c r="X164" s="1098"/>
      <c r="Y164" s="1098"/>
      <c r="Z164" s="1098"/>
      <c r="AA164" s="1098"/>
      <c r="AB164" s="1098"/>
      <c r="AC164" s="1098"/>
      <c r="AD164" s="1234"/>
      <c r="AE164" s="341"/>
      <c r="AF164" s="341"/>
      <c r="AG164" s="341"/>
      <c r="AH164" s="77"/>
    </row>
    <row r="165" spans="1:35" ht="24.95" customHeight="1">
      <c r="A165" s="1316"/>
      <c r="B165" s="1097"/>
      <c r="C165" s="1097"/>
      <c r="D165" s="1097"/>
      <c r="E165" s="1317"/>
      <c r="F165" s="1266" t="s">
        <v>423</v>
      </c>
      <c r="G165" s="1266"/>
      <c r="H165" s="1266"/>
      <c r="I165" s="1266"/>
      <c r="J165" s="1266"/>
      <c r="K165" s="1266"/>
      <c r="L165" s="1266"/>
      <c r="M165" s="1266"/>
      <c r="N165" s="1266"/>
      <c r="O165" s="1266"/>
      <c r="P165" s="1266"/>
      <c r="Q165" s="1266"/>
      <c r="R165" s="1266"/>
      <c r="S165" s="1266"/>
      <c r="T165" s="1266"/>
      <c r="U165" s="1266"/>
      <c r="V165" s="1266"/>
      <c r="W165" s="1266"/>
      <c r="X165" s="1266"/>
      <c r="Y165" s="1266"/>
      <c r="Z165" s="1266"/>
      <c r="AA165" s="1266"/>
      <c r="AB165" s="1266"/>
      <c r="AC165" s="1266"/>
      <c r="AD165" s="1266"/>
      <c r="AE165" s="341"/>
      <c r="AF165" s="341"/>
      <c r="AG165" s="341"/>
      <c r="AH165" s="77"/>
    </row>
    <row r="166" spans="1:35" ht="15" customHeight="1">
      <c r="A166" s="1316"/>
      <c r="B166" s="1097"/>
      <c r="C166" s="1097"/>
      <c r="D166" s="1097"/>
      <c r="E166" s="1317"/>
      <c r="F166" s="1266" t="s">
        <v>293</v>
      </c>
      <c r="G166" s="1266"/>
      <c r="H166" s="1266"/>
      <c r="I166" s="1266"/>
      <c r="J166" s="1266"/>
      <c r="K166" s="1266"/>
      <c r="L166" s="1266"/>
      <c r="M166" s="1266"/>
      <c r="N166" s="1266"/>
      <c r="O166" s="1266"/>
      <c r="P166" s="1266"/>
      <c r="Q166" s="1266"/>
      <c r="R166" s="1266"/>
      <c r="S166" s="1266"/>
      <c r="T166" s="1266"/>
      <c r="U166" s="1266"/>
      <c r="V166" s="1266"/>
      <c r="W166" s="1266"/>
      <c r="X166" s="1266"/>
      <c r="Y166" s="1266"/>
      <c r="Z166" s="1266"/>
      <c r="AA166" s="1266"/>
      <c r="AB166" s="1266"/>
      <c r="AC166" s="1266"/>
      <c r="AD166" s="1266"/>
      <c r="AE166" s="341"/>
      <c r="AF166" s="341"/>
      <c r="AG166" s="341"/>
      <c r="AH166" s="77"/>
    </row>
    <row r="167" spans="1:35" ht="15" customHeight="1">
      <c r="A167" s="1062"/>
      <c r="B167" s="1063"/>
      <c r="C167" s="1063"/>
      <c r="D167" s="1063"/>
      <c r="E167" s="1080"/>
      <c r="F167" s="1082" t="s">
        <v>437</v>
      </c>
      <c r="G167" s="1082"/>
      <c r="H167" s="1082"/>
      <c r="I167" s="1082"/>
      <c r="J167" s="1082"/>
      <c r="K167" s="1082"/>
      <c r="L167" s="1082"/>
      <c r="M167" s="1082"/>
      <c r="N167" s="1082"/>
      <c r="O167" s="1082"/>
      <c r="P167" s="1082"/>
      <c r="Q167" s="1082"/>
      <c r="R167" s="1082"/>
      <c r="S167" s="1082"/>
      <c r="T167" s="1082"/>
      <c r="U167" s="1082"/>
      <c r="V167" s="1082"/>
      <c r="W167" s="1082"/>
      <c r="X167" s="1082"/>
      <c r="Y167" s="1082"/>
      <c r="Z167" s="1082"/>
      <c r="AA167" s="1082"/>
      <c r="AB167" s="1082"/>
      <c r="AC167" s="1082"/>
      <c r="AD167" s="1082"/>
      <c r="AE167" s="341"/>
      <c r="AF167" s="341"/>
      <c r="AG167" s="341"/>
      <c r="AH167" s="77"/>
    </row>
    <row r="168" spans="1:35" ht="15" customHeight="1">
      <c r="A168" s="341" t="s">
        <v>128</v>
      </c>
      <c r="B168" s="341"/>
      <c r="C168" s="341"/>
      <c r="D168" s="341"/>
      <c r="E168" s="341"/>
      <c r="F168" s="341"/>
      <c r="G168" s="341"/>
      <c r="H168" s="341"/>
      <c r="I168" s="341"/>
      <c r="J168" s="341"/>
      <c r="K168" s="341"/>
      <c r="L168" s="341"/>
      <c r="M168" s="341"/>
      <c r="N168" s="341"/>
      <c r="O168" s="341"/>
      <c r="P168" s="341"/>
      <c r="Q168" s="341"/>
      <c r="R168" s="341"/>
      <c r="S168" s="341"/>
      <c r="T168" s="341"/>
      <c r="U168" s="341"/>
      <c r="V168" s="341"/>
      <c r="W168" s="341"/>
      <c r="X168" s="341"/>
      <c r="Y168" s="341"/>
      <c r="Z168" s="341"/>
      <c r="AA168" s="341"/>
      <c r="AB168" s="341"/>
      <c r="AC168" s="341"/>
      <c r="AD168" s="341"/>
      <c r="AE168" s="341"/>
      <c r="AF168" s="341"/>
      <c r="AG168" s="341"/>
    </row>
    <row r="169" spans="1:35" ht="15" customHeight="1">
      <c r="A169" s="341"/>
      <c r="B169" s="1098" t="s">
        <v>129</v>
      </c>
      <c r="C169" s="1098"/>
      <c r="D169" s="1098"/>
      <c r="E169" s="1098"/>
      <c r="F169" s="1098"/>
      <c r="G169" s="1098"/>
      <c r="H169" s="1098"/>
      <c r="I169" s="1098"/>
      <c r="J169" s="1098"/>
      <c r="K169" s="1098"/>
      <c r="L169" s="1098"/>
      <c r="M169" s="1098"/>
      <c r="N169" s="1098"/>
      <c r="O169" s="1098"/>
      <c r="P169" s="1098"/>
      <c r="Q169" s="1098"/>
      <c r="R169" s="1098"/>
      <c r="S169" s="1098"/>
      <c r="T169" s="1098"/>
      <c r="U169" s="1098"/>
      <c r="V169" s="1098"/>
      <c r="W169" s="1098"/>
      <c r="X169" s="1098"/>
      <c r="Y169" s="1098"/>
      <c r="Z169" s="1098"/>
      <c r="AA169" s="1098"/>
      <c r="AB169" s="1098"/>
      <c r="AC169" s="1098"/>
      <c r="AD169" s="1098"/>
      <c r="AE169" s="341"/>
      <c r="AF169" s="341"/>
      <c r="AG169" s="341"/>
    </row>
    <row r="170" spans="1:35" ht="15" customHeight="1">
      <c r="A170" s="341"/>
      <c r="B170" s="1098"/>
      <c r="C170" s="1098"/>
      <c r="D170" s="1098"/>
      <c r="E170" s="1098"/>
      <c r="F170" s="1098"/>
      <c r="G170" s="1098"/>
      <c r="H170" s="1098"/>
      <c r="I170" s="1098"/>
      <c r="J170" s="1098"/>
      <c r="K170" s="1098"/>
      <c r="L170" s="1098"/>
      <c r="M170" s="1098"/>
      <c r="N170" s="1098"/>
      <c r="O170" s="1098"/>
      <c r="P170" s="1098"/>
      <c r="Q170" s="1098"/>
      <c r="R170" s="1098"/>
      <c r="S170" s="1098"/>
      <c r="T170" s="1098"/>
      <c r="U170" s="1098"/>
      <c r="V170" s="1098"/>
      <c r="W170" s="1098"/>
      <c r="X170" s="1098"/>
      <c r="Y170" s="1098"/>
      <c r="Z170" s="1098"/>
      <c r="AA170" s="1098"/>
      <c r="AB170" s="1098"/>
      <c r="AC170" s="1098"/>
      <c r="AD170" s="1098"/>
      <c r="AE170" s="341"/>
      <c r="AF170" s="341"/>
      <c r="AG170" s="341"/>
    </row>
    <row r="171" spans="1:35" ht="15" customHeight="1">
      <c r="A171" s="341"/>
      <c r="B171" s="1098"/>
      <c r="C171" s="1098"/>
      <c r="D171" s="1098"/>
      <c r="E171" s="1098"/>
      <c r="F171" s="1098"/>
      <c r="G171" s="1098"/>
      <c r="H171" s="1098"/>
      <c r="I171" s="1098"/>
      <c r="J171" s="1098"/>
      <c r="K171" s="1098"/>
      <c r="L171" s="1098"/>
      <c r="M171" s="1098"/>
      <c r="N171" s="1098"/>
      <c r="O171" s="1098"/>
      <c r="P171" s="1098"/>
      <c r="Q171" s="1098"/>
      <c r="R171" s="1098"/>
      <c r="S171" s="1098"/>
      <c r="T171" s="1098"/>
      <c r="U171" s="1098"/>
      <c r="V171" s="1098"/>
      <c r="W171" s="1098"/>
      <c r="X171" s="1098"/>
      <c r="Y171" s="1098"/>
      <c r="Z171" s="1098"/>
      <c r="AA171" s="1098"/>
      <c r="AB171" s="1098"/>
      <c r="AC171" s="1098"/>
      <c r="AD171" s="1098"/>
      <c r="AE171" s="341"/>
      <c r="AF171" s="341"/>
      <c r="AG171" s="341"/>
    </row>
    <row r="172" spans="1:35" ht="15" customHeight="1">
      <c r="A172" s="1267" t="s">
        <v>151</v>
      </c>
      <c r="B172" s="1267"/>
      <c r="C172" s="1267"/>
      <c r="D172" s="1267"/>
      <c r="E172" s="1267"/>
      <c r="F172" s="1267"/>
      <c r="G172" s="1267"/>
      <c r="H172" s="1267"/>
      <c r="I172" s="1267"/>
      <c r="J172" s="1267"/>
      <c r="K172" s="1267"/>
      <c r="L172" s="1267"/>
      <c r="M172" s="1267"/>
      <c r="N172" s="1267"/>
      <c r="O172" s="1267"/>
      <c r="P172" s="1267"/>
      <c r="Q172" s="1267"/>
      <c r="R172" s="1267"/>
      <c r="S172" s="1267"/>
      <c r="T172" s="1267"/>
      <c r="U172" s="1267"/>
      <c r="V172" s="1267"/>
      <c r="W172" s="1267"/>
      <c r="X172" s="1267"/>
      <c r="Y172" s="1267"/>
      <c r="Z172" s="1267"/>
      <c r="AA172" s="1267"/>
      <c r="AB172" s="1267"/>
      <c r="AC172" s="1267"/>
      <c r="AD172" s="1267"/>
      <c r="AE172" s="341"/>
      <c r="AF172" s="341"/>
      <c r="AG172" s="341"/>
    </row>
    <row r="173" spans="1:35" ht="15" customHeight="1">
      <c r="A173" s="341"/>
      <c r="B173" s="1267" t="s">
        <v>152</v>
      </c>
      <c r="C173" s="1267"/>
      <c r="D173" s="1267"/>
      <c r="E173" s="1267"/>
      <c r="F173" s="1267"/>
      <c r="G173" s="1267"/>
      <c r="H173" s="1267"/>
      <c r="I173" s="1267"/>
      <c r="J173" s="1267"/>
      <c r="K173" s="1267"/>
      <c r="L173" s="1267"/>
      <c r="M173" s="1267"/>
      <c r="N173" s="1267"/>
      <c r="O173" s="1267"/>
      <c r="P173" s="1267"/>
      <c r="Q173" s="1267"/>
      <c r="R173" s="1267"/>
      <c r="S173" s="1267"/>
      <c r="T173" s="1267"/>
      <c r="U173" s="1267"/>
      <c r="V173" s="1267"/>
      <c r="W173" s="1267"/>
      <c r="X173" s="1267"/>
      <c r="Y173" s="1267"/>
      <c r="Z173" s="1267"/>
      <c r="AA173" s="1267"/>
      <c r="AB173" s="1267"/>
      <c r="AC173" s="1267"/>
      <c r="AD173" s="1267"/>
      <c r="AE173" s="341"/>
      <c r="AF173" s="341"/>
      <c r="AG173" s="341"/>
    </row>
    <row r="174" spans="1:35" ht="24.95" customHeight="1">
      <c r="A174" s="1098" t="s">
        <v>422</v>
      </c>
      <c r="B174" s="1098"/>
      <c r="C174" s="1098"/>
      <c r="D174" s="1098"/>
      <c r="E174" s="1098"/>
      <c r="F174" s="1098"/>
      <c r="G174" s="1098"/>
      <c r="H174" s="1098"/>
      <c r="I174" s="1098"/>
      <c r="J174" s="1098"/>
      <c r="K174" s="1098"/>
      <c r="L174" s="1098"/>
      <c r="M174" s="1098"/>
      <c r="N174" s="1098"/>
      <c r="O174" s="1098"/>
      <c r="P174" s="1098"/>
      <c r="Q174" s="1098"/>
      <c r="R174" s="1098"/>
      <c r="S174" s="1098"/>
      <c r="T174" s="1098"/>
      <c r="U174" s="1098"/>
      <c r="V174" s="1098"/>
      <c r="W174" s="1098"/>
      <c r="X174" s="1098"/>
      <c r="Y174" s="1098"/>
      <c r="Z174" s="1098"/>
      <c r="AA174" s="1098"/>
      <c r="AB174" s="1098"/>
      <c r="AC174" s="1098"/>
      <c r="AD174" s="1098"/>
      <c r="AE174" s="341"/>
      <c r="AF174" s="341"/>
      <c r="AG174" s="341"/>
    </row>
    <row r="175" spans="1:35" ht="15" customHeight="1" thickBot="1">
      <c r="A175" s="617"/>
      <c r="B175" s="617"/>
      <c r="C175" s="617"/>
      <c r="D175" s="617"/>
      <c r="E175" s="617"/>
      <c r="F175" s="617"/>
      <c r="G175" s="617"/>
      <c r="H175" s="617"/>
      <c r="I175" s="617"/>
      <c r="J175" s="617"/>
      <c r="K175" s="617"/>
      <c r="L175" s="617"/>
      <c r="M175" s="617"/>
      <c r="N175" s="617"/>
      <c r="O175" s="617"/>
      <c r="P175" s="617"/>
      <c r="Q175" s="617"/>
      <c r="R175" s="617"/>
      <c r="S175" s="617"/>
      <c r="T175" s="617"/>
      <c r="U175" s="617"/>
      <c r="V175" s="617"/>
      <c r="W175" s="617"/>
      <c r="X175" s="617"/>
      <c r="Y175" s="617"/>
      <c r="Z175" s="617"/>
      <c r="AA175" s="617"/>
      <c r="AB175" s="617"/>
      <c r="AC175" s="617"/>
      <c r="AD175" s="617"/>
      <c r="AE175" s="617"/>
      <c r="AF175" s="617"/>
      <c r="AG175" s="617"/>
      <c r="AH175" s="77"/>
      <c r="AI175" s="77"/>
    </row>
    <row r="176" spans="1:35" ht="15" customHeight="1" thickBot="1">
      <c r="A176" s="1264" t="s">
        <v>472</v>
      </c>
      <c r="B176" s="1264"/>
      <c r="C176" s="1264"/>
      <c r="D176" s="1264"/>
      <c r="E176" s="1264"/>
      <c r="F176" s="1264"/>
      <c r="G176" s="1264"/>
      <c r="H176" s="1264"/>
      <c r="I176" s="1264"/>
      <c r="J176" s="1199" t="str">
        <f>IF(AI179,AA180,"×")</f>
        <v>×</v>
      </c>
      <c r="K176" s="1200"/>
      <c r="L176" s="1200"/>
      <c r="M176" s="1200"/>
      <c r="N176" s="1201"/>
      <c r="O176" s="1096" t="s">
        <v>279</v>
      </c>
      <c r="P176" s="1097"/>
      <c r="Q176" s="1097"/>
      <c r="R176" s="341"/>
      <c r="S176" s="341"/>
      <c r="T176" s="341"/>
      <c r="U176" s="341"/>
      <c r="V176" s="341"/>
      <c r="W176" s="341"/>
      <c r="X176" s="341"/>
      <c r="Y176" s="341"/>
      <c r="Z176" s="341"/>
      <c r="AA176" s="341"/>
      <c r="AB176" s="341"/>
      <c r="AC176" s="341"/>
      <c r="AD176" s="341"/>
      <c r="AE176" s="341"/>
      <c r="AF176" s="341"/>
      <c r="AG176" s="341"/>
    </row>
    <row r="177" spans="1:61" ht="15" customHeight="1">
      <c r="A177" s="653" t="s">
        <v>432</v>
      </c>
      <c r="B177" s="774"/>
      <c r="C177" s="774"/>
      <c r="D177" s="774"/>
      <c r="E177" s="774"/>
      <c r="F177" s="774"/>
      <c r="G177" s="774"/>
      <c r="H177" s="774"/>
      <c r="I177" s="774"/>
      <c r="J177" s="654"/>
      <c r="K177" s="654"/>
      <c r="L177" s="654"/>
      <c r="M177" s="654"/>
      <c r="N177" s="654"/>
      <c r="O177" s="761"/>
      <c r="P177" s="761"/>
      <c r="Q177" s="761"/>
      <c r="R177" s="341"/>
      <c r="S177" s="341"/>
      <c r="T177" s="341"/>
      <c r="U177" s="341"/>
      <c r="V177" s="761"/>
      <c r="W177" s="761"/>
      <c r="X177" s="761"/>
      <c r="Y177" s="761"/>
      <c r="Z177" s="761"/>
      <c r="AA177" s="761"/>
      <c r="AB177" s="761"/>
      <c r="AC177" s="761"/>
      <c r="AD177" s="761"/>
      <c r="AE177" s="341"/>
      <c r="AF177" s="341"/>
      <c r="AG177" s="341"/>
    </row>
    <row r="178" spans="1:61" ht="15" customHeight="1">
      <c r="A178" s="1060" t="s">
        <v>56</v>
      </c>
      <c r="B178" s="1061"/>
      <c r="C178" s="1061"/>
      <c r="D178" s="1061"/>
      <c r="E178" s="1061"/>
      <c r="F178" s="1066" t="s">
        <v>79</v>
      </c>
      <c r="G178" s="1094"/>
      <c r="H178" s="1094"/>
      <c r="I178" s="1094"/>
      <c r="J178" s="1094"/>
      <c r="K178" s="1094"/>
      <c r="L178" s="1094"/>
      <c r="M178" s="1094"/>
      <c r="N178" s="1094"/>
      <c r="O178" s="1094"/>
      <c r="P178" s="1094"/>
      <c r="Q178" s="1094"/>
      <c r="R178" s="1094"/>
      <c r="S178" s="1094"/>
      <c r="T178" s="1094"/>
      <c r="U178" s="1094"/>
      <c r="V178" s="1094"/>
      <c r="W178" s="1094"/>
      <c r="X178" s="1094"/>
      <c r="Y178" s="1094"/>
      <c r="Z178" s="1094"/>
      <c r="AA178" s="1094" t="s">
        <v>281</v>
      </c>
      <c r="AB178" s="1094"/>
      <c r="AC178" s="1094"/>
      <c r="AD178" s="1094"/>
      <c r="AE178" s="341"/>
      <c r="AF178" s="341"/>
      <c r="AG178" s="341"/>
      <c r="AH178" s="77"/>
    </row>
    <row r="179" spans="1:61" ht="15" customHeight="1">
      <c r="A179" s="1316"/>
      <c r="B179" s="1097"/>
      <c r="C179" s="1097"/>
      <c r="D179" s="1097"/>
      <c r="E179" s="1097"/>
      <c r="F179" s="1322" t="s">
        <v>430</v>
      </c>
      <c r="G179" s="1323"/>
      <c r="H179" s="1323"/>
      <c r="I179" s="1323"/>
      <c r="J179" s="1323"/>
      <c r="K179" s="1323"/>
      <c r="L179" s="1323"/>
      <c r="M179" s="1323"/>
      <c r="N179" s="1323"/>
      <c r="O179" s="1323"/>
      <c r="P179" s="1323"/>
      <c r="Q179" s="1323"/>
      <c r="R179" s="1323"/>
      <c r="S179" s="1323"/>
      <c r="T179" s="1323"/>
      <c r="U179" s="1323"/>
      <c r="V179" s="1323"/>
      <c r="W179" s="1323"/>
      <c r="X179" s="1323"/>
      <c r="Y179" s="1323"/>
      <c r="Z179" s="1324"/>
      <c r="AA179" s="1062" t="str">
        <f>IF('(別紙2)土曜閉所'!F10&gt;0,"○","×")</f>
        <v>×</v>
      </c>
      <c r="AB179" s="1063"/>
      <c r="AC179" s="1063"/>
      <c r="AD179" s="1080"/>
      <c r="AE179" s="341"/>
      <c r="AF179" s="341"/>
      <c r="AG179" s="341"/>
      <c r="AH179" s="77"/>
      <c r="AI179" s="149" t="b">
        <f>AA179="○"</f>
        <v>0</v>
      </c>
    </row>
    <row r="180" spans="1:61" ht="15" customHeight="1">
      <c r="A180" s="1062"/>
      <c r="B180" s="1063"/>
      <c r="C180" s="1063"/>
      <c r="D180" s="1063"/>
      <c r="E180" s="1063"/>
      <c r="F180" s="1322" t="s">
        <v>424</v>
      </c>
      <c r="G180" s="1323"/>
      <c r="H180" s="1323"/>
      <c r="I180" s="1323"/>
      <c r="J180" s="1323"/>
      <c r="K180" s="1323"/>
      <c r="L180" s="1323"/>
      <c r="M180" s="1323"/>
      <c r="N180" s="1323"/>
      <c r="O180" s="1323"/>
      <c r="P180" s="1323"/>
      <c r="Q180" s="1323"/>
      <c r="R180" s="1323"/>
      <c r="S180" s="1323"/>
      <c r="T180" s="1323"/>
      <c r="U180" s="1323"/>
      <c r="V180" s="1323"/>
      <c r="W180" s="1323"/>
      <c r="X180" s="1323"/>
      <c r="Y180" s="1323"/>
      <c r="Z180" s="1324"/>
      <c r="AA180" s="1062" t="str">
        <f>'(別紙2)土曜閉所'!C11</f>
        <v>全て</v>
      </c>
      <c r="AB180" s="1063"/>
      <c r="AC180" s="1063"/>
      <c r="AD180" s="1080"/>
      <c r="AE180" s="341"/>
      <c r="AF180" s="341"/>
      <c r="AG180" s="341"/>
      <c r="AH180" s="77"/>
      <c r="AI180" s="72"/>
    </row>
    <row r="181" spans="1:61" ht="15" customHeight="1">
      <c r="A181" s="1064" t="s">
        <v>491</v>
      </c>
      <c r="B181" s="1065"/>
      <c r="C181" s="1065"/>
      <c r="D181" s="1065"/>
      <c r="E181" s="1066"/>
      <c r="F181" s="1064" t="str">
        <f>'(別紙2)土曜閉所'!G22&amp;'(別紙2)土曜閉所'!C22&amp;" → "&amp;'(別紙2)土曜閉所'!F22</f>
        <v>(変更無)全て → 全て</v>
      </c>
      <c r="G181" s="1065"/>
      <c r="H181" s="1065"/>
      <c r="I181" s="1065"/>
      <c r="J181" s="1065"/>
      <c r="K181" s="1065"/>
      <c r="L181" s="1065"/>
      <c r="M181" s="1065"/>
      <c r="N181" s="1065"/>
      <c r="O181" s="1065"/>
      <c r="P181" s="1065"/>
      <c r="Q181" s="1065"/>
      <c r="R181" s="1065"/>
      <c r="S181" s="1065"/>
      <c r="T181" s="1065"/>
      <c r="U181" s="1065"/>
      <c r="V181" s="1065"/>
      <c r="W181" s="1065"/>
      <c r="X181" s="1065"/>
      <c r="Y181" s="1065"/>
      <c r="Z181" s="1065"/>
      <c r="AA181" s="1065"/>
      <c r="AB181" s="1065"/>
      <c r="AC181" s="1065"/>
      <c r="AD181" s="1066"/>
      <c r="AE181" s="341"/>
      <c r="AF181" s="341"/>
      <c r="AG181" s="341"/>
      <c r="AH181" s="77"/>
      <c r="AI181" s="72"/>
    </row>
    <row r="182" spans="1:61" ht="15" customHeight="1">
      <c r="A182" s="1332" t="s">
        <v>35</v>
      </c>
      <c r="B182" s="1333"/>
      <c r="C182" s="1333"/>
      <c r="D182" s="1333"/>
      <c r="E182" s="1334"/>
      <c r="F182" s="1319" t="s">
        <v>516</v>
      </c>
      <c r="G182" s="1320"/>
      <c r="H182" s="1320"/>
      <c r="I182" s="1320"/>
      <c r="J182" s="1320"/>
      <c r="K182" s="1320"/>
      <c r="L182" s="1320"/>
      <c r="M182" s="1320"/>
      <c r="N182" s="1320"/>
      <c r="O182" s="1320"/>
      <c r="P182" s="1320"/>
      <c r="Q182" s="1320"/>
      <c r="R182" s="1320"/>
      <c r="S182" s="1320"/>
      <c r="T182" s="1320"/>
      <c r="U182" s="1320"/>
      <c r="V182" s="1320"/>
      <c r="W182" s="1320"/>
      <c r="X182" s="1320"/>
      <c r="Y182" s="1320"/>
      <c r="Z182" s="1320"/>
      <c r="AA182" s="1320"/>
      <c r="AB182" s="1320"/>
      <c r="AC182" s="1320"/>
      <c r="AD182" s="1321"/>
      <c r="AE182" s="341"/>
      <c r="AF182" s="341"/>
      <c r="AG182" s="341"/>
      <c r="AH182" s="77"/>
      <c r="AI182" s="72"/>
    </row>
    <row r="183" spans="1:61" ht="50.1" customHeight="1">
      <c r="A183" s="1090" t="s">
        <v>425</v>
      </c>
      <c r="B183" s="1090"/>
      <c r="C183" s="1090"/>
      <c r="D183" s="1090"/>
      <c r="E183" s="1090"/>
      <c r="F183" s="1090"/>
      <c r="G183" s="1090"/>
      <c r="H183" s="1090"/>
      <c r="I183" s="1090"/>
      <c r="J183" s="1090"/>
      <c r="K183" s="1090"/>
      <c r="L183" s="1090"/>
      <c r="M183" s="1090"/>
      <c r="N183" s="1090"/>
      <c r="O183" s="1090"/>
      <c r="P183" s="1090"/>
      <c r="Q183" s="1090"/>
      <c r="R183" s="1090"/>
      <c r="S183" s="1090"/>
      <c r="T183" s="1090"/>
      <c r="U183" s="1090"/>
      <c r="V183" s="1090"/>
      <c r="W183" s="1090"/>
      <c r="X183" s="1090"/>
      <c r="Y183" s="1090"/>
      <c r="Z183" s="1090"/>
      <c r="AA183" s="1090"/>
      <c r="AB183" s="1090"/>
      <c r="AC183" s="1090"/>
      <c r="AD183" s="1090"/>
      <c r="AE183" s="341"/>
      <c r="AF183" s="341"/>
      <c r="AG183" s="341"/>
      <c r="AH183" s="77"/>
      <c r="AI183" s="72"/>
    </row>
    <row r="184" spans="1:61" ht="15" customHeight="1" thickBot="1">
      <c r="A184" s="762"/>
      <c r="B184" s="197"/>
      <c r="C184" s="197"/>
      <c r="D184" s="197"/>
      <c r="E184" s="197"/>
      <c r="F184" s="197"/>
      <c r="G184" s="197"/>
      <c r="H184" s="197"/>
      <c r="I184" s="197"/>
      <c r="J184" s="197"/>
      <c r="K184" s="197"/>
      <c r="L184" s="197"/>
      <c r="M184" s="197"/>
      <c r="N184" s="197"/>
      <c r="O184" s="197"/>
      <c r="P184" s="197"/>
      <c r="Q184" s="197"/>
      <c r="R184" s="197"/>
      <c r="S184" s="197"/>
      <c r="T184" s="197"/>
      <c r="U184" s="197"/>
      <c r="V184" s="197"/>
      <c r="W184" s="197"/>
      <c r="X184" s="197"/>
      <c r="Y184" s="197"/>
      <c r="Z184" s="197"/>
      <c r="AA184" s="197"/>
      <c r="AB184" s="197"/>
      <c r="AC184" s="197"/>
      <c r="AD184" s="197"/>
      <c r="AE184" s="341"/>
      <c r="AF184" s="341"/>
      <c r="AG184" s="341"/>
    </row>
    <row r="185" spans="1:61" ht="15" customHeight="1" thickBot="1">
      <c r="A185" s="1264" t="s">
        <v>140</v>
      </c>
      <c r="B185" s="1264"/>
      <c r="C185" s="1264"/>
      <c r="D185" s="1264"/>
      <c r="E185" s="1264"/>
      <c r="F185" s="1264"/>
      <c r="G185" s="1264"/>
      <c r="H185" s="1264"/>
      <c r="I185" s="1264"/>
      <c r="J185" s="1247" t="str">
        <f>IF(OR(AJ193,AJ196,AJ199,AJ202,AJ205),"未入力エラー",IF(AI214,"遡及減算",IF(AND(AI209,DATE(D10,I10,1)&gt;=AI210),"減算解除",IF(AI185,"○","×"))))</f>
        <v>未入力エラー</v>
      </c>
      <c r="K185" s="1248"/>
      <c r="L185" s="1248"/>
      <c r="M185" s="1248"/>
      <c r="N185" s="1249"/>
      <c r="O185" s="1096" t="s">
        <v>279</v>
      </c>
      <c r="P185" s="1097"/>
      <c r="Q185" s="1097"/>
      <c r="R185" s="341"/>
      <c r="S185" s="341"/>
      <c r="T185" s="341"/>
      <c r="U185" s="341"/>
      <c r="V185" s="341"/>
      <c r="W185" s="341"/>
      <c r="X185" s="341"/>
      <c r="Y185" s="341"/>
      <c r="Z185" s="341"/>
      <c r="AA185" s="341"/>
      <c r="AB185" s="341"/>
      <c r="AC185" s="341"/>
      <c r="AD185" s="341"/>
      <c r="AE185" s="341"/>
      <c r="AF185" s="655"/>
      <c r="AG185" s="341"/>
      <c r="AH185" s="77"/>
      <c r="AI185" s="685" t="b">
        <f>AND(AI188,AI189)</f>
        <v>0</v>
      </c>
    </row>
    <row r="186" spans="1:61" ht="15" customHeight="1">
      <c r="A186" s="1098" t="s">
        <v>823</v>
      </c>
      <c r="B186" s="1098"/>
      <c r="C186" s="1098"/>
      <c r="D186" s="1098"/>
      <c r="E186" s="1098"/>
      <c r="F186" s="1098"/>
      <c r="G186" s="1098"/>
      <c r="H186" s="1098"/>
      <c r="I186" s="1098"/>
      <c r="J186" s="1098"/>
      <c r="K186" s="1098"/>
      <c r="L186" s="1098"/>
      <c r="M186" s="1098"/>
      <c r="N186" s="1098"/>
      <c r="O186" s="1098"/>
      <c r="P186" s="1098"/>
      <c r="Q186" s="1098"/>
      <c r="R186" s="1098"/>
      <c r="S186" s="1098"/>
      <c r="T186" s="1098"/>
      <c r="U186" s="1098"/>
      <c r="V186" s="1098"/>
      <c r="W186" s="1098"/>
      <c r="X186" s="1098"/>
      <c r="Y186" s="1098"/>
      <c r="Z186" s="1098"/>
      <c r="AA186" s="1098"/>
      <c r="AB186" s="1098"/>
      <c r="AC186" s="1098"/>
      <c r="AD186" s="1098"/>
      <c r="AE186" s="1098"/>
      <c r="AF186" s="1098"/>
      <c r="AG186" s="1098"/>
      <c r="AH186" s="77"/>
    </row>
    <row r="187" spans="1:61" ht="15" customHeight="1">
      <c r="A187" s="1329" t="s">
        <v>342</v>
      </c>
      <c r="B187" s="1330"/>
      <c r="C187" s="1330"/>
      <c r="D187" s="1330"/>
      <c r="E187" s="1331"/>
      <c r="F187" s="1299" t="s">
        <v>79</v>
      </c>
      <c r="G187" s="1299"/>
      <c r="H187" s="1299"/>
      <c r="I187" s="1299"/>
      <c r="J187" s="1299"/>
      <c r="K187" s="1299"/>
      <c r="L187" s="1299"/>
      <c r="M187" s="1299"/>
      <c r="N187" s="1299"/>
      <c r="O187" s="1299"/>
      <c r="P187" s="1299"/>
      <c r="Q187" s="1299"/>
      <c r="R187" s="1299"/>
      <c r="S187" s="1299"/>
      <c r="T187" s="1299"/>
      <c r="U187" s="1299"/>
      <c r="V187" s="1299"/>
      <c r="W187" s="1299"/>
      <c r="X187" s="1299"/>
      <c r="Y187" s="1299"/>
      <c r="Z187" s="1299"/>
      <c r="AA187" s="1299"/>
      <c r="AB187" s="1299"/>
      <c r="AC187" s="1300"/>
      <c r="AD187" s="1094" t="s">
        <v>281</v>
      </c>
      <c r="AE187" s="1094"/>
      <c r="AF187" s="1094"/>
      <c r="AG187" s="1094"/>
      <c r="AI187" s="72"/>
    </row>
    <row r="188" spans="1:61" ht="15" customHeight="1">
      <c r="A188" s="1330"/>
      <c r="B188" s="1330"/>
      <c r="C188" s="1330"/>
      <c r="D188" s="1330"/>
      <c r="E188" s="1330"/>
      <c r="F188" s="757">
        <v>1</v>
      </c>
      <c r="G188" s="1157" t="s">
        <v>814</v>
      </c>
      <c r="H188" s="1157"/>
      <c r="I188" s="1157"/>
      <c r="J188" s="1157"/>
      <c r="K188" s="1157"/>
      <c r="L188" s="1157"/>
      <c r="M188" s="1157"/>
      <c r="N188" s="1157"/>
      <c r="O188" s="1157"/>
      <c r="P188" s="1157"/>
      <c r="Q188" s="1157"/>
      <c r="R188" s="1157"/>
      <c r="S188" s="1157"/>
      <c r="T188" s="1157"/>
      <c r="U188" s="1157"/>
      <c r="V188" s="1157"/>
      <c r="W188" s="1157"/>
      <c r="X188" s="1157"/>
      <c r="Y188" s="1157"/>
      <c r="Z188" s="1157"/>
      <c r="AA188" s="1157"/>
      <c r="AB188" s="1157"/>
      <c r="AC188" s="1262"/>
      <c r="AD188" s="1064" t="str">
        <f>IF(AND(DATE($AJ$2,4,1)&gt;AI191,AND(AJ194,AJ197,AJ200,AJ203,AJ206)),"○","×")</f>
        <v>×</v>
      </c>
      <c r="AE188" s="1065"/>
      <c r="AF188" s="1065"/>
      <c r="AG188" s="1066"/>
      <c r="AI188" s="149" t="b">
        <f>AD188="○"</f>
        <v>0</v>
      </c>
    </row>
    <row r="189" spans="1:61" s="77" customFormat="1" ht="15" customHeight="1">
      <c r="A189" s="1330"/>
      <c r="B189" s="1330"/>
      <c r="C189" s="1330"/>
      <c r="D189" s="1330"/>
      <c r="E189" s="1330"/>
      <c r="F189" s="757">
        <v>2</v>
      </c>
      <c r="G189" s="1157" t="s">
        <v>517</v>
      </c>
      <c r="H189" s="1157"/>
      <c r="I189" s="1157"/>
      <c r="J189" s="1157"/>
      <c r="K189" s="1157"/>
      <c r="L189" s="1157"/>
      <c r="M189" s="1157"/>
      <c r="N189" s="1157"/>
      <c r="O189" s="1157"/>
      <c r="P189" s="1157"/>
      <c r="Q189" s="1157"/>
      <c r="R189" s="1157"/>
      <c r="S189" s="1157"/>
      <c r="T189" s="1157"/>
      <c r="U189" s="1157"/>
      <c r="V189" s="1157"/>
      <c r="W189" s="1157"/>
      <c r="X189" s="1157"/>
      <c r="Y189" s="1157"/>
      <c r="Z189" s="1157"/>
      <c r="AA189" s="1157"/>
      <c r="AB189" s="1157"/>
      <c r="AC189" s="1262"/>
      <c r="AD189" s="1064" t="str">
        <f>IF(AND(AI193,AI196,AI199,AI202,AI205),"○","×")</f>
        <v>×</v>
      </c>
      <c r="AE189" s="1065"/>
      <c r="AF189" s="1065"/>
      <c r="AG189" s="1066"/>
      <c r="AH189" s="70"/>
      <c r="AI189" s="149" t="b">
        <f>AD189="○"</f>
        <v>0</v>
      </c>
      <c r="AJ189" s="70"/>
      <c r="AK189" s="70"/>
      <c r="AL189" s="70"/>
      <c r="AM189" s="70"/>
    </row>
    <row r="190" spans="1:61" ht="15" customHeight="1">
      <c r="A190" s="1260" t="s">
        <v>340</v>
      </c>
      <c r="B190" s="1260"/>
      <c r="C190" s="1260"/>
      <c r="D190" s="1260"/>
      <c r="E190" s="1260"/>
      <c r="F190" s="1260"/>
      <c r="G190" s="1260"/>
      <c r="H190" s="1260"/>
      <c r="I190" s="1260"/>
      <c r="J190" s="1260"/>
      <c r="K190" s="1260"/>
      <c r="L190" s="1260"/>
      <c r="M190" s="1260"/>
      <c r="N190" s="1260"/>
      <c r="O190" s="1260"/>
      <c r="P190" s="1260"/>
      <c r="Q190" s="1260"/>
      <c r="R190" s="1260"/>
      <c r="S190" s="1260"/>
      <c r="T190" s="1260"/>
      <c r="U190" s="1260"/>
      <c r="V190" s="1260"/>
      <c r="W190" s="1260"/>
      <c r="X190" s="1260"/>
      <c r="Y190" s="1260"/>
      <c r="Z190" s="1260"/>
      <c r="AA190" s="1260"/>
      <c r="AB190" s="1260"/>
      <c r="AC190" s="1260"/>
      <c r="AD190" s="1260"/>
      <c r="AE190" s="1260"/>
      <c r="AF190" s="1260"/>
      <c r="AG190" s="1260"/>
      <c r="AH190" s="77"/>
    </row>
    <row r="191" spans="1:61" s="77" customFormat="1" ht="15" customHeight="1">
      <c r="A191" s="1165" t="s">
        <v>329</v>
      </c>
      <c r="B191" s="1166"/>
      <c r="C191" s="1166"/>
      <c r="D191" s="1166"/>
      <c r="E191" s="1310"/>
      <c r="F191" s="1311"/>
      <c r="G191" s="1312"/>
      <c r="H191" s="1312"/>
      <c r="I191" s="1312"/>
      <c r="J191" s="1166" t="s">
        <v>10</v>
      </c>
      <c r="K191" s="1166"/>
      <c r="L191" s="1313"/>
      <c r="M191" s="1313"/>
      <c r="N191" s="1166" t="s">
        <v>132</v>
      </c>
      <c r="O191" s="1310"/>
      <c r="P191" s="656" t="s">
        <v>330</v>
      </c>
      <c r="Q191" s="761"/>
      <c r="R191" s="761"/>
      <c r="S191" s="761"/>
      <c r="T191" s="761"/>
      <c r="U191" s="761"/>
      <c r="V191" s="761"/>
      <c r="W191" s="761"/>
      <c r="X191" s="761"/>
      <c r="Y191" s="761"/>
      <c r="Z191" s="761"/>
      <c r="AA191" s="761"/>
      <c r="AB191" s="761"/>
      <c r="AC191" s="761"/>
      <c r="AD191" s="761"/>
      <c r="AE191" s="761"/>
      <c r="AF191" s="761"/>
      <c r="AG191" s="761"/>
      <c r="AH191" s="70"/>
      <c r="AI191" s="73">
        <f>IF(OR(F191=0,L191=0,ISERROR(DATE(F191,L191,1))),DATE(A192,4,1),DATE(F191,L191,1))</f>
        <v>43191</v>
      </c>
      <c r="AJ191" s="70"/>
      <c r="AK191" s="70"/>
      <c r="AL191" s="70"/>
      <c r="AM191" s="70"/>
    </row>
    <row r="192" spans="1:61" ht="15" customHeight="1" thickBot="1">
      <c r="A192" s="1342">
        <f>AJ2-5</f>
        <v>2018</v>
      </c>
      <c r="B192" s="1342"/>
      <c r="C192" s="1342"/>
      <c r="D192" s="1342"/>
      <c r="E192" s="1342"/>
      <c r="F192" s="1343">
        <f>DATE($A192,AL$192,1)</f>
        <v>43191</v>
      </c>
      <c r="G192" s="1315"/>
      <c r="H192" s="1315">
        <f>DATE($A192,AN$192,1)</f>
        <v>43221</v>
      </c>
      <c r="I192" s="1315"/>
      <c r="J192" s="1315">
        <f>DATE($A192,AP$192,1)</f>
        <v>43252</v>
      </c>
      <c r="K192" s="1315"/>
      <c r="L192" s="1315">
        <f>DATE($A192,AR$192,1)</f>
        <v>43282</v>
      </c>
      <c r="M192" s="1315"/>
      <c r="N192" s="1315">
        <f>DATE($A192,AT$192,1)</f>
        <v>43313</v>
      </c>
      <c r="O192" s="1315"/>
      <c r="P192" s="1315">
        <f>DATE($A192,AV$192,1)</f>
        <v>43344</v>
      </c>
      <c r="Q192" s="1315"/>
      <c r="R192" s="1315">
        <f>DATE($A192,AX$192,1)</f>
        <v>43374</v>
      </c>
      <c r="S192" s="1315"/>
      <c r="T192" s="1315">
        <f>DATE($A192,AZ$192,1)</f>
        <v>43405</v>
      </c>
      <c r="U192" s="1315"/>
      <c r="V192" s="1315">
        <f>DATE($A192,BB$192,1)</f>
        <v>43435</v>
      </c>
      <c r="W192" s="1315"/>
      <c r="X192" s="1315">
        <f>DATE($A192+1,BD$192,1)</f>
        <v>43466</v>
      </c>
      <c r="Y192" s="1315"/>
      <c r="Z192" s="1315">
        <f>DATE($A192+1,BF$192,1)</f>
        <v>43497</v>
      </c>
      <c r="AA192" s="1315"/>
      <c r="AB192" s="1315">
        <f>DATE($A192+1,BH$192,1)</f>
        <v>43525</v>
      </c>
      <c r="AC192" s="1341"/>
      <c r="AD192" s="1314" t="s">
        <v>1</v>
      </c>
      <c r="AE192" s="1314"/>
      <c r="AF192" s="1314" t="s">
        <v>48</v>
      </c>
      <c r="AG192" s="1314"/>
      <c r="AI192" s="72"/>
      <c r="AL192" s="1381">
        <v>4</v>
      </c>
      <c r="AM192" s="1381"/>
      <c r="AN192" s="1381">
        <v>5</v>
      </c>
      <c r="AO192" s="1381"/>
      <c r="AP192" s="1381">
        <v>6</v>
      </c>
      <c r="AQ192" s="1381"/>
      <c r="AR192" s="1381">
        <v>7</v>
      </c>
      <c r="AS192" s="1381"/>
      <c r="AT192" s="1381">
        <v>8</v>
      </c>
      <c r="AU192" s="1381"/>
      <c r="AV192" s="1381">
        <v>9</v>
      </c>
      <c r="AW192" s="1381"/>
      <c r="AX192" s="1381">
        <v>10</v>
      </c>
      <c r="AY192" s="1381"/>
      <c r="AZ192" s="1381">
        <v>11</v>
      </c>
      <c r="BA192" s="1381"/>
      <c r="BB192" s="1381">
        <v>12</v>
      </c>
      <c r="BC192" s="1381"/>
      <c r="BD192" s="1381">
        <v>1</v>
      </c>
      <c r="BE192" s="1381"/>
      <c r="BF192" s="1381">
        <v>2</v>
      </c>
      <c r="BG192" s="1381"/>
      <c r="BH192" s="1381">
        <v>3</v>
      </c>
      <c r="BI192" s="1381"/>
    </row>
    <row r="193" spans="1:63" ht="15" customHeight="1">
      <c r="A193" s="1344" t="s">
        <v>49</v>
      </c>
      <c r="B193" s="1345"/>
      <c r="C193" s="1345"/>
      <c r="D193" s="1345"/>
      <c r="E193" s="1346"/>
      <c r="F193" s="1368"/>
      <c r="G193" s="1369"/>
      <c r="H193" s="1369"/>
      <c r="I193" s="1369"/>
      <c r="J193" s="1369"/>
      <c r="K193" s="1369"/>
      <c r="L193" s="1369"/>
      <c r="M193" s="1369"/>
      <c r="N193" s="1369"/>
      <c r="O193" s="1369"/>
      <c r="P193" s="1369"/>
      <c r="Q193" s="1369"/>
      <c r="R193" s="1369"/>
      <c r="S193" s="1369"/>
      <c r="T193" s="1369"/>
      <c r="U193" s="1369"/>
      <c r="V193" s="1369"/>
      <c r="W193" s="1369"/>
      <c r="X193" s="1369"/>
      <c r="Y193" s="1369"/>
      <c r="Z193" s="1369"/>
      <c r="AA193" s="1369"/>
      <c r="AB193" s="1369"/>
      <c r="AC193" s="1382"/>
      <c r="AD193" s="1383">
        <f>SUM(AL193:BI193)</f>
        <v>0</v>
      </c>
      <c r="AE193" s="1383"/>
      <c r="AF193" s="1384">
        <f>IFERROR(ROUNDDOWN(AD193/AD194,2),0)</f>
        <v>0</v>
      </c>
      <c r="AG193" s="1385"/>
      <c r="AI193" s="1365" t="b">
        <f>AF193&gt;=120%</f>
        <v>0</v>
      </c>
      <c r="AJ193" s="117" t="b">
        <f>COUNTIF(AL193:BI193,"×")&gt;0</f>
        <v>1</v>
      </c>
      <c r="AK193" s="118" t="s">
        <v>482</v>
      </c>
      <c r="AL193" s="1389" t="str">
        <f>IF(F192&gt;=$AI$191,IF(F193="","×",F193),"△")</f>
        <v>×</v>
      </c>
      <c r="AM193" s="1389"/>
      <c r="AN193" s="1389" t="str">
        <f>IF(H192&gt;=$AI$191,IF(H193="","×",H193),"△")</f>
        <v>×</v>
      </c>
      <c r="AO193" s="1389"/>
      <c r="AP193" s="1389" t="str">
        <f>IF(J192&gt;=$AI$191,IF(J193="","×",J193),"△")</f>
        <v>×</v>
      </c>
      <c r="AQ193" s="1389"/>
      <c r="AR193" s="1389" t="str">
        <f>IF(L192&gt;=$AI$191,IF(L193="","×",L193),"△")</f>
        <v>×</v>
      </c>
      <c r="AS193" s="1389"/>
      <c r="AT193" s="1389" t="str">
        <f>IF(N192&gt;=$AI$191,IF(N193="","×",N193),"△")</f>
        <v>×</v>
      </c>
      <c r="AU193" s="1389"/>
      <c r="AV193" s="1389" t="str">
        <f>IF(P192&gt;=$AI$191,IF(P193="","×",P193),"△")</f>
        <v>×</v>
      </c>
      <c r="AW193" s="1389"/>
      <c r="AX193" s="1389" t="str">
        <f>IF(R192&gt;=$AI$191,IF(R193="","×",R193),"△")</f>
        <v>×</v>
      </c>
      <c r="AY193" s="1389"/>
      <c r="AZ193" s="1389" t="str">
        <f>IF(T192&gt;=$AI$191,IF(T193="","×",T193),"△")</f>
        <v>×</v>
      </c>
      <c r="BA193" s="1389"/>
      <c r="BB193" s="1389" t="str">
        <f>IF(V192&gt;=$AI$191,IF(V193="","×",V193),"△")</f>
        <v>×</v>
      </c>
      <c r="BC193" s="1389"/>
      <c r="BD193" s="1389" t="str">
        <f>IF(X192&gt;=$AI$191,IF(X193="","×",X193),"△")</f>
        <v>×</v>
      </c>
      <c r="BE193" s="1389"/>
      <c r="BF193" s="1389" t="str">
        <f>IF(Z192&gt;=$AI$191,IF(Z193="","×",Z193),"△")</f>
        <v>×</v>
      </c>
      <c r="BG193" s="1389"/>
      <c r="BH193" s="1389" t="str">
        <f>IF(AB192&gt;=$AI$191,IF(AB193="","×",AB193),"△")</f>
        <v>×</v>
      </c>
      <c r="BI193" s="1389"/>
      <c r="BJ193" s="1390"/>
      <c r="BK193" s="1391"/>
    </row>
    <row r="194" spans="1:63" s="77" customFormat="1" ht="15" customHeight="1" thickBot="1">
      <c r="A194" s="1392" t="s">
        <v>50</v>
      </c>
      <c r="B194" s="1392"/>
      <c r="C194" s="1392"/>
      <c r="D194" s="1392"/>
      <c r="E194" s="1392"/>
      <c r="F194" s="1393">
        <f>IF(F192&gt;=$AI$191,SUM($R$14:$S$15),"")</f>
        <v>0</v>
      </c>
      <c r="G194" s="1394"/>
      <c r="H194" s="1394">
        <f>IF(H192&gt;=$AI$191,SUM($R$14:$S$15),"")</f>
        <v>0</v>
      </c>
      <c r="I194" s="1394"/>
      <c r="J194" s="1394">
        <f>IF(J192&gt;=$AI$191,SUM($R$14:$S$15),"")</f>
        <v>0</v>
      </c>
      <c r="K194" s="1394"/>
      <c r="L194" s="1394">
        <f>IF(L192&gt;=$AI$191,SUM($R$14:$S$15),"")</f>
        <v>0</v>
      </c>
      <c r="M194" s="1394"/>
      <c r="N194" s="1394">
        <f>IF(N192&gt;=$AI$191,SUM($R$14:$S$15),"")</f>
        <v>0</v>
      </c>
      <c r="O194" s="1394"/>
      <c r="P194" s="1394">
        <f>IF(P192&gt;=$AI$191,SUM($R$14:$S$15),"")</f>
        <v>0</v>
      </c>
      <c r="Q194" s="1394"/>
      <c r="R194" s="1394">
        <f>IF(R192&gt;=$AI$191,SUM($R$14:$S$15),"")</f>
        <v>0</v>
      </c>
      <c r="S194" s="1394"/>
      <c r="T194" s="1394">
        <f>IF(T192&gt;=$AI$191,SUM($R$14:$S$15),"")</f>
        <v>0</v>
      </c>
      <c r="U194" s="1394"/>
      <c r="V194" s="1394">
        <f>IF(V192&gt;=$AI$191,SUM($R$14:$S$15),"")</f>
        <v>0</v>
      </c>
      <c r="W194" s="1394"/>
      <c r="X194" s="1394">
        <f>IF(X192&gt;=$AI$191,SUM($R$14:$S$15),"")</f>
        <v>0</v>
      </c>
      <c r="Y194" s="1394"/>
      <c r="Z194" s="1394">
        <f>IF(Z192&gt;=$AI$191,SUM($R$14:$S$15),"")</f>
        <v>0</v>
      </c>
      <c r="AA194" s="1394"/>
      <c r="AB194" s="1394">
        <f>IF(AB192&gt;=$AI$191,SUM($R$14:$S$15),"")</f>
        <v>0</v>
      </c>
      <c r="AC194" s="1395"/>
      <c r="AD194" s="1396">
        <f>SUM(F194:AC194)</f>
        <v>0</v>
      </c>
      <c r="AE194" s="1396"/>
      <c r="AF194" s="1386"/>
      <c r="AG194" s="1387"/>
      <c r="AH194" s="70"/>
      <c r="AI194" s="1388"/>
      <c r="AJ194" s="119" t="b">
        <f>AND(COUNTIF(AL194:BI194,1)&gt;=1,COUNTIF(AL194:BI194,2)=0)</f>
        <v>0</v>
      </c>
      <c r="AK194" s="120" t="s">
        <v>483</v>
      </c>
      <c r="AL194" s="1397">
        <f>IF(OR(AL193="×",AL193="△"),0,IF(F193&gt;F194,1,2))</f>
        <v>0</v>
      </c>
      <c r="AM194" s="1397"/>
      <c r="AN194" s="1398">
        <f t="shared" ref="AN194" si="20">IF(OR(AN193="×",AN193="△"),0,IF(H193&gt;H194,1,2))</f>
        <v>0</v>
      </c>
      <c r="AO194" s="1399"/>
      <c r="AP194" s="1398">
        <f t="shared" ref="AP194" si="21">IF(OR(AP193="×",AP193="△"),0,IF(J193&gt;J194,1,2))</f>
        <v>0</v>
      </c>
      <c r="AQ194" s="1399"/>
      <c r="AR194" s="1398">
        <f t="shared" ref="AR194" si="22">IF(OR(AR193="×",AR193="△"),0,IF(L193&gt;L194,1,2))</f>
        <v>0</v>
      </c>
      <c r="AS194" s="1399"/>
      <c r="AT194" s="1398">
        <f t="shared" ref="AT194" si="23">IF(OR(AT193="×",AT193="△"),0,IF(N193&gt;N194,1,2))</f>
        <v>0</v>
      </c>
      <c r="AU194" s="1399"/>
      <c r="AV194" s="1398">
        <f t="shared" ref="AV194" si="24">IF(OR(AV193="×",AV193="△"),0,IF(P193&gt;P194,1,2))</f>
        <v>0</v>
      </c>
      <c r="AW194" s="1399"/>
      <c r="AX194" s="1398">
        <f t="shared" ref="AX194" si="25">IF(OR(AX193="×",AX193="△"),0,IF(R193&gt;R194,1,2))</f>
        <v>0</v>
      </c>
      <c r="AY194" s="1399"/>
      <c r="AZ194" s="1398">
        <f t="shared" ref="AZ194" si="26">IF(OR(AZ193="×",AZ193="△"),0,IF(T193&gt;T194,1,2))</f>
        <v>0</v>
      </c>
      <c r="BA194" s="1399"/>
      <c r="BB194" s="1398">
        <f t="shared" ref="BB194" si="27">IF(OR(BB193="×",BB193="△"),0,IF(V193&gt;V194,1,2))</f>
        <v>0</v>
      </c>
      <c r="BC194" s="1399"/>
      <c r="BD194" s="1398">
        <f t="shared" ref="BD194" si="28">IF(OR(BD193="×",BD193="△"),0,IF(X193&gt;X194,1,2))</f>
        <v>0</v>
      </c>
      <c r="BE194" s="1399"/>
      <c r="BF194" s="1398">
        <f t="shared" ref="BF194" si="29">IF(OR(BF193="×",BF193="△"),0,IF(Z193&gt;Z194,1,2))</f>
        <v>0</v>
      </c>
      <c r="BG194" s="1399"/>
      <c r="BH194" s="1398">
        <f t="shared" ref="BH194" si="30">IF(OR(BH193="×",BH193="△"),0,IF(AB193&gt;AB194,1,2))</f>
        <v>0</v>
      </c>
      <c r="BI194" s="1399"/>
      <c r="BJ194" s="1400"/>
      <c r="BK194" s="1401"/>
    </row>
    <row r="195" spans="1:63" ht="15" customHeight="1" thickBot="1">
      <c r="A195" s="1342">
        <f>AJ2-4</f>
        <v>2019</v>
      </c>
      <c r="B195" s="1342"/>
      <c r="C195" s="1342"/>
      <c r="D195" s="1342"/>
      <c r="E195" s="1342"/>
      <c r="F195" s="1343">
        <f>DATE($A195,AL$192,1)</f>
        <v>43556</v>
      </c>
      <c r="G195" s="1315"/>
      <c r="H195" s="1315">
        <f>DATE($A195,AN$192,1)</f>
        <v>43586</v>
      </c>
      <c r="I195" s="1315"/>
      <c r="J195" s="1315">
        <f>DATE($A195,AP$192,1)</f>
        <v>43617</v>
      </c>
      <c r="K195" s="1315"/>
      <c r="L195" s="1315">
        <f>DATE($A195,AR$192,1)</f>
        <v>43647</v>
      </c>
      <c r="M195" s="1315"/>
      <c r="N195" s="1315">
        <f>DATE($A195,AT$192,1)</f>
        <v>43678</v>
      </c>
      <c r="O195" s="1315"/>
      <c r="P195" s="1315">
        <f>DATE($A195,AV$192,1)</f>
        <v>43709</v>
      </c>
      <c r="Q195" s="1315"/>
      <c r="R195" s="1315">
        <f>DATE($A195,AX$192,1)</f>
        <v>43739</v>
      </c>
      <c r="S195" s="1315"/>
      <c r="T195" s="1315">
        <f>DATE($A195,AZ$192,1)</f>
        <v>43770</v>
      </c>
      <c r="U195" s="1315"/>
      <c r="V195" s="1315">
        <f>DATE($A195,BB$192,1)</f>
        <v>43800</v>
      </c>
      <c r="W195" s="1315"/>
      <c r="X195" s="1315">
        <f>DATE($A195+1,BD$192,1)</f>
        <v>43831</v>
      </c>
      <c r="Y195" s="1315"/>
      <c r="Z195" s="1315">
        <f>DATE($A195+1,BF$192,1)</f>
        <v>43862</v>
      </c>
      <c r="AA195" s="1315"/>
      <c r="AB195" s="1315">
        <f>DATE($A195+1,BH$192,1)</f>
        <v>43891</v>
      </c>
      <c r="AC195" s="1341"/>
      <c r="AD195" s="1314" t="s">
        <v>1</v>
      </c>
      <c r="AE195" s="1314"/>
      <c r="AF195" s="1402" t="s">
        <v>48</v>
      </c>
      <c r="AG195" s="1403"/>
      <c r="AI195" s="72"/>
    </row>
    <row r="196" spans="1:63" ht="15" customHeight="1">
      <c r="A196" s="1344" t="s">
        <v>49</v>
      </c>
      <c r="B196" s="1345"/>
      <c r="C196" s="1345"/>
      <c r="D196" s="1345"/>
      <c r="E196" s="1346"/>
      <c r="F196" s="1368"/>
      <c r="G196" s="1369"/>
      <c r="H196" s="1369"/>
      <c r="I196" s="1369"/>
      <c r="J196" s="1369"/>
      <c r="K196" s="1369"/>
      <c r="L196" s="1369"/>
      <c r="M196" s="1369"/>
      <c r="N196" s="1369"/>
      <c r="O196" s="1369"/>
      <c r="P196" s="1369"/>
      <c r="Q196" s="1369"/>
      <c r="R196" s="1369"/>
      <c r="S196" s="1369"/>
      <c r="T196" s="1369"/>
      <c r="U196" s="1369"/>
      <c r="V196" s="1369"/>
      <c r="W196" s="1369"/>
      <c r="X196" s="1369"/>
      <c r="Y196" s="1369"/>
      <c r="Z196" s="1369"/>
      <c r="AA196" s="1369"/>
      <c r="AB196" s="1369"/>
      <c r="AC196" s="1382"/>
      <c r="AD196" s="1383">
        <f>SUM(AL196:BI196)</f>
        <v>0</v>
      </c>
      <c r="AE196" s="1383"/>
      <c r="AF196" s="1384">
        <f>IFERROR(ROUNDDOWN(AD196/AD197,2),0)</f>
        <v>0</v>
      </c>
      <c r="AG196" s="1385"/>
      <c r="AI196" s="1326" t="b">
        <f>AF196&gt;=120%</f>
        <v>0</v>
      </c>
      <c r="AJ196" s="117" t="b">
        <f>COUNTIF(AL196:BI196,"×")&gt;0</f>
        <v>1</v>
      </c>
      <c r="AK196" s="118" t="s">
        <v>482</v>
      </c>
      <c r="AL196" s="1389" t="str">
        <f>IF(F195&gt;=$AI$191,IF(F196="","×",F196),"△")</f>
        <v>×</v>
      </c>
      <c r="AM196" s="1389"/>
      <c r="AN196" s="1389" t="str">
        <f>IF(H195&gt;=$AI$191,IF(H196="","×",H196),"△")</f>
        <v>×</v>
      </c>
      <c r="AO196" s="1389"/>
      <c r="AP196" s="1389" t="str">
        <f>IF(J195&gt;=$AI$191,IF(J196="","×",J196),"△")</f>
        <v>×</v>
      </c>
      <c r="AQ196" s="1389"/>
      <c r="AR196" s="1389" t="str">
        <f>IF(L195&gt;=$AI$191,IF(L196="","×",L196),"△")</f>
        <v>×</v>
      </c>
      <c r="AS196" s="1389"/>
      <c r="AT196" s="1389" t="str">
        <f>IF(N195&gt;=$AI$191,IF(N196="","×",N196),"△")</f>
        <v>×</v>
      </c>
      <c r="AU196" s="1389"/>
      <c r="AV196" s="1389" t="str">
        <f>IF(P195&gt;=$AI$191,IF(P196="","×",P196),"△")</f>
        <v>×</v>
      </c>
      <c r="AW196" s="1389"/>
      <c r="AX196" s="1389" t="str">
        <f>IF(R195&gt;=$AI$191,IF(R196="","×",R196),"△")</f>
        <v>×</v>
      </c>
      <c r="AY196" s="1389"/>
      <c r="AZ196" s="1389" t="str">
        <f>IF(T195&gt;=$AI$191,IF(T196="","×",T196),"△")</f>
        <v>×</v>
      </c>
      <c r="BA196" s="1389"/>
      <c r="BB196" s="1389" t="str">
        <f>IF(V195&gt;=$AI$191,IF(V196="","×",V196),"△")</f>
        <v>×</v>
      </c>
      <c r="BC196" s="1389"/>
      <c r="BD196" s="1389" t="str">
        <f>IF(X195&gt;=$AI$191,IF(X196="","×",X196),"△")</f>
        <v>×</v>
      </c>
      <c r="BE196" s="1389"/>
      <c r="BF196" s="1389" t="str">
        <f>IF(Z195&gt;=$AI$191,IF(Z196="","×",Z196),"△")</f>
        <v>×</v>
      </c>
      <c r="BG196" s="1389"/>
      <c r="BH196" s="1389" t="str">
        <f>IF(AB195&gt;=$AI$191,IF(AB196="","×",AB196),"△")</f>
        <v>×</v>
      </c>
      <c r="BI196" s="1389"/>
      <c r="BJ196" s="1390"/>
      <c r="BK196" s="1391"/>
    </row>
    <row r="197" spans="1:63" s="77" customFormat="1" ht="15" customHeight="1" thickBot="1">
      <c r="A197" s="1392" t="s">
        <v>50</v>
      </c>
      <c r="B197" s="1392"/>
      <c r="C197" s="1392"/>
      <c r="D197" s="1392"/>
      <c r="E197" s="1392"/>
      <c r="F197" s="1393">
        <f>IF(F195=$AI$191,SUM($R$14:$S$15),AB194)</f>
        <v>0</v>
      </c>
      <c r="G197" s="1394"/>
      <c r="H197" s="1394">
        <f>IF(H195&gt;=$AI$191,SUM($R$14:$S$15),"")</f>
        <v>0</v>
      </c>
      <c r="I197" s="1394"/>
      <c r="J197" s="1394">
        <f>IF(J195&gt;=$AI$191,SUM($R$14:$S$15),"")</f>
        <v>0</v>
      </c>
      <c r="K197" s="1394"/>
      <c r="L197" s="1394">
        <f>IF(L195&gt;=$AI$191,SUM($R$14:$S$15),"")</f>
        <v>0</v>
      </c>
      <c r="M197" s="1394"/>
      <c r="N197" s="1394">
        <f>IF(N195&gt;=$AI$191,SUM($R$14:$S$15),"")</f>
        <v>0</v>
      </c>
      <c r="O197" s="1394"/>
      <c r="P197" s="1394">
        <f>IF(P195&gt;=$AI$191,SUM($R$14:$S$15),"")</f>
        <v>0</v>
      </c>
      <c r="Q197" s="1394"/>
      <c r="R197" s="1394">
        <f>IF(R195&gt;=$AI$191,SUM($R$14:$S$15),"")</f>
        <v>0</v>
      </c>
      <c r="S197" s="1394"/>
      <c r="T197" s="1394">
        <f>IF(T195&gt;=$AI$191,SUM($R$14:$S$15),"")</f>
        <v>0</v>
      </c>
      <c r="U197" s="1394"/>
      <c r="V197" s="1394">
        <f>IF(V195&gt;=$AI$191,SUM($R$14:$S$15),"")</f>
        <v>0</v>
      </c>
      <c r="W197" s="1394"/>
      <c r="X197" s="1394">
        <f>IF(X195&gt;=$AI$191,SUM($R$14:$S$15),"")</f>
        <v>0</v>
      </c>
      <c r="Y197" s="1394"/>
      <c r="Z197" s="1394">
        <f>IF(Z195&gt;=$AI$191,SUM($R$14:$S$15),"")</f>
        <v>0</v>
      </c>
      <c r="AA197" s="1394"/>
      <c r="AB197" s="1394">
        <f>IF(AB195&gt;=$AI$191,SUM($R$14:$S$15),"")</f>
        <v>0</v>
      </c>
      <c r="AC197" s="1395"/>
      <c r="AD197" s="1396">
        <f>SUM(F197:AC197)</f>
        <v>0</v>
      </c>
      <c r="AE197" s="1396"/>
      <c r="AF197" s="1386"/>
      <c r="AG197" s="1387"/>
      <c r="AH197" s="70"/>
      <c r="AI197" s="1404"/>
      <c r="AJ197" s="119" t="b">
        <f>AND(COUNTIF(AL197:BI197,1)&gt;=1,COUNTIF(AL197:BI197,2)=0)</f>
        <v>0</v>
      </c>
      <c r="AK197" s="120" t="s">
        <v>483</v>
      </c>
      <c r="AL197" s="1397">
        <f>IF(OR(AL196="×",AL196="△"),0,IF(F196&gt;F197,1,2))</f>
        <v>0</v>
      </c>
      <c r="AM197" s="1397"/>
      <c r="AN197" s="1398">
        <f t="shared" ref="AN197" si="31">IF(OR(AN196="×",AN196="△"),0,IF(H196&gt;H197,1,2))</f>
        <v>0</v>
      </c>
      <c r="AO197" s="1399"/>
      <c r="AP197" s="1398">
        <f t="shared" ref="AP197" si="32">IF(OR(AP196="×",AP196="△"),0,IF(J196&gt;J197,1,2))</f>
        <v>0</v>
      </c>
      <c r="AQ197" s="1399"/>
      <c r="AR197" s="1398">
        <f t="shared" ref="AR197" si="33">IF(OR(AR196="×",AR196="△"),0,IF(L196&gt;L197,1,2))</f>
        <v>0</v>
      </c>
      <c r="AS197" s="1399"/>
      <c r="AT197" s="1398">
        <f t="shared" ref="AT197" si="34">IF(OR(AT196="×",AT196="△"),0,IF(N196&gt;N197,1,2))</f>
        <v>0</v>
      </c>
      <c r="AU197" s="1399"/>
      <c r="AV197" s="1398">
        <f t="shared" ref="AV197" si="35">IF(OR(AV196="×",AV196="△"),0,IF(P196&gt;P197,1,2))</f>
        <v>0</v>
      </c>
      <c r="AW197" s="1399"/>
      <c r="AX197" s="1398">
        <f t="shared" ref="AX197" si="36">IF(OR(AX196="×",AX196="△"),0,IF(R196&gt;R197,1,2))</f>
        <v>0</v>
      </c>
      <c r="AY197" s="1399"/>
      <c r="AZ197" s="1398">
        <f t="shared" ref="AZ197" si="37">IF(OR(AZ196="×",AZ196="△"),0,IF(T196&gt;T197,1,2))</f>
        <v>0</v>
      </c>
      <c r="BA197" s="1399"/>
      <c r="BB197" s="1398">
        <f t="shared" ref="BB197" si="38">IF(OR(BB196="×",BB196="△"),0,IF(V196&gt;V197,1,2))</f>
        <v>0</v>
      </c>
      <c r="BC197" s="1399"/>
      <c r="BD197" s="1398">
        <f t="shared" ref="BD197" si="39">IF(OR(BD196="×",BD196="△"),0,IF(X196&gt;X197,1,2))</f>
        <v>0</v>
      </c>
      <c r="BE197" s="1399"/>
      <c r="BF197" s="1398">
        <f t="shared" ref="BF197" si="40">IF(OR(BF196="×",BF196="△"),0,IF(Z196&gt;Z197,1,2))</f>
        <v>0</v>
      </c>
      <c r="BG197" s="1399"/>
      <c r="BH197" s="1398">
        <f t="shared" ref="BH197" si="41">IF(OR(BH196="×",BH196="△"),0,IF(AB196&gt;AB197,1,2))</f>
        <v>0</v>
      </c>
      <c r="BI197" s="1399"/>
      <c r="BJ197" s="1400"/>
      <c r="BK197" s="1401"/>
    </row>
    <row r="198" spans="1:63" ht="15" customHeight="1" thickBot="1">
      <c r="A198" s="1342">
        <f>AJ2-3</f>
        <v>2020</v>
      </c>
      <c r="B198" s="1342"/>
      <c r="C198" s="1342"/>
      <c r="D198" s="1342"/>
      <c r="E198" s="1342"/>
      <c r="F198" s="1343">
        <f>DATE($A198,AL$192,1)</f>
        <v>43922</v>
      </c>
      <c r="G198" s="1315"/>
      <c r="H198" s="1315">
        <f>DATE($A198,AN$192,1)</f>
        <v>43952</v>
      </c>
      <c r="I198" s="1315"/>
      <c r="J198" s="1315">
        <f>DATE($A198,AP$192,1)</f>
        <v>43983</v>
      </c>
      <c r="K198" s="1315"/>
      <c r="L198" s="1315">
        <f>DATE($A198,AR$192,1)</f>
        <v>44013</v>
      </c>
      <c r="M198" s="1315"/>
      <c r="N198" s="1315">
        <f>DATE($A198,AT$192,1)</f>
        <v>44044</v>
      </c>
      <c r="O198" s="1315"/>
      <c r="P198" s="1315">
        <f>DATE($A198,AV$192,1)</f>
        <v>44075</v>
      </c>
      <c r="Q198" s="1315"/>
      <c r="R198" s="1315">
        <f>DATE($A198,AX$192,1)</f>
        <v>44105</v>
      </c>
      <c r="S198" s="1315"/>
      <c r="T198" s="1315">
        <f>DATE($A198,AZ$192,1)</f>
        <v>44136</v>
      </c>
      <c r="U198" s="1315"/>
      <c r="V198" s="1315">
        <f>DATE($A198,BB$192,1)</f>
        <v>44166</v>
      </c>
      <c r="W198" s="1315"/>
      <c r="X198" s="1315">
        <f>DATE($A198+1,BD$192,1)</f>
        <v>44197</v>
      </c>
      <c r="Y198" s="1315"/>
      <c r="Z198" s="1315">
        <f>DATE($A198+1,BF$192,1)</f>
        <v>44228</v>
      </c>
      <c r="AA198" s="1315"/>
      <c r="AB198" s="1315">
        <f>DATE($A198+1,BH$192,1)</f>
        <v>44256</v>
      </c>
      <c r="AC198" s="1341"/>
      <c r="AD198" s="1314" t="s">
        <v>1</v>
      </c>
      <c r="AE198" s="1314"/>
      <c r="AF198" s="1314" t="s">
        <v>48</v>
      </c>
      <c r="AG198" s="1314"/>
      <c r="AI198" s="72"/>
    </row>
    <row r="199" spans="1:63" ht="15" customHeight="1">
      <c r="A199" s="1344" t="s">
        <v>49</v>
      </c>
      <c r="B199" s="1345"/>
      <c r="C199" s="1345"/>
      <c r="D199" s="1345"/>
      <c r="E199" s="1346"/>
      <c r="F199" s="1368"/>
      <c r="G199" s="1369"/>
      <c r="H199" s="1369"/>
      <c r="I199" s="1369"/>
      <c r="J199" s="1369"/>
      <c r="K199" s="1369"/>
      <c r="L199" s="1369"/>
      <c r="M199" s="1369"/>
      <c r="N199" s="1369"/>
      <c r="O199" s="1369"/>
      <c r="P199" s="1369"/>
      <c r="Q199" s="1369"/>
      <c r="R199" s="1369"/>
      <c r="S199" s="1369"/>
      <c r="T199" s="1369"/>
      <c r="U199" s="1369"/>
      <c r="V199" s="1369"/>
      <c r="W199" s="1369"/>
      <c r="X199" s="1369"/>
      <c r="Y199" s="1369"/>
      <c r="Z199" s="1369"/>
      <c r="AA199" s="1369"/>
      <c r="AB199" s="1369"/>
      <c r="AC199" s="1382"/>
      <c r="AD199" s="1383">
        <f>SUM(AL199:BI199)</f>
        <v>0</v>
      </c>
      <c r="AE199" s="1383"/>
      <c r="AF199" s="1384">
        <f>IFERROR(ROUNDDOWN(AD199/AD200,2),0)</f>
        <v>0</v>
      </c>
      <c r="AG199" s="1385"/>
      <c r="AI199" s="1326" t="b">
        <f>AF199&gt;=120%</f>
        <v>0</v>
      </c>
      <c r="AJ199" s="117" t="b">
        <f>COUNTIF(AL199:BI199,"×")&gt;0</f>
        <v>1</v>
      </c>
      <c r="AK199" s="118" t="s">
        <v>482</v>
      </c>
      <c r="AL199" s="1389" t="str">
        <f>IF(F198&gt;=$AI$191,IF(F199="","×",F199),"△")</f>
        <v>×</v>
      </c>
      <c r="AM199" s="1389"/>
      <c r="AN199" s="1389" t="str">
        <f>IF(H198&gt;=$AI$191,IF(H199="","×",H199),"△")</f>
        <v>×</v>
      </c>
      <c r="AO199" s="1389"/>
      <c r="AP199" s="1389" t="str">
        <f>IF(J198&gt;=$AI$191,IF(J199="","×",J199),"△")</f>
        <v>×</v>
      </c>
      <c r="AQ199" s="1389"/>
      <c r="AR199" s="1389" t="str">
        <f>IF(L198&gt;=$AI$191,IF(L199="","×",L199),"△")</f>
        <v>×</v>
      </c>
      <c r="AS199" s="1389"/>
      <c r="AT199" s="1389" t="str">
        <f>IF(N198&gt;=$AI$191,IF(N199="","×",N199),"△")</f>
        <v>×</v>
      </c>
      <c r="AU199" s="1389"/>
      <c r="AV199" s="1389" t="str">
        <f>IF(P198&gt;=$AI$191,IF(P199="","×",P199),"△")</f>
        <v>×</v>
      </c>
      <c r="AW199" s="1389"/>
      <c r="AX199" s="1389" t="str">
        <f>IF(R198&gt;=$AI$191,IF(R199="","×",R199),"△")</f>
        <v>×</v>
      </c>
      <c r="AY199" s="1389"/>
      <c r="AZ199" s="1389" t="str">
        <f>IF(T198&gt;=$AI$191,IF(T199="","×",T199),"△")</f>
        <v>×</v>
      </c>
      <c r="BA199" s="1389"/>
      <c r="BB199" s="1389" t="str">
        <f>IF(V198&gt;=$AI$191,IF(V199="","×",V199),"△")</f>
        <v>×</v>
      </c>
      <c r="BC199" s="1389"/>
      <c r="BD199" s="1389" t="str">
        <f>IF(X198&gt;=$AI$191,IF(X199="","×",X199),"△")</f>
        <v>×</v>
      </c>
      <c r="BE199" s="1389"/>
      <c r="BF199" s="1389" t="str">
        <f>IF(Z198&gt;=$AI$191,IF(Z199="","×",Z199),"△")</f>
        <v>×</v>
      </c>
      <c r="BG199" s="1389"/>
      <c r="BH199" s="1389" t="str">
        <f>IF(AB198&gt;=$AI$191,IF(AB199="","×",AB199),"△")</f>
        <v>×</v>
      </c>
      <c r="BI199" s="1389"/>
      <c r="BJ199" s="1390"/>
      <c r="BK199" s="1391"/>
    </row>
    <row r="200" spans="1:63" s="77" customFormat="1" ht="15" customHeight="1" thickBot="1">
      <c r="A200" s="1392" t="s">
        <v>50</v>
      </c>
      <c r="B200" s="1392"/>
      <c r="C200" s="1392"/>
      <c r="D200" s="1392"/>
      <c r="E200" s="1392"/>
      <c r="F200" s="1393">
        <f>IF(F198=$AI$191,SUM($R$14:$S$15),AB197)</f>
        <v>0</v>
      </c>
      <c r="G200" s="1394"/>
      <c r="H200" s="1394">
        <f>IF(H198&gt;=$AI$191,SUM($R$14:$S$15),"")</f>
        <v>0</v>
      </c>
      <c r="I200" s="1394"/>
      <c r="J200" s="1394">
        <f>IF(J198&gt;=$AI$191,SUM($R$14:$S$15),"")</f>
        <v>0</v>
      </c>
      <c r="K200" s="1394"/>
      <c r="L200" s="1394">
        <f>IF(L198&gt;=$AI$191,SUM($R$14:$S$15),"")</f>
        <v>0</v>
      </c>
      <c r="M200" s="1394"/>
      <c r="N200" s="1394">
        <f>IF(N198&gt;=$AI$191,SUM($R$14:$S$15),"")</f>
        <v>0</v>
      </c>
      <c r="O200" s="1394"/>
      <c r="P200" s="1394">
        <f>IF(P198&gt;=$AI$191,SUM($R$14:$S$15),"")</f>
        <v>0</v>
      </c>
      <c r="Q200" s="1394"/>
      <c r="R200" s="1394">
        <f>IF(R198&gt;=$AI$191,SUM($R$14:$S$15),"")</f>
        <v>0</v>
      </c>
      <c r="S200" s="1394"/>
      <c r="T200" s="1394">
        <f>IF(T198&gt;=$AI$191,SUM($R$14:$S$15),"")</f>
        <v>0</v>
      </c>
      <c r="U200" s="1394"/>
      <c r="V200" s="1394">
        <f>IF(V198&gt;=$AI$191,SUM($R$14:$S$15),"")</f>
        <v>0</v>
      </c>
      <c r="W200" s="1394"/>
      <c r="X200" s="1394">
        <f>IF(X198&gt;=$AI$191,SUM($R$14:$S$15),"")</f>
        <v>0</v>
      </c>
      <c r="Y200" s="1394"/>
      <c r="Z200" s="1394">
        <f>IF(Z198&gt;=$AI$191,SUM($R$14:$S$15),"")</f>
        <v>0</v>
      </c>
      <c r="AA200" s="1394"/>
      <c r="AB200" s="1394">
        <f>IF(AB198&gt;=$AI$191,SUM($R$14:$S$15),"")</f>
        <v>0</v>
      </c>
      <c r="AC200" s="1395"/>
      <c r="AD200" s="1396">
        <f>SUM(F200:AC200)</f>
        <v>0</v>
      </c>
      <c r="AE200" s="1396"/>
      <c r="AF200" s="1386"/>
      <c r="AG200" s="1387"/>
      <c r="AH200" s="70"/>
      <c r="AI200" s="1404"/>
      <c r="AJ200" s="119" t="b">
        <f>AND(COUNTIF(AL200:BI200,1)&gt;=1,COUNTIF(AL200:BI200,2)=0)</f>
        <v>0</v>
      </c>
      <c r="AK200" s="120" t="s">
        <v>483</v>
      </c>
      <c r="AL200" s="1397">
        <f>IF(OR(AL199="×",AL199="△"),0,IF(F199&gt;F200,1,2))</f>
        <v>0</v>
      </c>
      <c r="AM200" s="1397"/>
      <c r="AN200" s="1398">
        <f t="shared" ref="AN200" si="42">IF(OR(AN199="×",AN199="△"),0,IF(H199&gt;H200,1,2))</f>
        <v>0</v>
      </c>
      <c r="AO200" s="1399"/>
      <c r="AP200" s="1398">
        <f t="shared" ref="AP200" si="43">IF(OR(AP199="×",AP199="△"),0,IF(J199&gt;J200,1,2))</f>
        <v>0</v>
      </c>
      <c r="AQ200" s="1399"/>
      <c r="AR200" s="1398">
        <f t="shared" ref="AR200" si="44">IF(OR(AR199="×",AR199="△"),0,IF(L199&gt;L200,1,2))</f>
        <v>0</v>
      </c>
      <c r="AS200" s="1399"/>
      <c r="AT200" s="1398">
        <f t="shared" ref="AT200" si="45">IF(OR(AT199="×",AT199="△"),0,IF(N199&gt;N200,1,2))</f>
        <v>0</v>
      </c>
      <c r="AU200" s="1399"/>
      <c r="AV200" s="1398">
        <f t="shared" ref="AV200" si="46">IF(OR(AV199="×",AV199="△"),0,IF(P199&gt;P200,1,2))</f>
        <v>0</v>
      </c>
      <c r="AW200" s="1399"/>
      <c r="AX200" s="1398">
        <f t="shared" ref="AX200" si="47">IF(OR(AX199="×",AX199="△"),0,IF(R199&gt;R200,1,2))</f>
        <v>0</v>
      </c>
      <c r="AY200" s="1399"/>
      <c r="AZ200" s="1398">
        <f t="shared" ref="AZ200" si="48">IF(OR(AZ199="×",AZ199="△"),0,IF(T199&gt;T200,1,2))</f>
        <v>0</v>
      </c>
      <c r="BA200" s="1399"/>
      <c r="BB200" s="1398">
        <f t="shared" ref="BB200" si="49">IF(OR(BB199="×",BB199="△"),0,IF(V199&gt;V200,1,2))</f>
        <v>0</v>
      </c>
      <c r="BC200" s="1399"/>
      <c r="BD200" s="1398">
        <f t="shared" ref="BD200" si="50">IF(OR(BD199="×",BD199="△"),0,IF(X199&gt;X200,1,2))</f>
        <v>0</v>
      </c>
      <c r="BE200" s="1399"/>
      <c r="BF200" s="1398">
        <f t="shared" ref="BF200" si="51">IF(OR(BF199="×",BF199="△"),0,IF(Z199&gt;Z200,1,2))</f>
        <v>0</v>
      </c>
      <c r="BG200" s="1399"/>
      <c r="BH200" s="1398">
        <f t="shared" ref="BH200" si="52">IF(OR(BH199="×",BH199="△"),0,IF(AB199&gt;AB200,1,2))</f>
        <v>0</v>
      </c>
      <c r="BI200" s="1399"/>
      <c r="BJ200" s="1400"/>
      <c r="BK200" s="1401"/>
    </row>
    <row r="201" spans="1:63" ht="15" customHeight="1" thickBot="1">
      <c r="A201" s="1342">
        <f>AJ2-2</f>
        <v>2021</v>
      </c>
      <c r="B201" s="1342"/>
      <c r="C201" s="1342"/>
      <c r="D201" s="1342"/>
      <c r="E201" s="1342"/>
      <c r="F201" s="1343">
        <f>DATE($A201,AL$192,1)</f>
        <v>44287</v>
      </c>
      <c r="G201" s="1315"/>
      <c r="H201" s="1315">
        <f>DATE($A201,AN$192,1)</f>
        <v>44317</v>
      </c>
      <c r="I201" s="1315"/>
      <c r="J201" s="1315">
        <f>DATE($A201,AP$192,1)</f>
        <v>44348</v>
      </c>
      <c r="K201" s="1315"/>
      <c r="L201" s="1315">
        <f>DATE($A201,AR$192,1)</f>
        <v>44378</v>
      </c>
      <c r="M201" s="1315"/>
      <c r="N201" s="1315">
        <f>DATE($A201,AT$192,1)</f>
        <v>44409</v>
      </c>
      <c r="O201" s="1315"/>
      <c r="P201" s="1315">
        <f>DATE($A201,AV$192,1)</f>
        <v>44440</v>
      </c>
      <c r="Q201" s="1315"/>
      <c r="R201" s="1315">
        <f>DATE($A201,AX$192,1)</f>
        <v>44470</v>
      </c>
      <c r="S201" s="1315"/>
      <c r="T201" s="1315">
        <f>DATE($A201,AZ$192,1)</f>
        <v>44501</v>
      </c>
      <c r="U201" s="1315"/>
      <c r="V201" s="1315">
        <f>DATE($A201,BB$192,1)</f>
        <v>44531</v>
      </c>
      <c r="W201" s="1315"/>
      <c r="X201" s="1315">
        <f>DATE($A201+1,BD$192,1)</f>
        <v>44562</v>
      </c>
      <c r="Y201" s="1315"/>
      <c r="Z201" s="1315">
        <f>DATE($A201+1,BF$192,1)</f>
        <v>44593</v>
      </c>
      <c r="AA201" s="1315"/>
      <c r="AB201" s="1315">
        <f>DATE($A201+1,BH$192,1)</f>
        <v>44621</v>
      </c>
      <c r="AC201" s="1341"/>
      <c r="AD201" s="1314" t="s">
        <v>1</v>
      </c>
      <c r="AE201" s="1314"/>
      <c r="AF201" s="1402" t="s">
        <v>48</v>
      </c>
      <c r="AG201" s="1403"/>
      <c r="AI201" s="72"/>
    </row>
    <row r="202" spans="1:63" ht="15" customHeight="1">
      <c r="A202" s="1344" t="s">
        <v>49</v>
      </c>
      <c r="B202" s="1345"/>
      <c r="C202" s="1345"/>
      <c r="D202" s="1345"/>
      <c r="E202" s="1346"/>
      <c r="F202" s="1368"/>
      <c r="G202" s="1369"/>
      <c r="H202" s="1369"/>
      <c r="I202" s="1369"/>
      <c r="J202" s="1369"/>
      <c r="K202" s="1369"/>
      <c r="L202" s="1369"/>
      <c r="M202" s="1369"/>
      <c r="N202" s="1369"/>
      <c r="O202" s="1369"/>
      <c r="P202" s="1369"/>
      <c r="Q202" s="1369"/>
      <c r="R202" s="1369"/>
      <c r="S202" s="1369"/>
      <c r="T202" s="1369"/>
      <c r="U202" s="1369"/>
      <c r="V202" s="1369"/>
      <c r="W202" s="1369"/>
      <c r="X202" s="1369"/>
      <c r="Y202" s="1369"/>
      <c r="Z202" s="1369"/>
      <c r="AA202" s="1369"/>
      <c r="AB202" s="1369"/>
      <c r="AC202" s="1382"/>
      <c r="AD202" s="1383">
        <f>SUM(AL202:BI202)</f>
        <v>0</v>
      </c>
      <c r="AE202" s="1383"/>
      <c r="AF202" s="1384">
        <f>IFERROR(ROUNDDOWN(AD202/AD203,2),0)</f>
        <v>0</v>
      </c>
      <c r="AG202" s="1385"/>
      <c r="AI202" s="1326" t="b">
        <f>AF202&gt;=120%</f>
        <v>0</v>
      </c>
      <c r="AJ202" s="117" t="b">
        <f>COUNTIF(AL202:BI202,"×")&gt;0</f>
        <v>1</v>
      </c>
      <c r="AK202" s="118" t="s">
        <v>482</v>
      </c>
      <c r="AL202" s="1389" t="str">
        <f>IF(F201&gt;=$AI$191,IF(F202="","×",F202),"△")</f>
        <v>×</v>
      </c>
      <c r="AM202" s="1389"/>
      <c r="AN202" s="1389" t="str">
        <f>IF(H201&gt;=$AI$191,IF(H202="","×",H202),"△")</f>
        <v>×</v>
      </c>
      <c r="AO202" s="1389"/>
      <c r="AP202" s="1389" t="str">
        <f>IF(J201&gt;=$AI$191,IF(J202="","×",J202),"△")</f>
        <v>×</v>
      </c>
      <c r="AQ202" s="1389"/>
      <c r="AR202" s="1389" t="str">
        <f>IF(L201&gt;=$AI$191,IF(L202="","×",L202),"△")</f>
        <v>×</v>
      </c>
      <c r="AS202" s="1389"/>
      <c r="AT202" s="1389" t="str">
        <f>IF(N201&gt;=$AI$191,IF(N202="","×",N202),"△")</f>
        <v>×</v>
      </c>
      <c r="AU202" s="1389"/>
      <c r="AV202" s="1389" t="str">
        <f>IF(P201&gt;=$AI$191,IF(P202="","×",P202),"△")</f>
        <v>×</v>
      </c>
      <c r="AW202" s="1389"/>
      <c r="AX202" s="1389" t="str">
        <f>IF(R201&gt;=$AI$191,IF(R202="","×",R202),"△")</f>
        <v>×</v>
      </c>
      <c r="AY202" s="1389"/>
      <c r="AZ202" s="1389" t="str">
        <f>IF(T201&gt;=$AI$191,IF(T202="","×",T202),"△")</f>
        <v>×</v>
      </c>
      <c r="BA202" s="1389"/>
      <c r="BB202" s="1389" t="str">
        <f>IF(V201&gt;=$AI$191,IF(V202="","×",V202),"△")</f>
        <v>×</v>
      </c>
      <c r="BC202" s="1389"/>
      <c r="BD202" s="1389" t="str">
        <f>IF(X201&gt;=$AI$191,IF(X202="","×",X202),"△")</f>
        <v>×</v>
      </c>
      <c r="BE202" s="1389"/>
      <c r="BF202" s="1389" t="str">
        <f>IF(Z201&gt;=$AI$191,IF(Z202="","×",Z202),"△")</f>
        <v>×</v>
      </c>
      <c r="BG202" s="1389"/>
      <c r="BH202" s="1389" t="str">
        <f>IF(AB201&gt;=$AI$191,IF(AB202="","×",AB202),"△")</f>
        <v>×</v>
      </c>
      <c r="BI202" s="1389"/>
      <c r="BJ202" s="1390"/>
      <c r="BK202" s="1391"/>
    </row>
    <row r="203" spans="1:63" s="77" customFormat="1" ht="15" customHeight="1" thickBot="1">
      <c r="A203" s="1392" t="s">
        <v>50</v>
      </c>
      <c r="B203" s="1392"/>
      <c r="C203" s="1392"/>
      <c r="D203" s="1392"/>
      <c r="E203" s="1392"/>
      <c r="F203" s="1393">
        <f>IF(F201=$AI$191,SUM($R$14:$S$15),AB200)</f>
        <v>0</v>
      </c>
      <c r="G203" s="1394"/>
      <c r="H203" s="1394">
        <f>IF(H201&gt;=$AI$191,SUM($R$14:$S$15),"")</f>
        <v>0</v>
      </c>
      <c r="I203" s="1394"/>
      <c r="J203" s="1394">
        <f>IF(J201&gt;=$AI$191,SUM($R$14:$S$15),"")</f>
        <v>0</v>
      </c>
      <c r="K203" s="1394"/>
      <c r="L203" s="1394">
        <f>IF(L201&gt;=$AI$191,SUM($R$14:$S$15),"")</f>
        <v>0</v>
      </c>
      <c r="M203" s="1394"/>
      <c r="N203" s="1394">
        <f>IF(N201&gt;=$AI$191,SUM($R$14:$S$15),"")</f>
        <v>0</v>
      </c>
      <c r="O203" s="1394"/>
      <c r="P203" s="1394">
        <f>IF(P201&gt;=$AI$191,SUM($R$14:$S$15),"")</f>
        <v>0</v>
      </c>
      <c r="Q203" s="1394"/>
      <c r="R203" s="1394">
        <f>IF(R201&gt;=$AI$191,SUM($R$14:$S$15),"")</f>
        <v>0</v>
      </c>
      <c r="S203" s="1394"/>
      <c r="T203" s="1394">
        <f>IF(T201&gt;=$AI$191,SUM($R$14:$S$15),"")</f>
        <v>0</v>
      </c>
      <c r="U203" s="1394"/>
      <c r="V203" s="1394">
        <f>IF(V201&gt;=$AI$191,SUM($R$14:$S$15),"")</f>
        <v>0</v>
      </c>
      <c r="W203" s="1394"/>
      <c r="X203" s="1394">
        <f>IF(X201&gt;=$AI$191,SUM($R$14:$S$15),"")</f>
        <v>0</v>
      </c>
      <c r="Y203" s="1394"/>
      <c r="Z203" s="1394">
        <f>IF(Z201&gt;=$AI$191,SUM($R$14:$S$15),"")</f>
        <v>0</v>
      </c>
      <c r="AA203" s="1394"/>
      <c r="AB203" s="1394">
        <f>IF(AB201&gt;=$AI$191,SUM($R$14:$S$15),"")</f>
        <v>0</v>
      </c>
      <c r="AC203" s="1395"/>
      <c r="AD203" s="1396">
        <f>SUM(F203:AC203)</f>
        <v>0</v>
      </c>
      <c r="AE203" s="1396"/>
      <c r="AF203" s="1386"/>
      <c r="AG203" s="1387"/>
      <c r="AH203" s="70"/>
      <c r="AI203" s="1404"/>
      <c r="AJ203" s="119" t="b">
        <f>AND(COUNTIF(AL203:BI203,1)&gt;=1,COUNTIF(AL203:BI203,2)=0)</f>
        <v>0</v>
      </c>
      <c r="AK203" s="120" t="s">
        <v>483</v>
      </c>
      <c r="AL203" s="1397">
        <f>IF(OR(AL202="×",AL202="△"),0,IF(F202&gt;F203,1,2))</f>
        <v>0</v>
      </c>
      <c r="AM203" s="1397"/>
      <c r="AN203" s="1398">
        <f t="shared" ref="AN203" si="53">IF(OR(AN202="×",AN202="△"),0,IF(H202&gt;H203,1,2))</f>
        <v>0</v>
      </c>
      <c r="AO203" s="1399"/>
      <c r="AP203" s="1398">
        <f t="shared" ref="AP203" si="54">IF(OR(AP202="×",AP202="△"),0,IF(J202&gt;J203,1,2))</f>
        <v>0</v>
      </c>
      <c r="AQ203" s="1399"/>
      <c r="AR203" s="1398">
        <f t="shared" ref="AR203" si="55">IF(OR(AR202="×",AR202="△"),0,IF(L202&gt;L203,1,2))</f>
        <v>0</v>
      </c>
      <c r="AS203" s="1399"/>
      <c r="AT203" s="1398">
        <f t="shared" ref="AT203" si="56">IF(OR(AT202="×",AT202="△"),0,IF(N202&gt;N203,1,2))</f>
        <v>0</v>
      </c>
      <c r="AU203" s="1399"/>
      <c r="AV203" s="1398">
        <f t="shared" ref="AV203" si="57">IF(OR(AV202="×",AV202="△"),0,IF(P202&gt;P203,1,2))</f>
        <v>0</v>
      </c>
      <c r="AW203" s="1399"/>
      <c r="AX203" s="1398">
        <f t="shared" ref="AX203" si="58">IF(OR(AX202="×",AX202="△"),0,IF(R202&gt;R203,1,2))</f>
        <v>0</v>
      </c>
      <c r="AY203" s="1399"/>
      <c r="AZ203" s="1398">
        <f t="shared" ref="AZ203" si="59">IF(OR(AZ202="×",AZ202="△"),0,IF(T202&gt;T203,1,2))</f>
        <v>0</v>
      </c>
      <c r="BA203" s="1399"/>
      <c r="BB203" s="1398">
        <f t="shared" ref="BB203" si="60">IF(OR(BB202="×",BB202="△"),0,IF(V202&gt;V203,1,2))</f>
        <v>0</v>
      </c>
      <c r="BC203" s="1399"/>
      <c r="BD203" s="1398">
        <f t="shared" ref="BD203" si="61">IF(OR(BD202="×",BD202="△"),0,IF(X202&gt;X203,1,2))</f>
        <v>0</v>
      </c>
      <c r="BE203" s="1399"/>
      <c r="BF203" s="1398">
        <f t="shared" ref="BF203" si="62">IF(OR(BF202="×",BF202="△"),0,IF(Z202&gt;Z203,1,2))</f>
        <v>0</v>
      </c>
      <c r="BG203" s="1399"/>
      <c r="BH203" s="1398">
        <f t="shared" ref="BH203" si="63">IF(OR(BH202="×",BH202="△"),0,IF(AB202&gt;AB203,1,2))</f>
        <v>0</v>
      </c>
      <c r="BI203" s="1399"/>
      <c r="BJ203" s="1400"/>
      <c r="BK203" s="1401"/>
    </row>
    <row r="204" spans="1:63" ht="15" customHeight="1" thickBot="1">
      <c r="A204" s="1342">
        <f>AJ2-1</f>
        <v>2022</v>
      </c>
      <c r="B204" s="1342"/>
      <c r="C204" s="1342"/>
      <c r="D204" s="1342"/>
      <c r="E204" s="1342"/>
      <c r="F204" s="1343">
        <f>DATE($A204,AL$192,1)</f>
        <v>44652</v>
      </c>
      <c r="G204" s="1315"/>
      <c r="H204" s="1315">
        <f>DATE($A204,AN$192,1)</f>
        <v>44682</v>
      </c>
      <c r="I204" s="1315"/>
      <c r="J204" s="1315">
        <f>DATE($A204,AP$192,1)</f>
        <v>44713</v>
      </c>
      <c r="K204" s="1315"/>
      <c r="L204" s="1315">
        <f>DATE($A204,AR$192,1)</f>
        <v>44743</v>
      </c>
      <c r="M204" s="1315"/>
      <c r="N204" s="1315">
        <f>DATE($A204,AT$192,1)</f>
        <v>44774</v>
      </c>
      <c r="O204" s="1315"/>
      <c r="P204" s="1315">
        <f>DATE($A204,AV$192,1)</f>
        <v>44805</v>
      </c>
      <c r="Q204" s="1315"/>
      <c r="R204" s="1315">
        <f>DATE($A204,AX$192,1)</f>
        <v>44835</v>
      </c>
      <c r="S204" s="1315"/>
      <c r="T204" s="1315">
        <f>DATE($A204,AZ$192,1)</f>
        <v>44866</v>
      </c>
      <c r="U204" s="1315"/>
      <c r="V204" s="1315">
        <f>DATE($A204,BB$192,1)</f>
        <v>44896</v>
      </c>
      <c r="W204" s="1315"/>
      <c r="X204" s="1315">
        <f>DATE($A204+1,BD$192,1)</f>
        <v>44927</v>
      </c>
      <c r="Y204" s="1315"/>
      <c r="Z204" s="1315">
        <f>DATE($A204+1,BF$192,1)</f>
        <v>44958</v>
      </c>
      <c r="AA204" s="1315"/>
      <c r="AB204" s="1315">
        <f>DATE($A204+1,BH$192,1)</f>
        <v>44986</v>
      </c>
      <c r="AC204" s="1341"/>
      <c r="AD204" s="1314" t="s">
        <v>1</v>
      </c>
      <c r="AE204" s="1314"/>
      <c r="AF204" s="1402" t="s">
        <v>48</v>
      </c>
      <c r="AG204" s="1403"/>
      <c r="AI204" s="72"/>
    </row>
    <row r="205" spans="1:63" ht="15" customHeight="1">
      <c r="A205" s="1344" t="s">
        <v>49</v>
      </c>
      <c r="B205" s="1345"/>
      <c r="C205" s="1345"/>
      <c r="D205" s="1345"/>
      <c r="E205" s="1346"/>
      <c r="F205" s="1368"/>
      <c r="G205" s="1369"/>
      <c r="H205" s="1369"/>
      <c r="I205" s="1369"/>
      <c r="J205" s="1369"/>
      <c r="K205" s="1369"/>
      <c r="L205" s="1369"/>
      <c r="M205" s="1369"/>
      <c r="N205" s="1369"/>
      <c r="O205" s="1369"/>
      <c r="P205" s="1369"/>
      <c r="Q205" s="1369"/>
      <c r="R205" s="1369"/>
      <c r="S205" s="1369"/>
      <c r="T205" s="1369"/>
      <c r="U205" s="1369"/>
      <c r="V205" s="1369"/>
      <c r="W205" s="1369"/>
      <c r="X205" s="1369"/>
      <c r="Y205" s="1369"/>
      <c r="Z205" s="1369"/>
      <c r="AA205" s="1369"/>
      <c r="AB205" s="1369"/>
      <c r="AC205" s="1382"/>
      <c r="AD205" s="1383">
        <f>SUM(AL205:BI205)</f>
        <v>0</v>
      </c>
      <c r="AE205" s="1383"/>
      <c r="AF205" s="1384">
        <f>IFERROR(ROUNDDOWN(AD205/AD206,2),0)</f>
        <v>0</v>
      </c>
      <c r="AG205" s="1385"/>
      <c r="AI205" s="1326" t="b">
        <f>AF205&gt;=120%</f>
        <v>0</v>
      </c>
      <c r="AJ205" s="117" t="b">
        <f>COUNTIF(AL205:BI205,"×")&gt;0</f>
        <v>1</v>
      </c>
      <c r="AK205" s="118" t="s">
        <v>482</v>
      </c>
      <c r="AL205" s="1389" t="str">
        <f>IF(F204&gt;=$AI$191,IF(F205="","×",F205),"△")</f>
        <v>×</v>
      </c>
      <c r="AM205" s="1389"/>
      <c r="AN205" s="1389" t="str">
        <f>IF(H204&gt;=$AI$191,IF(H205="","×",H205),"△")</f>
        <v>×</v>
      </c>
      <c r="AO205" s="1389"/>
      <c r="AP205" s="1389" t="str">
        <f>IF(J204&gt;=$AI$191,IF(J205="","×",J205),"△")</f>
        <v>×</v>
      </c>
      <c r="AQ205" s="1389"/>
      <c r="AR205" s="1389" t="str">
        <f>IF(L204&gt;=$AI$191,IF(L205="","×",L205),"△")</f>
        <v>×</v>
      </c>
      <c r="AS205" s="1389"/>
      <c r="AT205" s="1389" t="str">
        <f>IF(N204&gt;=$AI$191,IF(N205="","×",N205),"△")</f>
        <v>×</v>
      </c>
      <c r="AU205" s="1389"/>
      <c r="AV205" s="1389" t="str">
        <f>IF(P204&gt;=$AI$191,IF(P205="","×",P205),"△")</f>
        <v>×</v>
      </c>
      <c r="AW205" s="1389"/>
      <c r="AX205" s="1389" t="str">
        <f>IF(R204&gt;=$AI$191,IF(R205="","×",R205),"△")</f>
        <v>×</v>
      </c>
      <c r="AY205" s="1389"/>
      <c r="AZ205" s="1389" t="str">
        <f>IF(T204&gt;=$AI$191,IF(T205="","×",T205),"△")</f>
        <v>×</v>
      </c>
      <c r="BA205" s="1389"/>
      <c r="BB205" s="1389" t="str">
        <f>IF(V204&gt;=$AI$191,IF(V205="","×",V205),"△")</f>
        <v>×</v>
      </c>
      <c r="BC205" s="1389"/>
      <c r="BD205" s="1389" t="str">
        <f>IF(X204&gt;=$AI$191,IF(X205="","×",X205),"△")</f>
        <v>×</v>
      </c>
      <c r="BE205" s="1389"/>
      <c r="BF205" s="1389" t="str">
        <f>IF(Z204&gt;=$AI$191,IF(Z205="","×",Z205),"△")</f>
        <v>×</v>
      </c>
      <c r="BG205" s="1389"/>
      <c r="BH205" s="1389" t="str">
        <f>IF(AB204&gt;=$AI$191,IF(AB205="","×",AB205),"△")</f>
        <v>×</v>
      </c>
      <c r="BI205" s="1389"/>
      <c r="BJ205" s="1390"/>
      <c r="BK205" s="1391"/>
    </row>
    <row r="206" spans="1:63" s="77" customFormat="1" ht="15" customHeight="1" thickBot="1">
      <c r="A206" s="1392" t="s">
        <v>50</v>
      </c>
      <c r="B206" s="1392"/>
      <c r="C206" s="1392"/>
      <c r="D206" s="1392"/>
      <c r="E206" s="1392"/>
      <c r="F206" s="1393">
        <f>IF(F204=$AI$191,SUM($R$14:$S$15),AB203)</f>
        <v>0</v>
      </c>
      <c r="G206" s="1394"/>
      <c r="H206" s="1394">
        <f>IF(H204&gt;=$AI$191,SUM($R$14:$S$15),"")</f>
        <v>0</v>
      </c>
      <c r="I206" s="1394"/>
      <c r="J206" s="1394">
        <f>IF(J204&gt;=$AI$191,SUM($R$14:$S$15),"")</f>
        <v>0</v>
      </c>
      <c r="K206" s="1394"/>
      <c r="L206" s="1394">
        <f>IF(L204&gt;=$AI$191,SUM($R$14:$S$15),"")</f>
        <v>0</v>
      </c>
      <c r="M206" s="1394"/>
      <c r="N206" s="1394">
        <f>IF(N204&gt;=$AI$191,SUM($R$14:$S$15),"")</f>
        <v>0</v>
      </c>
      <c r="O206" s="1394"/>
      <c r="P206" s="1394">
        <f>IF(P204&gt;=$AI$191,SUM($R$14:$S$15),"")</f>
        <v>0</v>
      </c>
      <c r="Q206" s="1394"/>
      <c r="R206" s="1394">
        <f>IF(R204&gt;=$AI$191,SUM($R$14:$S$15),"")</f>
        <v>0</v>
      </c>
      <c r="S206" s="1394"/>
      <c r="T206" s="1394">
        <f>IF(T204&gt;=$AI$191,SUM($R$14:$S$15),"")</f>
        <v>0</v>
      </c>
      <c r="U206" s="1394"/>
      <c r="V206" s="1394">
        <f>IF(V204&gt;=$AI$191,SUM($R$14:$S$15),"")</f>
        <v>0</v>
      </c>
      <c r="W206" s="1394"/>
      <c r="X206" s="1394">
        <f>IF(X204&gt;=$AI$191,SUM($R$14:$S$15),"")</f>
        <v>0</v>
      </c>
      <c r="Y206" s="1394"/>
      <c r="Z206" s="1394">
        <f>IF(Z204&gt;=$AI$191,SUM($R$14:$S$15),"")</f>
        <v>0</v>
      </c>
      <c r="AA206" s="1394"/>
      <c r="AB206" s="1394">
        <f>IF(AB204&gt;=$AI$191,SUM($R$14:$S$15),"")</f>
        <v>0</v>
      </c>
      <c r="AC206" s="1395"/>
      <c r="AD206" s="1396">
        <f>SUM(F206:AC206)</f>
        <v>0</v>
      </c>
      <c r="AE206" s="1396"/>
      <c r="AF206" s="1386"/>
      <c r="AG206" s="1387"/>
      <c r="AH206" s="70"/>
      <c r="AI206" s="1404"/>
      <c r="AJ206" s="119" t="b">
        <f>AND(COUNTIF(AL206:BI206,1)&gt;=1,COUNTIF(AL206:BI206,2)=0)</f>
        <v>0</v>
      </c>
      <c r="AK206" s="120" t="s">
        <v>483</v>
      </c>
      <c r="AL206" s="1397">
        <f>IF(OR(AL205="×",AL205="△"),0,IF(F205&gt;F206,1,2))</f>
        <v>0</v>
      </c>
      <c r="AM206" s="1397"/>
      <c r="AN206" s="1398">
        <f t="shared" ref="AN206" si="64">IF(OR(AN205="×",AN205="△"),0,IF(H205&gt;H206,1,2))</f>
        <v>0</v>
      </c>
      <c r="AO206" s="1399"/>
      <c r="AP206" s="1398">
        <f t="shared" ref="AP206" si="65">IF(OR(AP205="×",AP205="△"),0,IF(J205&gt;J206,1,2))</f>
        <v>0</v>
      </c>
      <c r="AQ206" s="1399"/>
      <c r="AR206" s="1398">
        <f t="shared" ref="AR206" si="66">IF(OR(AR205="×",AR205="△"),0,IF(L205&gt;L206,1,2))</f>
        <v>0</v>
      </c>
      <c r="AS206" s="1399"/>
      <c r="AT206" s="1398">
        <f t="shared" ref="AT206" si="67">IF(OR(AT205="×",AT205="△"),0,IF(N205&gt;N206,1,2))</f>
        <v>0</v>
      </c>
      <c r="AU206" s="1399"/>
      <c r="AV206" s="1398">
        <f t="shared" ref="AV206" si="68">IF(OR(AV205="×",AV205="△"),0,IF(P205&gt;P206,1,2))</f>
        <v>0</v>
      </c>
      <c r="AW206" s="1399"/>
      <c r="AX206" s="1398">
        <f t="shared" ref="AX206" si="69">IF(OR(AX205="×",AX205="△"),0,IF(R205&gt;R206,1,2))</f>
        <v>0</v>
      </c>
      <c r="AY206" s="1399"/>
      <c r="AZ206" s="1398">
        <f t="shared" ref="AZ206" si="70">IF(OR(AZ205="×",AZ205="△"),0,IF(T205&gt;T206,1,2))</f>
        <v>0</v>
      </c>
      <c r="BA206" s="1399"/>
      <c r="BB206" s="1398">
        <f t="shared" ref="BB206" si="71">IF(OR(BB205="×",BB205="△"),0,IF(V205&gt;V206,1,2))</f>
        <v>0</v>
      </c>
      <c r="BC206" s="1399"/>
      <c r="BD206" s="1398">
        <f t="shared" ref="BD206" si="72">IF(OR(BD205="×",BD205="△"),0,IF(X205&gt;X206,1,2))</f>
        <v>0</v>
      </c>
      <c r="BE206" s="1399"/>
      <c r="BF206" s="1398">
        <f t="shared" ref="BF206" si="73">IF(OR(BF205="×",BF205="△"),0,IF(Z205&gt;Z206,1,2))</f>
        <v>0</v>
      </c>
      <c r="BG206" s="1399"/>
      <c r="BH206" s="1398">
        <f t="shared" ref="BH206" si="74">IF(OR(BH205="×",BH205="△"),0,IF(AB205&gt;AB206,1,2))</f>
        <v>0</v>
      </c>
      <c r="BI206" s="1399"/>
      <c r="BJ206" s="1400"/>
      <c r="BK206" s="1401"/>
    </row>
    <row r="207" spans="1:63" ht="15" customHeight="1">
      <c r="A207" s="1405" t="s">
        <v>331</v>
      </c>
      <c r="B207" s="1405"/>
      <c r="C207" s="1405"/>
      <c r="D207" s="1405"/>
      <c r="E207" s="1405"/>
      <c r="F207" s="1405"/>
      <c r="G207" s="1405"/>
      <c r="H207" s="1405"/>
      <c r="I207" s="1405"/>
      <c r="J207" s="1405"/>
      <c r="K207" s="1405"/>
      <c r="L207" s="1405"/>
      <c r="M207" s="1405"/>
      <c r="N207" s="1405"/>
      <c r="O207" s="1405"/>
      <c r="P207" s="1405"/>
      <c r="Q207" s="1405"/>
      <c r="R207" s="1405"/>
      <c r="S207" s="1405"/>
      <c r="T207" s="1405"/>
      <c r="U207" s="1405"/>
      <c r="V207" s="1405"/>
      <c r="W207" s="1405"/>
      <c r="X207" s="1405"/>
      <c r="Y207" s="1405"/>
      <c r="Z207" s="1405"/>
      <c r="AA207" s="1405"/>
      <c r="AB207" s="1405"/>
      <c r="AC207" s="1405"/>
      <c r="AD207" s="1405"/>
      <c r="AE207" s="1405"/>
      <c r="AF207" s="1405"/>
      <c r="AG207" s="1405"/>
      <c r="AH207" s="77"/>
      <c r="AI207" s="152"/>
      <c r="AJ207" s="77"/>
      <c r="AK207" s="77"/>
      <c r="AL207" s="77"/>
      <c r="AM207" s="77"/>
    </row>
    <row r="208" spans="1:63" ht="15" customHeight="1">
      <c r="A208" s="1350" t="s">
        <v>332</v>
      </c>
      <c r="B208" s="1351"/>
      <c r="C208" s="1351"/>
      <c r="D208" s="1351"/>
      <c r="E208" s="1351"/>
      <c r="F208" s="1299" t="s">
        <v>79</v>
      </c>
      <c r="G208" s="1299"/>
      <c r="H208" s="1299"/>
      <c r="I208" s="1299"/>
      <c r="J208" s="1299"/>
      <c r="K208" s="1299"/>
      <c r="L208" s="1299"/>
      <c r="M208" s="1299"/>
      <c r="N208" s="1299"/>
      <c r="O208" s="1299"/>
      <c r="P208" s="1299"/>
      <c r="Q208" s="1299"/>
      <c r="R208" s="1299"/>
      <c r="S208" s="1299"/>
      <c r="T208" s="1299"/>
      <c r="U208" s="1299"/>
      <c r="V208" s="1299"/>
      <c r="W208" s="1299"/>
      <c r="X208" s="1299"/>
      <c r="Y208" s="1299"/>
      <c r="Z208" s="1299"/>
      <c r="AA208" s="1299"/>
      <c r="AB208" s="1299"/>
      <c r="AC208" s="1300"/>
      <c r="AD208" s="1094" t="s">
        <v>281</v>
      </c>
      <c r="AE208" s="1094"/>
      <c r="AF208" s="1094"/>
      <c r="AG208" s="1094"/>
      <c r="AH208" s="77"/>
      <c r="AI208" s="152"/>
      <c r="AJ208" s="77"/>
      <c r="AK208" s="77"/>
      <c r="AL208" s="77"/>
      <c r="AM208" s="77"/>
    </row>
    <row r="209" spans="1:39" ht="15" customHeight="1">
      <c r="A209" s="1353"/>
      <c r="B209" s="1354"/>
      <c r="C209" s="1354"/>
      <c r="D209" s="1354"/>
      <c r="E209" s="1354"/>
      <c r="F209" s="775">
        <v>1</v>
      </c>
      <c r="G209" s="1320" t="s">
        <v>815</v>
      </c>
      <c r="H209" s="1320"/>
      <c r="I209" s="1320"/>
      <c r="J209" s="1320"/>
      <c r="K209" s="1320"/>
      <c r="L209" s="1320"/>
      <c r="M209" s="1320"/>
      <c r="N209" s="1320"/>
      <c r="O209" s="1320"/>
      <c r="P209" s="1320"/>
      <c r="Q209" s="1320"/>
      <c r="R209" s="1320"/>
      <c r="S209" s="1320"/>
      <c r="T209" s="1320"/>
      <c r="U209" s="1320"/>
      <c r="V209" s="1320"/>
      <c r="W209" s="1320"/>
      <c r="X209" s="1320"/>
      <c r="Y209" s="1320"/>
      <c r="Z209" s="1320"/>
      <c r="AA209" s="1320"/>
      <c r="AB209" s="1320"/>
      <c r="AC209" s="1321"/>
      <c r="AD209" s="1350" t="str">
        <f>IF(AI185,IF(AND(S210&lt;&gt;0,X210&lt;&gt;0,AA210&lt;&gt;0,S211&lt;&gt;0,S212&lt;&gt;0,S213="○"),"○","×"),"")</f>
        <v/>
      </c>
      <c r="AE209" s="1351"/>
      <c r="AF209" s="1351"/>
      <c r="AG209" s="1352"/>
      <c r="AH209" s="77"/>
      <c r="AI209" s="149" t="b">
        <f>AD209="○"</f>
        <v>0</v>
      </c>
      <c r="AJ209" s="77"/>
      <c r="AK209" s="77"/>
      <c r="AL209" s="77"/>
      <c r="AM209" s="77"/>
    </row>
    <row r="210" spans="1:39" ht="15" customHeight="1">
      <c r="A210" s="1353"/>
      <c r="B210" s="1354"/>
      <c r="C210" s="1354"/>
      <c r="D210" s="1354"/>
      <c r="E210" s="1354"/>
      <c r="F210" s="686"/>
      <c r="G210" s="1406" t="s">
        <v>816</v>
      </c>
      <c r="H210" s="1406"/>
      <c r="I210" s="1406"/>
      <c r="J210" s="1406"/>
      <c r="K210" s="1406"/>
      <c r="L210" s="1406"/>
      <c r="M210" s="1406"/>
      <c r="N210" s="1406"/>
      <c r="O210" s="1406"/>
      <c r="P210" s="1406"/>
      <c r="Q210" s="1406"/>
      <c r="R210" s="1406"/>
      <c r="S210" s="1407"/>
      <c r="T210" s="1407"/>
      <c r="U210" s="1407"/>
      <c r="V210" s="1407"/>
      <c r="W210" s="687" t="s">
        <v>10</v>
      </c>
      <c r="X210" s="1408"/>
      <c r="Y210" s="1408"/>
      <c r="Z210" s="687" t="s">
        <v>132</v>
      </c>
      <c r="AA210" s="1408"/>
      <c r="AB210" s="1408"/>
      <c r="AC210" s="688" t="s">
        <v>817</v>
      </c>
      <c r="AD210" s="1353"/>
      <c r="AE210" s="1354"/>
      <c r="AF210" s="1354"/>
      <c r="AG210" s="1355"/>
      <c r="AH210" s="77"/>
      <c r="AI210" s="689">
        <f>IF(AA210=1,DATE(S210,X210,AA210),DATE(S210,X210+1,1))</f>
        <v>1</v>
      </c>
      <c r="AJ210" s="77"/>
      <c r="AK210" s="77"/>
      <c r="AL210" s="77"/>
      <c r="AM210" s="77"/>
    </row>
    <row r="211" spans="1:39" ht="15" customHeight="1">
      <c r="A211" s="1353"/>
      <c r="B211" s="1354"/>
      <c r="C211" s="1354"/>
      <c r="D211" s="1354"/>
      <c r="E211" s="1354"/>
      <c r="F211" s="690"/>
      <c r="G211" s="1097" t="s">
        <v>818</v>
      </c>
      <c r="H211" s="1097"/>
      <c r="I211" s="1097"/>
      <c r="J211" s="1097"/>
      <c r="K211" s="1097"/>
      <c r="L211" s="1097"/>
      <c r="M211" s="1097"/>
      <c r="N211" s="1097"/>
      <c r="O211" s="1097"/>
      <c r="P211" s="1097"/>
      <c r="Q211" s="1097"/>
      <c r="R211" s="1097"/>
      <c r="S211" s="1236"/>
      <c r="T211" s="1236"/>
      <c r="U211" s="1236"/>
      <c r="V211" s="1236"/>
      <c r="W211" s="1236"/>
      <c r="X211" s="1236"/>
      <c r="Y211" s="1236"/>
      <c r="Z211" s="1236"/>
      <c r="AA211" s="1236"/>
      <c r="AB211" s="1236"/>
      <c r="AC211" s="1237"/>
      <c r="AD211" s="1353"/>
      <c r="AE211" s="1354"/>
      <c r="AF211" s="1354"/>
      <c r="AG211" s="1355"/>
      <c r="AH211" s="77"/>
      <c r="AI211" s="691"/>
      <c r="AJ211" s="77"/>
      <c r="AK211" s="77"/>
      <c r="AL211" s="77"/>
      <c r="AM211" s="77"/>
    </row>
    <row r="212" spans="1:39" ht="15" customHeight="1">
      <c r="A212" s="1353"/>
      <c r="B212" s="1354"/>
      <c r="C212" s="1354"/>
      <c r="D212" s="1354"/>
      <c r="E212" s="1354"/>
      <c r="F212" s="690"/>
      <c r="G212" s="1409" t="s">
        <v>820</v>
      </c>
      <c r="H212" s="1409"/>
      <c r="I212" s="1409"/>
      <c r="J212" s="1409"/>
      <c r="K212" s="1409"/>
      <c r="L212" s="1409"/>
      <c r="M212" s="1409"/>
      <c r="N212" s="1409"/>
      <c r="O212" s="1409"/>
      <c r="P212" s="1409"/>
      <c r="Q212" s="1409"/>
      <c r="R212" s="1409"/>
      <c r="S212" s="1410"/>
      <c r="T212" s="1410"/>
      <c r="U212" s="1410"/>
      <c r="V212" s="1410"/>
      <c r="W212" s="1410"/>
      <c r="X212" s="1410"/>
      <c r="Y212" s="1410"/>
      <c r="Z212" s="1410"/>
      <c r="AA212" s="1410"/>
      <c r="AB212" s="1410"/>
      <c r="AC212" s="1411"/>
      <c r="AD212" s="1353"/>
      <c r="AE212" s="1354"/>
      <c r="AF212" s="1354"/>
      <c r="AG212" s="1355"/>
      <c r="AH212" s="77"/>
      <c r="AI212" s="684"/>
      <c r="AJ212" s="77"/>
      <c r="AK212" s="77"/>
      <c r="AL212" s="77"/>
      <c r="AM212" s="77"/>
    </row>
    <row r="213" spans="1:39" ht="15" customHeight="1">
      <c r="A213" s="1353"/>
      <c r="B213" s="1354"/>
      <c r="C213" s="1354"/>
      <c r="D213" s="1354"/>
      <c r="E213" s="1354"/>
      <c r="F213" s="690"/>
      <c r="G213" s="1347" t="s">
        <v>930</v>
      </c>
      <c r="H213" s="1347"/>
      <c r="I213" s="1347"/>
      <c r="J213" s="1347"/>
      <c r="K213" s="1347"/>
      <c r="L213" s="1347"/>
      <c r="M213" s="1347"/>
      <c r="N213" s="1347"/>
      <c r="O213" s="1347"/>
      <c r="P213" s="1347"/>
      <c r="Q213" s="1347"/>
      <c r="R213" s="1347"/>
      <c r="S213" s="1348" t="str">
        <f>'(別紙6)定員超過'!D37</f>
        <v>×</v>
      </c>
      <c r="T213" s="1348"/>
      <c r="U213" s="1348"/>
      <c r="V213" s="1348"/>
      <c r="W213" s="1348"/>
      <c r="X213" s="1348"/>
      <c r="Y213" s="1348"/>
      <c r="Z213" s="1348"/>
      <c r="AA213" s="1348"/>
      <c r="AB213" s="1348"/>
      <c r="AC213" s="1349"/>
      <c r="AD213" s="1356"/>
      <c r="AE213" s="1357"/>
      <c r="AF213" s="1357"/>
      <c r="AG213" s="1358"/>
      <c r="AH213" s="77"/>
      <c r="AI213" s="684"/>
      <c r="AJ213" s="77"/>
      <c r="AK213" s="77"/>
      <c r="AL213" s="77"/>
      <c r="AM213" s="77"/>
    </row>
    <row r="214" spans="1:39" ht="15" customHeight="1">
      <c r="A214" s="1353"/>
      <c r="B214" s="1354"/>
      <c r="C214" s="1354"/>
      <c r="D214" s="1354"/>
      <c r="E214" s="1354"/>
      <c r="F214" s="1060" t="str">
        <f>IF(AND(AI209,I56=3),"※","")</f>
        <v/>
      </c>
      <c r="G214" s="1320" t="str">
        <f>IF(AND(AI209,I10=3),"実績報告書の提出（3月のみ）","")</f>
        <v/>
      </c>
      <c r="H214" s="1320"/>
      <c r="I214" s="1320"/>
      <c r="J214" s="1320"/>
      <c r="K214" s="1320"/>
      <c r="L214" s="1320"/>
      <c r="M214" s="1320"/>
      <c r="N214" s="1320"/>
      <c r="O214" s="1320"/>
      <c r="P214" s="1320"/>
      <c r="Q214" s="1320"/>
      <c r="R214" s="1320"/>
      <c r="S214" s="1320"/>
      <c r="T214" s="1320"/>
      <c r="U214" s="1320"/>
      <c r="V214" s="1320"/>
      <c r="W214" s="1320"/>
      <c r="X214" s="1320"/>
      <c r="Y214" s="1320"/>
      <c r="Z214" s="1320"/>
      <c r="AA214" s="1320"/>
      <c r="AB214" s="1320"/>
      <c r="AC214" s="1320"/>
      <c r="AD214" s="1412" t="str">
        <f>IF(AND(AI209,I10=3),IF(AND('(別紙6)定員超過'!D76&gt;=1.2,'(別紙6)定員超過'!P75&lt;&gt;0),"×","○"),"")</f>
        <v/>
      </c>
      <c r="AE214" s="1413"/>
      <c r="AF214" s="1413"/>
      <c r="AG214" s="1414"/>
      <c r="AH214" s="77"/>
      <c r="AI214" s="149" t="b">
        <f>AD214="×"</f>
        <v>0</v>
      </c>
      <c r="AJ214" s="77"/>
      <c r="AK214" s="77"/>
      <c r="AL214" s="77"/>
      <c r="AM214" s="77"/>
    </row>
    <row r="215" spans="1:39" ht="15" customHeight="1">
      <c r="A215" s="1356"/>
      <c r="B215" s="1357"/>
      <c r="C215" s="1357"/>
      <c r="D215" s="1357"/>
      <c r="E215" s="1357"/>
      <c r="F215" s="1062"/>
      <c r="G215" s="692"/>
      <c r="H215" s="1347" t="str">
        <f>IF(OR(AJ193,AJ196,AJ199,AJ202,AJ205),"エラー",IF(AND(AD214="×",'(別紙6)定員超過'!D76&gt;=1.2,'(別紙6)定員超過'!P75&lt;&gt;0),'(別紙6)定員超過'!B78,IF(AND(AI185,AI209),TEXT(AI210,"YYYY年M月")&amp;"より解除","")))</f>
        <v>エラー</v>
      </c>
      <c r="I215" s="1347"/>
      <c r="J215" s="1347"/>
      <c r="K215" s="1347"/>
      <c r="L215" s="1347"/>
      <c r="M215" s="1347"/>
      <c r="N215" s="1347"/>
      <c r="O215" s="1347"/>
      <c r="P215" s="1347"/>
      <c r="Q215" s="1347"/>
      <c r="R215" s="1347"/>
      <c r="S215" s="1347"/>
      <c r="T215" s="1347"/>
      <c r="U215" s="1347"/>
      <c r="V215" s="1347"/>
      <c r="W215" s="1347"/>
      <c r="X215" s="1347"/>
      <c r="Y215" s="1347"/>
      <c r="Z215" s="1347"/>
      <c r="AA215" s="1347"/>
      <c r="AB215" s="1347"/>
      <c r="AC215" s="1416"/>
      <c r="AD215" s="1415"/>
      <c r="AE215" s="1348"/>
      <c r="AF215" s="1348"/>
      <c r="AG215" s="1349"/>
      <c r="AH215" s="77"/>
      <c r="AI215" s="684"/>
      <c r="AJ215" s="77"/>
      <c r="AK215" s="77"/>
      <c r="AL215" s="77"/>
      <c r="AM215" s="77"/>
    </row>
    <row r="216" spans="1:39" ht="15" customHeight="1">
      <c r="A216" s="1060" t="s">
        <v>35</v>
      </c>
      <c r="B216" s="1061"/>
      <c r="C216" s="1061"/>
      <c r="D216" s="1061"/>
      <c r="E216" s="1061"/>
      <c r="F216" s="1335" t="s">
        <v>821</v>
      </c>
      <c r="G216" s="1336"/>
      <c r="H216" s="1336"/>
      <c r="I216" s="1336"/>
      <c r="J216" s="1336"/>
      <c r="K216" s="1336"/>
      <c r="L216" s="1336"/>
      <c r="M216" s="1336"/>
      <c r="N216" s="1336"/>
      <c r="O216" s="1336"/>
      <c r="P216" s="1336"/>
      <c r="Q216" s="1336"/>
      <c r="R216" s="1336"/>
      <c r="S216" s="1336"/>
      <c r="T216" s="1336"/>
      <c r="U216" s="1336"/>
      <c r="V216" s="1336"/>
      <c r="W216" s="1336"/>
      <c r="X216" s="1336"/>
      <c r="Y216" s="1336"/>
      <c r="Z216" s="1336"/>
      <c r="AA216" s="1336"/>
      <c r="AB216" s="1336"/>
      <c r="AC216" s="1336"/>
      <c r="AD216" s="1336"/>
      <c r="AE216" s="1336"/>
      <c r="AF216" s="1336"/>
      <c r="AG216" s="1337"/>
      <c r="AH216" s="77"/>
      <c r="AI216" s="684"/>
      <c r="AJ216" s="77"/>
      <c r="AK216" s="77"/>
      <c r="AL216" s="77"/>
      <c r="AM216" s="77"/>
    </row>
    <row r="217" spans="1:39" ht="15" customHeight="1">
      <c r="A217" s="1062"/>
      <c r="B217" s="1063"/>
      <c r="C217" s="1063"/>
      <c r="D217" s="1063"/>
      <c r="E217" s="1063"/>
      <c r="F217" s="1338" t="s">
        <v>822</v>
      </c>
      <c r="G217" s="1339"/>
      <c r="H217" s="1339"/>
      <c r="I217" s="1339"/>
      <c r="J217" s="1339"/>
      <c r="K217" s="1339"/>
      <c r="L217" s="1339"/>
      <c r="M217" s="1339"/>
      <c r="N217" s="1339"/>
      <c r="O217" s="1339"/>
      <c r="P217" s="1339"/>
      <c r="Q217" s="1339"/>
      <c r="R217" s="1339"/>
      <c r="S217" s="1339"/>
      <c r="T217" s="1339"/>
      <c r="U217" s="1339"/>
      <c r="V217" s="1339"/>
      <c r="W217" s="1339"/>
      <c r="X217" s="1339"/>
      <c r="Y217" s="1339"/>
      <c r="Z217" s="1339"/>
      <c r="AA217" s="1339"/>
      <c r="AB217" s="1339"/>
      <c r="AC217" s="1339"/>
      <c r="AD217" s="1339"/>
      <c r="AE217" s="1339"/>
      <c r="AF217" s="1339"/>
      <c r="AG217" s="1340"/>
      <c r="AH217" s="77"/>
      <c r="AI217" s="684"/>
      <c r="AJ217" s="77"/>
      <c r="AK217" s="77"/>
      <c r="AL217" s="77"/>
      <c r="AM217" s="77"/>
    </row>
    <row r="218" spans="1:39" ht="15" customHeight="1" thickBot="1">
      <c r="A218" s="341"/>
      <c r="B218" s="341"/>
      <c r="C218" s="341"/>
      <c r="D218" s="341"/>
      <c r="E218" s="341"/>
      <c r="F218" s="341"/>
      <c r="G218" s="341"/>
      <c r="H218" s="341"/>
      <c r="I218" s="341"/>
      <c r="J218" s="341"/>
      <c r="K218" s="341"/>
      <c r="L218" s="341"/>
      <c r="M218" s="341"/>
      <c r="N218" s="341"/>
      <c r="O218" s="341"/>
      <c r="P218" s="341"/>
      <c r="Q218" s="341"/>
      <c r="R218" s="341"/>
      <c r="S218" s="341"/>
      <c r="T218" s="341"/>
      <c r="U218" s="341"/>
      <c r="V218" s="341"/>
      <c r="W218" s="341"/>
      <c r="X218" s="341"/>
      <c r="Y218" s="341"/>
      <c r="Z218" s="341"/>
      <c r="AA218" s="341"/>
      <c r="AB218" s="341"/>
      <c r="AC218" s="341"/>
      <c r="AD218" s="341"/>
      <c r="AE218" s="341"/>
      <c r="AF218" s="341"/>
      <c r="AG218" s="341"/>
    </row>
    <row r="219" spans="1:39" ht="15" customHeight="1" thickBot="1">
      <c r="A219" s="1044" t="s">
        <v>333</v>
      </c>
      <c r="B219" s="1044"/>
      <c r="C219" s="1044"/>
      <c r="D219" s="1044"/>
      <c r="E219" s="1044"/>
      <c r="F219" s="1044"/>
      <c r="G219" s="1044"/>
      <c r="H219" s="1044"/>
      <c r="I219" s="1044"/>
      <c r="J219" s="1247" t="str">
        <f>IF(AI220,"○","×")</f>
        <v>×</v>
      </c>
      <c r="K219" s="1248"/>
      <c r="L219" s="1248"/>
      <c r="M219" s="1248"/>
      <c r="N219" s="1249"/>
      <c r="O219" s="1096" t="s">
        <v>279</v>
      </c>
      <c r="P219" s="1097"/>
      <c r="Q219" s="1097"/>
      <c r="R219" s="341"/>
      <c r="S219" s="341"/>
      <c r="T219" s="341"/>
      <c r="U219" s="341"/>
      <c r="V219" s="341"/>
      <c r="W219" s="341"/>
      <c r="X219" s="341"/>
      <c r="Y219" s="341"/>
      <c r="Z219" s="341"/>
      <c r="AA219" s="341"/>
      <c r="AB219" s="341"/>
      <c r="AC219" s="341"/>
      <c r="AD219" s="341"/>
      <c r="AE219" s="341"/>
      <c r="AF219" s="341"/>
      <c r="AG219" s="341"/>
      <c r="AH219" s="77"/>
    </row>
    <row r="220" spans="1:39" ht="15" customHeight="1">
      <c r="A220" s="1094" t="s">
        <v>96</v>
      </c>
      <c r="B220" s="1094"/>
      <c r="C220" s="1094"/>
      <c r="D220" s="1094"/>
      <c r="E220" s="1094"/>
      <c r="F220" s="1361"/>
      <c r="G220" s="1361"/>
      <c r="H220" s="1361"/>
      <c r="I220" s="1361"/>
      <c r="J220" s="1362"/>
      <c r="K220" s="1362"/>
      <c r="L220" s="341"/>
      <c r="M220" s="341"/>
      <c r="N220" s="341"/>
      <c r="O220" s="341"/>
      <c r="P220" s="341"/>
      <c r="Q220" s="341"/>
      <c r="R220" s="341"/>
      <c r="S220" s="341"/>
      <c r="T220" s="341"/>
      <c r="U220" s="341"/>
      <c r="V220" s="761"/>
      <c r="W220" s="761"/>
      <c r="X220" s="761"/>
      <c r="Y220" s="761"/>
      <c r="Z220" s="761"/>
      <c r="AA220" s="761"/>
      <c r="AB220" s="761"/>
      <c r="AC220" s="761"/>
      <c r="AD220" s="761"/>
      <c r="AE220" s="341"/>
      <c r="AF220" s="341"/>
      <c r="AG220" s="341"/>
      <c r="AI220" s="149" t="b">
        <f>F220="申請する"</f>
        <v>0</v>
      </c>
    </row>
    <row r="221" spans="1:39" ht="15" customHeight="1">
      <c r="A221" s="1098" t="s">
        <v>55</v>
      </c>
      <c r="B221" s="1098"/>
      <c r="C221" s="1098"/>
      <c r="D221" s="1098"/>
      <c r="E221" s="1098"/>
      <c r="F221" s="1098"/>
      <c r="G221" s="1098"/>
      <c r="H221" s="1098"/>
      <c r="I221" s="1098"/>
      <c r="J221" s="1098"/>
      <c r="K221" s="1098"/>
      <c r="L221" s="1098"/>
      <c r="M221" s="1098"/>
      <c r="N221" s="1098"/>
      <c r="O221" s="1098"/>
      <c r="P221" s="1098"/>
      <c r="Q221" s="1098"/>
      <c r="R221" s="1098"/>
      <c r="S221" s="1098"/>
      <c r="T221" s="1098"/>
      <c r="U221" s="1098"/>
      <c r="V221" s="1098"/>
      <c r="W221" s="1098"/>
      <c r="X221" s="1098"/>
      <c r="Y221" s="1098"/>
      <c r="Z221" s="1098"/>
      <c r="AA221" s="1098"/>
      <c r="AB221" s="1098"/>
      <c r="AC221" s="1098"/>
      <c r="AD221" s="1098"/>
      <c r="AE221" s="1098"/>
      <c r="AF221" s="1098"/>
      <c r="AG221" s="1098"/>
      <c r="AH221" s="77"/>
    </row>
    <row r="222" spans="1:39" ht="15" customHeight="1" thickBot="1">
      <c r="A222" s="762"/>
      <c r="B222" s="762"/>
      <c r="C222" s="762"/>
      <c r="D222" s="762"/>
      <c r="E222" s="762"/>
      <c r="F222" s="762"/>
      <c r="G222" s="762"/>
      <c r="H222" s="762"/>
      <c r="I222" s="762"/>
      <c r="J222" s="762"/>
      <c r="K222" s="762"/>
      <c r="L222" s="762"/>
      <c r="M222" s="762"/>
      <c r="N222" s="762"/>
      <c r="O222" s="762"/>
      <c r="P222" s="762"/>
      <c r="Q222" s="762"/>
      <c r="R222" s="762"/>
      <c r="S222" s="762"/>
      <c r="T222" s="762"/>
      <c r="U222" s="762"/>
      <c r="V222" s="762"/>
      <c r="W222" s="762"/>
      <c r="X222" s="762"/>
      <c r="Y222" s="762"/>
      <c r="Z222" s="762"/>
      <c r="AA222" s="762"/>
      <c r="AB222" s="762"/>
      <c r="AC222" s="762"/>
      <c r="AD222" s="762"/>
      <c r="AE222" s="762"/>
      <c r="AF222" s="762"/>
      <c r="AG222" s="762"/>
      <c r="AH222" s="77"/>
    </row>
    <row r="223" spans="1:39" ht="15" customHeight="1" thickBot="1">
      <c r="A223" s="1044" t="s">
        <v>1025</v>
      </c>
      <c r="B223" s="1044"/>
      <c r="C223" s="1044"/>
      <c r="D223" s="1044"/>
      <c r="E223" s="1044"/>
      <c r="F223" s="1044"/>
      <c r="G223" s="1044"/>
      <c r="H223" s="1044"/>
      <c r="I223" s="1044"/>
      <c r="J223" s="1247" t="str">
        <f>IF(AI224,"○","×")</f>
        <v>×</v>
      </c>
      <c r="K223" s="1248"/>
      <c r="L223" s="1248"/>
      <c r="M223" s="1248"/>
      <c r="N223" s="1249"/>
      <c r="O223" s="1096" t="s">
        <v>279</v>
      </c>
      <c r="P223" s="1097"/>
      <c r="Q223" s="1097"/>
      <c r="R223" s="341"/>
      <c r="S223" s="341"/>
      <c r="T223" s="341"/>
      <c r="U223" s="341"/>
      <c r="V223" s="341"/>
      <c r="W223" s="341"/>
      <c r="X223" s="341"/>
      <c r="Y223" s="341"/>
      <c r="Z223" s="341"/>
      <c r="AA223" s="341"/>
      <c r="AB223" s="341"/>
      <c r="AC223" s="341"/>
      <c r="AD223" s="341"/>
      <c r="AE223" s="341"/>
      <c r="AF223" s="341"/>
      <c r="AG223" s="341"/>
      <c r="AH223" s="77"/>
    </row>
    <row r="224" spans="1:39" ht="15" customHeight="1">
      <c r="A224" s="1094" t="s">
        <v>96</v>
      </c>
      <c r="B224" s="1094"/>
      <c r="C224" s="1094"/>
      <c r="D224" s="1094"/>
      <c r="E224" s="1094"/>
      <c r="F224" s="1361"/>
      <c r="G224" s="1361"/>
      <c r="H224" s="1361"/>
      <c r="I224" s="1361"/>
      <c r="J224" s="1362"/>
      <c r="K224" s="1362"/>
      <c r="L224" s="341"/>
      <c r="M224" s="341"/>
      <c r="N224" s="341"/>
      <c r="O224" s="341"/>
      <c r="P224" s="341"/>
      <c r="Q224" s="341"/>
      <c r="R224" s="341"/>
      <c r="S224" s="341"/>
      <c r="T224" s="341"/>
      <c r="U224" s="341"/>
      <c r="V224" s="761"/>
      <c r="W224" s="761"/>
      <c r="X224" s="761"/>
      <c r="Y224" s="761"/>
      <c r="Z224" s="761"/>
      <c r="AA224" s="761"/>
      <c r="AB224" s="761"/>
      <c r="AC224" s="761"/>
      <c r="AD224" s="761"/>
      <c r="AE224" s="341"/>
      <c r="AF224" s="341"/>
      <c r="AG224" s="341"/>
      <c r="AH224" s="77"/>
      <c r="AI224" s="149" t="b">
        <f>F224="申請する"</f>
        <v>0</v>
      </c>
    </row>
    <row r="225" spans="1:35" ht="15" customHeight="1">
      <c r="A225" s="1098" t="s">
        <v>55</v>
      </c>
      <c r="B225" s="1098"/>
      <c r="C225" s="1098"/>
      <c r="D225" s="1098"/>
      <c r="E225" s="1098"/>
      <c r="F225" s="1098"/>
      <c r="G225" s="1098"/>
      <c r="H225" s="1098"/>
      <c r="I225" s="1098"/>
      <c r="J225" s="1098"/>
      <c r="K225" s="1098"/>
      <c r="L225" s="1098"/>
      <c r="M225" s="1098"/>
      <c r="N225" s="1098"/>
      <c r="O225" s="1098"/>
      <c r="P225" s="1098"/>
      <c r="Q225" s="1098"/>
      <c r="R225" s="1098"/>
      <c r="S225" s="1098"/>
      <c r="T225" s="1098"/>
      <c r="U225" s="1098"/>
      <c r="V225" s="1098"/>
      <c r="W225" s="1098"/>
      <c r="X225" s="1098"/>
      <c r="Y225" s="1098"/>
      <c r="Z225" s="1098"/>
      <c r="AA225" s="1098"/>
      <c r="AB225" s="1098"/>
      <c r="AC225" s="1098"/>
      <c r="AD225" s="1098"/>
      <c r="AE225" s="1098"/>
      <c r="AF225" s="1098"/>
      <c r="AG225" s="1098"/>
      <c r="AH225" s="77"/>
    </row>
    <row r="226" spans="1:35" ht="15" customHeight="1" thickBot="1">
      <c r="A226" s="341"/>
      <c r="B226" s="341"/>
      <c r="C226" s="341"/>
      <c r="D226" s="341"/>
      <c r="E226" s="341"/>
      <c r="F226" s="341"/>
      <c r="G226" s="341"/>
      <c r="H226" s="341"/>
      <c r="I226" s="341"/>
      <c r="J226" s="341"/>
      <c r="K226" s="341"/>
      <c r="L226" s="341"/>
      <c r="M226" s="341"/>
      <c r="N226" s="341"/>
      <c r="O226" s="341"/>
      <c r="P226" s="341"/>
      <c r="Q226" s="341"/>
      <c r="R226" s="341"/>
      <c r="S226" s="341"/>
      <c r="T226" s="341"/>
      <c r="U226" s="341"/>
      <c r="V226" s="341"/>
      <c r="W226" s="341"/>
      <c r="X226" s="341"/>
      <c r="Y226" s="341"/>
      <c r="Z226" s="341"/>
      <c r="AA226" s="341"/>
      <c r="AB226" s="341"/>
      <c r="AC226" s="341"/>
      <c r="AD226" s="341"/>
      <c r="AE226" s="341"/>
      <c r="AF226" s="341"/>
      <c r="AG226" s="341"/>
    </row>
    <row r="227" spans="1:35" ht="15" customHeight="1" thickBot="1">
      <c r="A227" s="1100" t="s">
        <v>1026</v>
      </c>
      <c r="B227" s="1100"/>
      <c r="C227" s="1100"/>
      <c r="D227" s="1100"/>
      <c r="E227" s="1100"/>
      <c r="F227" s="1100"/>
      <c r="G227" s="1100"/>
      <c r="H227" s="1100"/>
      <c r="I227" s="1100"/>
      <c r="J227" s="1247" t="str">
        <f>IF(AND(AI228,AI230,AI231),AA231,"×")</f>
        <v>×</v>
      </c>
      <c r="K227" s="1248"/>
      <c r="L227" s="1248"/>
      <c r="M227" s="1248"/>
      <c r="N227" s="1249"/>
      <c r="O227" s="1096" t="s">
        <v>279</v>
      </c>
      <c r="P227" s="1097"/>
      <c r="Q227" s="1097"/>
      <c r="R227" s="341"/>
      <c r="S227" s="341"/>
      <c r="T227" s="341"/>
      <c r="U227" s="341"/>
      <c r="V227" s="341"/>
      <c r="W227" s="341"/>
      <c r="X227" s="341"/>
      <c r="Y227" s="341"/>
      <c r="Z227" s="341"/>
      <c r="AA227" s="341"/>
      <c r="AB227" s="341"/>
      <c r="AC227" s="341"/>
      <c r="AD227" s="341"/>
      <c r="AE227" s="341"/>
      <c r="AF227" s="341"/>
      <c r="AG227" s="341"/>
      <c r="AH227" s="77"/>
    </row>
    <row r="228" spans="1:35" ht="15" customHeight="1">
      <c r="A228" s="1094" t="s">
        <v>96</v>
      </c>
      <c r="B228" s="1094"/>
      <c r="C228" s="1094"/>
      <c r="D228" s="1094"/>
      <c r="E228" s="1094"/>
      <c r="F228" s="1361"/>
      <c r="G228" s="1361"/>
      <c r="H228" s="1361"/>
      <c r="I228" s="1361"/>
      <c r="J228" s="1362"/>
      <c r="K228" s="1362"/>
      <c r="L228" s="341"/>
      <c r="M228" s="341"/>
      <c r="N228" s="341"/>
      <c r="O228" s="341"/>
      <c r="P228" s="341"/>
      <c r="Q228" s="341"/>
      <c r="R228" s="341"/>
      <c r="S228" s="341"/>
      <c r="T228" s="341"/>
      <c r="U228" s="341"/>
      <c r="V228" s="761"/>
      <c r="W228" s="761"/>
      <c r="X228" s="761"/>
      <c r="Y228" s="761"/>
      <c r="Z228" s="761"/>
      <c r="AA228" s="761"/>
      <c r="AB228" s="761"/>
      <c r="AC228" s="761"/>
      <c r="AD228" s="761"/>
      <c r="AE228" s="341"/>
      <c r="AF228" s="341"/>
      <c r="AG228" s="341"/>
      <c r="AH228" s="77"/>
      <c r="AI228" s="149" t="b">
        <f>F228="申請する"</f>
        <v>0</v>
      </c>
    </row>
    <row r="229" spans="1:35" ht="15" customHeight="1">
      <c r="A229" s="1086" t="s">
        <v>507</v>
      </c>
      <c r="B229" s="1087"/>
      <c r="C229" s="1087"/>
      <c r="D229" s="1087"/>
      <c r="E229" s="1087"/>
      <c r="F229" s="1065" t="s">
        <v>79</v>
      </c>
      <c r="G229" s="1065"/>
      <c r="H229" s="1065"/>
      <c r="I229" s="1065"/>
      <c r="J229" s="1065"/>
      <c r="K229" s="1065"/>
      <c r="L229" s="1065"/>
      <c r="M229" s="1065"/>
      <c r="N229" s="1065"/>
      <c r="O229" s="1065"/>
      <c r="P229" s="1065"/>
      <c r="Q229" s="1065"/>
      <c r="R229" s="1065"/>
      <c r="S229" s="1065"/>
      <c r="T229" s="1065"/>
      <c r="U229" s="1065"/>
      <c r="V229" s="1065"/>
      <c r="W229" s="1065"/>
      <c r="X229" s="1065"/>
      <c r="Y229" s="1065"/>
      <c r="Z229" s="1066"/>
      <c r="AA229" s="1064" t="s">
        <v>281</v>
      </c>
      <c r="AB229" s="1065"/>
      <c r="AC229" s="1065"/>
      <c r="AD229" s="1066"/>
      <c r="AE229" s="341"/>
      <c r="AF229" s="341"/>
      <c r="AG229" s="341"/>
      <c r="AH229" s="77"/>
    </row>
    <row r="230" spans="1:35" ht="24.95" customHeight="1">
      <c r="A230" s="1088"/>
      <c r="B230" s="1089"/>
      <c r="C230" s="1089"/>
      <c r="D230" s="1089"/>
      <c r="E230" s="1089"/>
      <c r="F230" s="763">
        <v>1</v>
      </c>
      <c r="G230" s="1090" t="s">
        <v>471</v>
      </c>
      <c r="H230" s="1090"/>
      <c r="I230" s="1090"/>
      <c r="J230" s="1090"/>
      <c r="K230" s="1090"/>
      <c r="L230" s="1090"/>
      <c r="M230" s="1090"/>
      <c r="N230" s="1090"/>
      <c r="O230" s="1090"/>
      <c r="P230" s="1090"/>
      <c r="Q230" s="1090"/>
      <c r="R230" s="1090"/>
      <c r="S230" s="1090"/>
      <c r="T230" s="1090"/>
      <c r="U230" s="1090"/>
      <c r="V230" s="1090"/>
      <c r="W230" s="1090"/>
      <c r="X230" s="1090"/>
      <c r="Y230" s="1090"/>
      <c r="Z230" s="1091"/>
      <c r="AA230" s="1182"/>
      <c r="AB230" s="1142"/>
      <c r="AC230" s="1142"/>
      <c r="AD230" s="1183"/>
      <c r="AE230" s="341"/>
      <c r="AF230" s="341"/>
      <c r="AG230" s="341"/>
      <c r="AH230" s="77"/>
      <c r="AI230" s="149" t="b">
        <f>AA230="○"</f>
        <v>0</v>
      </c>
    </row>
    <row r="231" spans="1:35" ht="15" customHeight="1">
      <c r="A231" s="1088"/>
      <c r="B231" s="1089"/>
      <c r="C231" s="1089"/>
      <c r="D231" s="1089"/>
      <c r="E231" s="1089"/>
      <c r="F231" s="757">
        <v>2</v>
      </c>
      <c r="G231" s="1157" t="s">
        <v>426</v>
      </c>
      <c r="H231" s="1157"/>
      <c r="I231" s="1157"/>
      <c r="J231" s="1157"/>
      <c r="K231" s="1157"/>
      <c r="L231" s="1157"/>
      <c r="M231" s="1157"/>
      <c r="N231" s="1157"/>
      <c r="O231" s="1157"/>
      <c r="P231" s="1157"/>
      <c r="Q231" s="1157"/>
      <c r="R231" s="1157"/>
      <c r="S231" s="1157"/>
      <c r="T231" s="1157"/>
      <c r="U231" s="1157"/>
      <c r="V231" s="1157"/>
      <c r="W231" s="1157"/>
      <c r="X231" s="1157"/>
      <c r="Y231" s="1157"/>
      <c r="Z231" s="1262"/>
      <c r="AA231" s="1064" t="str">
        <f>IF(AND(AI235,AI233),"配置",IF(AND(AI235,AI234),"兼務",IF(AI236,"嘱託","×")))</f>
        <v>×</v>
      </c>
      <c r="AB231" s="1065"/>
      <c r="AC231" s="1065"/>
      <c r="AD231" s="1066"/>
      <c r="AE231" s="341"/>
      <c r="AF231" s="341"/>
      <c r="AG231" s="341"/>
      <c r="AH231" s="77"/>
      <c r="AI231" s="79" t="b">
        <f>OR(AA231="配置",AA231="兼務",AA231="嘱託")</f>
        <v>0</v>
      </c>
    </row>
    <row r="232" spans="1:35" ht="15" customHeight="1">
      <c r="A232" s="1088"/>
      <c r="B232" s="1089"/>
      <c r="C232" s="1089"/>
      <c r="D232" s="1089"/>
      <c r="E232" s="1089"/>
      <c r="F232" s="1363" t="s">
        <v>445</v>
      </c>
      <c r="G232" s="1364"/>
      <c r="H232" s="1278" t="s">
        <v>501</v>
      </c>
      <c r="I232" s="1278"/>
      <c r="J232" s="1278"/>
      <c r="K232" s="1278"/>
      <c r="L232" s="1278"/>
      <c r="M232" s="1278"/>
      <c r="N232" s="1278"/>
      <c r="O232" s="1278"/>
      <c r="P232" s="1278"/>
      <c r="Q232" s="1278"/>
      <c r="R232" s="1278"/>
      <c r="S232" s="1278"/>
      <c r="T232" s="1278"/>
      <c r="U232" s="1278"/>
      <c r="V232" s="1278"/>
      <c r="W232" s="1278"/>
      <c r="X232" s="1278"/>
      <c r="Y232" s="1278"/>
      <c r="Z232" s="1279"/>
      <c r="AA232" s="1365" t="str">
        <f>IF(OR(AI233=1,AI234=1),"○","×")</f>
        <v>×</v>
      </c>
      <c r="AB232" s="1366"/>
      <c r="AC232" s="1366"/>
      <c r="AD232" s="1367"/>
      <c r="AE232" s="341"/>
      <c r="AF232" s="341"/>
      <c r="AG232" s="341"/>
      <c r="AH232" s="77"/>
      <c r="AI232" s="79" t="b">
        <f>AA232="○"</f>
        <v>0</v>
      </c>
    </row>
    <row r="233" spans="1:35" ht="15" customHeight="1">
      <c r="A233" s="1088"/>
      <c r="B233" s="1089"/>
      <c r="C233" s="1089"/>
      <c r="D233" s="1089"/>
      <c r="E233" s="1089"/>
      <c r="F233" s="1126" t="s">
        <v>502</v>
      </c>
      <c r="G233" s="1127"/>
      <c r="H233" s="1127"/>
      <c r="I233" s="1359" t="s">
        <v>524</v>
      </c>
      <c r="J233" s="1359"/>
      <c r="K233" s="1359"/>
      <c r="L233" s="1359"/>
      <c r="M233" s="1359"/>
      <c r="N233" s="1359"/>
      <c r="O233" s="1359"/>
      <c r="P233" s="1359"/>
      <c r="Q233" s="1359"/>
      <c r="R233" s="1359"/>
      <c r="S233" s="1359"/>
      <c r="T233" s="1359"/>
      <c r="U233" s="1359"/>
      <c r="V233" s="1359"/>
      <c r="W233" s="1359"/>
      <c r="X233" s="1359"/>
      <c r="Y233" s="1359"/>
      <c r="Z233" s="1360"/>
      <c r="AA233" s="1217"/>
      <c r="AB233" s="1218"/>
      <c r="AC233" s="1218"/>
      <c r="AD233" s="1219"/>
      <c r="AE233" s="341"/>
      <c r="AF233" s="341"/>
      <c r="AG233" s="341"/>
      <c r="AH233" s="77"/>
      <c r="AI233" s="149" t="b">
        <f t="shared" ref="AI233:AI236" si="75">AA233="○"</f>
        <v>0</v>
      </c>
    </row>
    <row r="234" spans="1:35" ht="15" customHeight="1">
      <c r="A234" s="1088"/>
      <c r="B234" s="1089"/>
      <c r="C234" s="1089"/>
      <c r="D234" s="1089"/>
      <c r="E234" s="1089"/>
      <c r="F234" s="1126" t="s">
        <v>503</v>
      </c>
      <c r="G234" s="1127"/>
      <c r="H234" s="1127"/>
      <c r="I234" s="1359" t="s">
        <v>504</v>
      </c>
      <c r="J234" s="1359"/>
      <c r="K234" s="1359"/>
      <c r="L234" s="1359"/>
      <c r="M234" s="1359"/>
      <c r="N234" s="1359"/>
      <c r="O234" s="1359"/>
      <c r="P234" s="1359"/>
      <c r="Q234" s="1359"/>
      <c r="R234" s="1359"/>
      <c r="S234" s="1359"/>
      <c r="T234" s="1359"/>
      <c r="U234" s="1359"/>
      <c r="V234" s="1359"/>
      <c r="W234" s="1359"/>
      <c r="X234" s="1359"/>
      <c r="Y234" s="1359"/>
      <c r="Z234" s="1360"/>
      <c r="AA234" s="1217"/>
      <c r="AB234" s="1218"/>
      <c r="AC234" s="1218"/>
      <c r="AD234" s="1219"/>
      <c r="AE234" s="341"/>
      <c r="AF234" s="341"/>
      <c r="AG234" s="341"/>
      <c r="AH234" s="77"/>
      <c r="AI234" s="149" t="b">
        <f t="shared" si="75"/>
        <v>0</v>
      </c>
    </row>
    <row r="235" spans="1:35" ht="15" customHeight="1">
      <c r="A235" s="1088"/>
      <c r="B235" s="1089"/>
      <c r="C235" s="1089"/>
      <c r="D235" s="1089"/>
      <c r="E235" s="1089"/>
      <c r="F235" s="1209" t="s">
        <v>505</v>
      </c>
      <c r="G235" s="1210"/>
      <c r="H235" s="1210"/>
      <c r="I235" s="1196" t="s">
        <v>427</v>
      </c>
      <c r="J235" s="1196"/>
      <c r="K235" s="1196"/>
      <c r="L235" s="1196"/>
      <c r="M235" s="1196"/>
      <c r="N235" s="1196"/>
      <c r="O235" s="1196"/>
      <c r="P235" s="1196"/>
      <c r="Q235" s="1196"/>
      <c r="R235" s="1196"/>
      <c r="S235" s="1196"/>
      <c r="T235" s="1196"/>
      <c r="U235" s="1196"/>
      <c r="V235" s="1196"/>
      <c r="W235" s="1196"/>
      <c r="X235" s="1196"/>
      <c r="Y235" s="1196"/>
      <c r="Z235" s="1238"/>
      <c r="AA235" s="1316" t="str">
        <f>【様式５】職員数算出表!O48</f>
        <v>-</v>
      </c>
      <c r="AB235" s="1097"/>
      <c r="AC235" s="1097"/>
      <c r="AD235" s="1317"/>
      <c r="AE235" s="341"/>
      <c r="AF235" s="341"/>
      <c r="AG235" s="341"/>
      <c r="AH235" s="77"/>
      <c r="AI235" s="149" t="b">
        <f t="shared" si="75"/>
        <v>0</v>
      </c>
    </row>
    <row r="236" spans="1:35" ht="15" customHeight="1">
      <c r="A236" s="1197"/>
      <c r="B236" s="1198"/>
      <c r="C236" s="1198"/>
      <c r="D236" s="1198"/>
      <c r="E236" s="1198"/>
      <c r="F236" s="1123" t="s">
        <v>506</v>
      </c>
      <c r="G236" s="1124"/>
      <c r="H236" s="1125" t="s">
        <v>428</v>
      </c>
      <c r="I236" s="1125"/>
      <c r="J236" s="1125"/>
      <c r="K236" s="1125"/>
      <c r="L236" s="1125"/>
      <c r="M236" s="1125"/>
      <c r="N236" s="1125"/>
      <c r="O236" s="1125"/>
      <c r="P236" s="1125"/>
      <c r="Q236" s="1125"/>
      <c r="R236" s="1125"/>
      <c r="S236" s="1125"/>
      <c r="T236" s="1125"/>
      <c r="U236" s="1125"/>
      <c r="V236" s="1125"/>
      <c r="W236" s="1125"/>
      <c r="X236" s="1125"/>
      <c r="Y236" s="1125"/>
      <c r="Z236" s="1207"/>
      <c r="AA236" s="1220"/>
      <c r="AB236" s="1221"/>
      <c r="AC236" s="1221"/>
      <c r="AD236" s="1222"/>
      <c r="AE236" s="341"/>
      <c r="AF236" s="341"/>
      <c r="AG236" s="341"/>
      <c r="AH236" s="77"/>
      <c r="AI236" s="149" t="b">
        <f t="shared" si="75"/>
        <v>0</v>
      </c>
    </row>
    <row r="237" spans="1:35" ht="15" customHeight="1">
      <c r="A237" s="1060" t="s">
        <v>35</v>
      </c>
      <c r="B237" s="1061"/>
      <c r="C237" s="1061"/>
      <c r="D237" s="1061"/>
      <c r="E237" s="1079"/>
      <c r="F237" s="1265" t="s">
        <v>438</v>
      </c>
      <c r="G237" s="1090"/>
      <c r="H237" s="1090"/>
      <c r="I237" s="1090"/>
      <c r="J237" s="1090"/>
      <c r="K237" s="1090"/>
      <c r="L237" s="1090"/>
      <c r="M237" s="1090"/>
      <c r="N237" s="1090"/>
      <c r="O237" s="1090"/>
      <c r="P237" s="1090"/>
      <c r="Q237" s="1090"/>
      <c r="R237" s="1090"/>
      <c r="S237" s="1090"/>
      <c r="T237" s="1090"/>
      <c r="U237" s="1090"/>
      <c r="V237" s="1090"/>
      <c r="W237" s="1090"/>
      <c r="X237" s="1090"/>
      <c r="Y237" s="1090"/>
      <c r="Z237" s="1090"/>
      <c r="AA237" s="1090"/>
      <c r="AB237" s="1090"/>
      <c r="AC237" s="1090"/>
      <c r="AD237" s="1091"/>
      <c r="AE237" s="341"/>
      <c r="AF237" s="341"/>
      <c r="AG237" s="341"/>
      <c r="AH237" s="77"/>
    </row>
    <row r="238" spans="1:35" ht="15" customHeight="1">
      <c r="A238" s="1316"/>
      <c r="B238" s="1097"/>
      <c r="C238" s="1097"/>
      <c r="D238" s="1097"/>
      <c r="E238" s="1317"/>
      <c r="F238" s="1243" t="s">
        <v>429</v>
      </c>
      <c r="G238" s="1098"/>
      <c r="H238" s="1098"/>
      <c r="I238" s="1098"/>
      <c r="J238" s="1098"/>
      <c r="K238" s="1098"/>
      <c r="L238" s="1098"/>
      <c r="M238" s="1098"/>
      <c r="N238" s="1098"/>
      <c r="O238" s="1098"/>
      <c r="P238" s="1098"/>
      <c r="Q238" s="1098"/>
      <c r="R238" s="1098"/>
      <c r="S238" s="1098"/>
      <c r="T238" s="1098"/>
      <c r="U238" s="1098"/>
      <c r="V238" s="1098"/>
      <c r="W238" s="1098"/>
      <c r="X238" s="1098"/>
      <c r="Y238" s="1098"/>
      <c r="Z238" s="1098"/>
      <c r="AA238" s="1098"/>
      <c r="AB238" s="1098"/>
      <c r="AC238" s="1098"/>
      <c r="AD238" s="1234"/>
      <c r="AE238" s="341"/>
      <c r="AF238" s="341"/>
      <c r="AG238" s="341"/>
      <c r="AH238" s="77"/>
    </row>
    <row r="239" spans="1:35" ht="114.95" customHeight="1">
      <c r="A239" s="1316"/>
      <c r="B239" s="1097"/>
      <c r="C239" s="1097"/>
      <c r="D239" s="1097"/>
      <c r="E239" s="1317"/>
      <c r="F239" s="1243" t="s">
        <v>906</v>
      </c>
      <c r="G239" s="1098"/>
      <c r="H239" s="1098"/>
      <c r="I239" s="1098"/>
      <c r="J239" s="1098"/>
      <c r="K239" s="1098"/>
      <c r="L239" s="1098"/>
      <c r="M239" s="1098"/>
      <c r="N239" s="1098"/>
      <c r="O239" s="1098"/>
      <c r="P239" s="1098"/>
      <c r="Q239" s="1098"/>
      <c r="R239" s="1098"/>
      <c r="S239" s="1098"/>
      <c r="T239" s="1098"/>
      <c r="U239" s="1098"/>
      <c r="V239" s="1098"/>
      <c r="W239" s="1098"/>
      <c r="X239" s="1098"/>
      <c r="Y239" s="1098"/>
      <c r="Z239" s="1098"/>
      <c r="AA239" s="1098"/>
      <c r="AB239" s="1098"/>
      <c r="AC239" s="1098"/>
      <c r="AD239" s="1234"/>
      <c r="AE239" s="341"/>
      <c r="AF239" s="341"/>
      <c r="AG239" s="341"/>
      <c r="AH239" s="77"/>
    </row>
    <row r="240" spans="1:35" ht="15" customHeight="1">
      <c r="A240" s="1062"/>
      <c r="B240" s="1063"/>
      <c r="C240" s="1063"/>
      <c r="D240" s="1063"/>
      <c r="E240" s="1080"/>
      <c r="F240" s="1288" t="s">
        <v>470</v>
      </c>
      <c r="G240" s="1092"/>
      <c r="H240" s="1092"/>
      <c r="I240" s="1092"/>
      <c r="J240" s="1092"/>
      <c r="K240" s="1092"/>
      <c r="L240" s="1092"/>
      <c r="M240" s="1092"/>
      <c r="N240" s="1092"/>
      <c r="O240" s="1092"/>
      <c r="P240" s="1092"/>
      <c r="Q240" s="1092"/>
      <c r="R240" s="1092"/>
      <c r="S240" s="1092"/>
      <c r="T240" s="1092"/>
      <c r="U240" s="1092"/>
      <c r="V240" s="1092"/>
      <c r="W240" s="1092"/>
      <c r="X240" s="1092"/>
      <c r="Y240" s="1092"/>
      <c r="Z240" s="1092"/>
      <c r="AA240" s="1092"/>
      <c r="AB240" s="1092"/>
      <c r="AC240" s="1092"/>
      <c r="AD240" s="1093"/>
      <c r="AE240" s="341"/>
      <c r="AF240" s="341"/>
      <c r="AG240" s="341"/>
      <c r="AH240" s="77"/>
    </row>
    <row r="241" spans="1:34" ht="15" customHeight="1">
      <c r="A241" s="341" t="s">
        <v>508</v>
      </c>
      <c r="B241" s="341"/>
      <c r="C241" s="341"/>
      <c r="D241" s="341"/>
      <c r="E241" s="341"/>
      <c r="F241" s="341"/>
      <c r="G241" s="341"/>
      <c r="H241" s="341"/>
      <c r="I241" s="341"/>
      <c r="J241" s="341"/>
      <c r="K241" s="341"/>
      <c r="L241" s="341"/>
      <c r="M241" s="341"/>
      <c r="N241" s="341"/>
      <c r="O241" s="341"/>
      <c r="P241" s="341"/>
      <c r="Q241" s="341"/>
      <c r="R241" s="341"/>
      <c r="S241" s="341"/>
      <c r="T241" s="341"/>
      <c r="U241" s="341"/>
      <c r="V241" s="341"/>
      <c r="W241" s="341"/>
      <c r="X241" s="341"/>
      <c r="Y241" s="341"/>
      <c r="Z241" s="341"/>
      <c r="AA241" s="341"/>
      <c r="AB241" s="341"/>
      <c r="AC241" s="341"/>
      <c r="AD241" s="341"/>
      <c r="AE241" s="341"/>
      <c r="AF241" s="341"/>
      <c r="AG241" s="341"/>
      <c r="AH241" s="77"/>
    </row>
    <row r="242" spans="1:34" ht="15" customHeight="1">
      <c r="A242" s="1094" t="s">
        <v>127</v>
      </c>
      <c r="B242" s="1094"/>
      <c r="C242" s="1094"/>
      <c r="D242" s="1094"/>
      <c r="E242" s="1094"/>
      <c r="F242" s="1094" t="s">
        <v>316</v>
      </c>
      <c r="G242" s="1094"/>
      <c r="H242" s="1094"/>
      <c r="I242" s="1094"/>
      <c r="J242" s="1094"/>
      <c r="K242" s="1094"/>
      <c r="L242" s="1094"/>
      <c r="M242" s="1094"/>
      <c r="N242" s="1094"/>
      <c r="O242" s="1094"/>
      <c r="P242" s="1094"/>
      <c r="Q242" s="1094"/>
      <c r="R242" s="1094"/>
      <c r="S242" s="1094"/>
      <c r="T242" s="1094"/>
      <c r="U242" s="1094"/>
      <c r="V242" s="1094"/>
      <c r="W242" s="1094"/>
      <c r="X242" s="1094"/>
      <c r="Y242" s="1094"/>
      <c r="Z242" s="1094"/>
      <c r="AA242" s="1094"/>
      <c r="AB242" s="1094"/>
      <c r="AC242" s="1094"/>
      <c r="AD242" s="1094"/>
      <c r="AE242" s="341"/>
      <c r="AF242" s="341"/>
      <c r="AG242" s="341"/>
      <c r="AH242" s="77"/>
    </row>
    <row r="243" spans="1:34" ht="24.95" customHeight="1">
      <c r="A243" s="1380" t="s">
        <v>495</v>
      </c>
      <c r="B243" s="1380"/>
      <c r="C243" s="1380"/>
      <c r="D243" s="1380"/>
      <c r="E243" s="1380"/>
      <c r="F243" s="1375" t="s">
        <v>496</v>
      </c>
      <c r="G243" s="1375"/>
      <c r="H243" s="1375"/>
      <c r="I243" s="1375"/>
      <c r="J243" s="1375"/>
      <c r="K243" s="1375"/>
      <c r="L243" s="1375"/>
      <c r="M243" s="1375"/>
      <c r="N243" s="1375"/>
      <c r="O243" s="1375"/>
      <c r="P243" s="1375"/>
      <c r="Q243" s="1375"/>
      <c r="R243" s="1375"/>
      <c r="S243" s="1375"/>
      <c r="T243" s="1375"/>
      <c r="U243" s="1375"/>
      <c r="V243" s="1375"/>
      <c r="W243" s="1375"/>
      <c r="X243" s="1375"/>
      <c r="Y243" s="1375"/>
      <c r="Z243" s="1375"/>
      <c r="AA243" s="1375"/>
      <c r="AB243" s="1375"/>
      <c r="AC243" s="1375"/>
      <c r="AD243" s="1375"/>
      <c r="AE243" s="341"/>
      <c r="AF243" s="341"/>
      <c r="AG243" s="341"/>
      <c r="AH243" s="77"/>
    </row>
    <row r="244" spans="1:34" ht="24.95" customHeight="1">
      <c r="A244" s="1376" t="s">
        <v>497</v>
      </c>
      <c r="B244" s="1376"/>
      <c r="C244" s="1376"/>
      <c r="D244" s="1376"/>
      <c r="E244" s="1376"/>
      <c r="F244" s="1377" t="s">
        <v>498</v>
      </c>
      <c r="G244" s="1377"/>
      <c r="H244" s="1377"/>
      <c r="I244" s="1377"/>
      <c r="J244" s="1377"/>
      <c r="K244" s="1377"/>
      <c r="L244" s="1377"/>
      <c r="M244" s="1377"/>
      <c r="N244" s="1377"/>
      <c r="O244" s="1377"/>
      <c r="P244" s="1377"/>
      <c r="Q244" s="1377"/>
      <c r="R244" s="1377"/>
      <c r="S244" s="1377"/>
      <c r="T244" s="1377"/>
      <c r="U244" s="1377"/>
      <c r="V244" s="1377"/>
      <c r="W244" s="1377"/>
      <c r="X244" s="1377"/>
      <c r="Y244" s="1377"/>
      <c r="Z244" s="1377"/>
      <c r="AA244" s="1377"/>
      <c r="AB244" s="1377"/>
      <c r="AC244" s="1377"/>
      <c r="AD244" s="1377"/>
      <c r="AE244" s="341"/>
      <c r="AF244" s="341"/>
      <c r="AG244" s="341"/>
      <c r="AH244" s="77"/>
    </row>
    <row r="245" spans="1:34" ht="15" customHeight="1">
      <c r="A245" s="1378" t="s">
        <v>499</v>
      </c>
      <c r="B245" s="1378"/>
      <c r="C245" s="1378"/>
      <c r="D245" s="1378"/>
      <c r="E245" s="1378"/>
      <c r="F245" s="1379" t="s">
        <v>500</v>
      </c>
      <c r="G245" s="1379"/>
      <c r="H245" s="1379"/>
      <c r="I245" s="1379"/>
      <c r="J245" s="1379"/>
      <c r="K245" s="1379"/>
      <c r="L245" s="1379"/>
      <c r="M245" s="1379"/>
      <c r="N245" s="1379"/>
      <c r="O245" s="1379"/>
      <c r="P245" s="1379"/>
      <c r="Q245" s="1379"/>
      <c r="R245" s="1379"/>
      <c r="S245" s="1379"/>
      <c r="T245" s="1379"/>
      <c r="U245" s="1379"/>
      <c r="V245" s="1379"/>
      <c r="W245" s="1379"/>
      <c r="X245" s="1379"/>
      <c r="Y245" s="1379"/>
      <c r="Z245" s="1379"/>
      <c r="AA245" s="1379"/>
      <c r="AB245" s="1379"/>
      <c r="AC245" s="1379"/>
      <c r="AD245" s="1379"/>
      <c r="AE245" s="341"/>
      <c r="AF245" s="341"/>
      <c r="AG245" s="341"/>
      <c r="AH245" s="77"/>
    </row>
  </sheetData>
  <sheetProtection algorithmName="SHA-512" hashValue="E52FAMZBWufgPdcobyzDA82CfP7k1RS530VmnyFENnCNVvaCBBh1df5lHecJJKPgfcfWfplw3wUyfJfhv2TVng==" saltValue="JKLLpYQZ9KNGYhDi1zEGPA==" spinCount="100000" sheet="1" objects="1" scenarios="1" selectLockedCells="1"/>
  <mergeCells count="908">
    <mergeCell ref="BB200:BC200"/>
    <mergeCell ref="AT199:AU199"/>
    <mergeCell ref="AV199:AW199"/>
    <mergeCell ref="BH206:BI206"/>
    <mergeCell ref="BJ206:BK206"/>
    <mergeCell ref="A207:AG207"/>
    <mergeCell ref="F208:AC208"/>
    <mergeCell ref="AD208:AG208"/>
    <mergeCell ref="G209:AC209"/>
    <mergeCell ref="A208:E215"/>
    <mergeCell ref="G210:R210"/>
    <mergeCell ref="S210:V210"/>
    <mergeCell ref="X210:Y210"/>
    <mergeCell ref="AA210:AB210"/>
    <mergeCell ref="G211:R211"/>
    <mergeCell ref="S211:AC211"/>
    <mergeCell ref="G212:R212"/>
    <mergeCell ref="S212:AC212"/>
    <mergeCell ref="F214:F215"/>
    <mergeCell ref="G214:AC214"/>
    <mergeCell ref="AD214:AG215"/>
    <mergeCell ref="H215:AC215"/>
    <mergeCell ref="BB206:BC206"/>
    <mergeCell ref="BH205:BI205"/>
    <mergeCell ref="BJ205:BK205"/>
    <mergeCell ref="A206:E206"/>
    <mergeCell ref="F206:G206"/>
    <mergeCell ref="H206:I206"/>
    <mergeCell ref="J206:K206"/>
    <mergeCell ref="L206:M206"/>
    <mergeCell ref="N206:O206"/>
    <mergeCell ref="P206:Q206"/>
    <mergeCell ref="R206:S206"/>
    <mergeCell ref="T206:U206"/>
    <mergeCell ref="V206:W206"/>
    <mergeCell ref="X206:Y206"/>
    <mergeCell ref="Z206:AA206"/>
    <mergeCell ref="AB206:AC206"/>
    <mergeCell ref="AD206:AE206"/>
    <mergeCell ref="AL206:AM206"/>
    <mergeCell ref="AN206:AO206"/>
    <mergeCell ref="AP206:AQ206"/>
    <mergeCell ref="AR206:AS206"/>
    <mergeCell ref="AT206:AU206"/>
    <mergeCell ref="AV206:AW206"/>
    <mergeCell ref="AX206:AY206"/>
    <mergeCell ref="AZ206:BA206"/>
    <mergeCell ref="BD205:BE205"/>
    <mergeCell ref="BF205:BG205"/>
    <mergeCell ref="V205:W205"/>
    <mergeCell ref="X205:Y205"/>
    <mergeCell ref="Z205:AA205"/>
    <mergeCell ref="AB205:AC205"/>
    <mergeCell ref="AD205:AE205"/>
    <mergeCell ref="AF205:AG206"/>
    <mergeCell ref="AI205:AI206"/>
    <mergeCell ref="AL205:AM205"/>
    <mergeCell ref="AN205:AO205"/>
    <mergeCell ref="BD206:BE206"/>
    <mergeCell ref="BF206:BG206"/>
    <mergeCell ref="AP205:AQ205"/>
    <mergeCell ref="AR205:AS205"/>
    <mergeCell ref="AT205:AU205"/>
    <mergeCell ref="AV205:AW205"/>
    <mergeCell ref="AX205:AY205"/>
    <mergeCell ref="AZ205:BA205"/>
    <mergeCell ref="BB205:BC205"/>
    <mergeCell ref="A205:E205"/>
    <mergeCell ref="F205:G205"/>
    <mergeCell ref="H205:I205"/>
    <mergeCell ref="J205:K205"/>
    <mergeCell ref="L205:M205"/>
    <mergeCell ref="N205:O205"/>
    <mergeCell ref="P205:Q205"/>
    <mergeCell ref="R205:S205"/>
    <mergeCell ref="T205:U205"/>
    <mergeCell ref="BH203:BI203"/>
    <mergeCell ref="BJ203:BK203"/>
    <mergeCell ref="A204:E204"/>
    <mergeCell ref="F204:G204"/>
    <mergeCell ref="H204:I204"/>
    <mergeCell ref="J204:K204"/>
    <mergeCell ref="L204:M204"/>
    <mergeCell ref="N204:O204"/>
    <mergeCell ref="P204:Q204"/>
    <mergeCell ref="R204:S204"/>
    <mergeCell ref="T204:U204"/>
    <mergeCell ref="V204:W204"/>
    <mergeCell ref="X204:Y204"/>
    <mergeCell ref="Z204:AA204"/>
    <mergeCell ref="AB204:AC204"/>
    <mergeCell ref="AD204:AE204"/>
    <mergeCell ref="AF204:AG204"/>
    <mergeCell ref="BB203:BC203"/>
    <mergeCell ref="BH202:BI202"/>
    <mergeCell ref="BJ202:BK202"/>
    <mergeCell ref="A203:E203"/>
    <mergeCell ref="F203:G203"/>
    <mergeCell ref="H203:I203"/>
    <mergeCell ref="J203:K203"/>
    <mergeCell ref="L203:M203"/>
    <mergeCell ref="N203:O203"/>
    <mergeCell ref="P203:Q203"/>
    <mergeCell ref="R203:S203"/>
    <mergeCell ref="T203:U203"/>
    <mergeCell ref="V203:W203"/>
    <mergeCell ref="X203:Y203"/>
    <mergeCell ref="Z203:AA203"/>
    <mergeCell ref="AB203:AC203"/>
    <mergeCell ref="AD203:AE203"/>
    <mergeCell ref="AL203:AM203"/>
    <mergeCell ref="AN203:AO203"/>
    <mergeCell ref="AP203:AQ203"/>
    <mergeCell ref="AR203:AS203"/>
    <mergeCell ref="AT203:AU203"/>
    <mergeCell ref="AV203:AW203"/>
    <mergeCell ref="AX203:AY203"/>
    <mergeCell ref="AZ203:BA203"/>
    <mergeCell ref="BD202:BE202"/>
    <mergeCell ref="BF202:BG202"/>
    <mergeCell ref="V202:W202"/>
    <mergeCell ref="X202:Y202"/>
    <mergeCell ref="Z202:AA202"/>
    <mergeCell ref="AB202:AC202"/>
    <mergeCell ref="AD202:AE202"/>
    <mergeCell ref="AF202:AG203"/>
    <mergeCell ref="AI202:AI203"/>
    <mergeCell ref="AL202:AM202"/>
    <mergeCell ref="AN202:AO202"/>
    <mergeCell ref="BD203:BE203"/>
    <mergeCell ref="BF203:BG203"/>
    <mergeCell ref="AP202:AQ202"/>
    <mergeCell ref="AR202:AS202"/>
    <mergeCell ref="AT202:AU202"/>
    <mergeCell ref="AV202:AW202"/>
    <mergeCell ref="AX202:AY202"/>
    <mergeCell ref="AZ202:BA202"/>
    <mergeCell ref="BB202:BC202"/>
    <mergeCell ref="A202:E202"/>
    <mergeCell ref="F202:G202"/>
    <mergeCell ref="H202:I202"/>
    <mergeCell ref="J202:K202"/>
    <mergeCell ref="L202:M202"/>
    <mergeCell ref="N202:O202"/>
    <mergeCell ref="P202:Q202"/>
    <mergeCell ref="R202:S202"/>
    <mergeCell ref="T202:U202"/>
    <mergeCell ref="BD200:BE200"/>
    <mergeCell ref="BF200:BG200"/>
    <mergeCell ref="BH200:BI200"/>
    <mergeCell ref="BJ200:BK200"/>
    <mergeCell ref="A201:E201"/>
    <mergeCell ref="F201:G201"/>
    <mergeCell ref="H201:I201"/>
    <mergeCell ref="J201:K201"/>
    <mergeCell ref="L201:M201"/>
    <mergeCell ref="N201:O201"/>
    <mergeCell ref="P201:Q201"/>
    <mergeCell ref="R201:S201"/>
    <mergeCell ref="T201:U201"/>
    <mergeCell ref="V201:W201"/>
    <mergeCell ref="X201:Y201"/>
    <mergeCell ref="Z201:AA201"/>
    <mergeCell ref="AB201:AC201"/>
    <mergeCell ref="AD201:AE201"/>
    <mergeCell ref="AF201:AG201"/>
    <mergeCell ref="AI199:AI200"/>
    <mergeCell ref="AL199:AM199"/>
    <mergeCell ref="AN199:AO199"/>
    <mergeCell ref="AP199:AQ199"/>
    <mergeCell ref="BB199:BC199"/>
    <mergeCell ref="BD199:BE199"/>
    <mergeCell ref="BF199:BG199"/>
    <mergeCell ref="BH199:BI199"/>
    <mergeCell ref="BJ199:BK199"/>
    <mergeCell ref="A200:E200"/>
    <mergeCell ref="F200:G200"/>
    <mergeCell ref="H200:I200"/>
    <mergeCell ref="J200:K200"/>
    <mergeCell ref="L200:M200"/>
    <mergeCell ref="N200:O200"/>
    <mergeCell ref="P200:Q200"/>
    <mergeCell ref="R200:S200"/>
    <mergeCell ref="T200:U200"/>
    <mergeCell ref="V200:W200"/>
    <mergeCell ref="X200:Y200"/>
    <mergeCell ref="Z200:AA200"/>
    <mergeCell ref="AB200:AC200"/>
    <mergeCell ref="AD200:AE200"/>
    <mergeCell ref="AL200:AM200"/>
    <mergeCell ref="AN200:AO200"/>
    <mergeCell ref="AP200:AQ200"/>
    <mergeCell ref="AR200:AS200"/>
    <mergeCell ref="AT200:AU200"/>
    <mergeCell ref="AR199:AS199"/>
    <mergeCell ref="T199:U199"/>
    <mergeCell ref="AX199:AY199"/>
    <mergeCell ref="AZ199:BA199"/>
    <mergeCell ref="AV200:AW200"/>
    <mergeCell ref="AX200:AY200"/>
    <mergeCell ref="AZ200:BA200"/>
    <mergeCell ref="V198:W198"/>
    <mergeCell ref="X198:Y198"/>
    <mergeCell ref="Z198:AA198"/>
    <mergeCell ref="AB198:AC198"/>
    <mergeCell ref="AD198:AE198"/>
    <mergeCell ref="AF198:AG198"/>
    <mergeCell ref="V199:W199"/>
    <mergeCell ref="X199:Y199"/>
    <mergeCell ref="Z199:AA199"/>
    <mergeCell ref="AB199:AC199"/>
    <mergeCell ref="AD199:AE199"/>
    <mergeCell ref="AF199:AG200"/>
    <mergeCell ref="AT197:AU197"/>
    <mergeCell ref="AV197:AW197"/>
    <mergeCell ref="AX197:AY197"/>
    <mergeCell ref="AZ197:BA197"/>
    <mergeCell ref="BB197:BC197"/>
    <mergeCell ref="BD197:BE197"/>
    <mergeCell ref="BF197:BG197"/>
    <mergeCell ref="BH197:BI197"/>
    <mergeCell ref="BJ197:BK197"/>
    <mergeCell ref="AZ196:BA196"/>
    <mergeCell ref="BB196:BC196"/>
    <mergeCell ref="BD196:BE196"/>
    <mergeCell ref="BF196:BG196"/>
    <mergeCell ref="BH196:BI196"/>
    <mergeCell ref="BJ196:BK196"/>
    <mergeCell ref="A197:E197"/>
    <mergeCell ref="F197:G197"/>
    <mergeCell ref="H197:I197"/>
    <mergeCell ref="J197:K197"/>
    <mergeCell ref="L197:M197"/>
    <mergeCell ref="N197:O197"/>
    <mergeCell ref="P197:Q197"/>
    <mergeCell ref="R197:S197"/>
    <mergeCell ref="T197:U197"/>
    <mergeCell ref="V197:W197"/>
    <mergeCell ref="X197:Y197"/>
    <mergeCell ref="Z197:AA197"/>
    <mergeCell ref="AB197:AC197"/>
    <mergeCell ref="AD197:AE197"/>
    <mergeCell ref="AL197:AM197"/>
    <mergeCell ref="AN197:AO197"/>
    <mergeCell ref="AP197:AQ197"/>
    <mergeCell ref="AR197:AS197"/>
    <mergeCell ref="AZ194:BA194"/>
    <mergeCell ref="BB194:BC194"/>
    <mergeCell ref="F196:G196"/>
    <mergeCell ref="H196:I196"/>
    <mergeCell ref="J196:K196"/>
    <mergeCell ref="L196:M196"/>
    <mergeCell ref="N196:O196"/>
    <mergeCell ref="P196:Q196"/>
    <mergeCell ref="R196:S196"/>
    <mergeCell ref="T196:U196"/>
    <mergeCell ref="V196:W196"/>
    <mergeCell ref="X196:Y196"/>
    <mergeCell ref="Z196:AA196"/>
    <mergeCell ref="AB196:AC196"/>
    <mergeCell ref="AD196:AE196"/>
    <mergeCell ref="AF196:AG197"/>
    <mergeCell ref="AI196:AI197"/>
    <mergeCell ref="AL196:AM196"/>
    <mergeCell ref="AN196:AO196"/>
    <mergeCell ref="AP196:AQ196"/>
    <mergeCell ref="AR196:AS196"/>
    <mergeCell ref="AT196:AU196"/>
    <mergeCell ref="AV196:AW196"/>
    <mergeCell ref="AX196:AY196"/>
    <mergeCell ref="BF193:BG193"/>
    <mergeCell ref="BH193:BI193"/>
    <mergeCell ref="BH194:BI194"/>
    <mergeCell ref="BJ194:BK194"/>
    <mergeCell ref="A195:E195"/>
    <mergeCell ref="F195:G195"/>
    <mergeCell ref="H195:I195"/>
    <mergeCell ref="J195:K195"/>
    <mergeCell ref="L195:M195"/>
    <mergeCell ref="N195:O195"/>
    <mergeCell ref="P195:Q195"/>
    <mergeCell ref="R195:S195"/>
    <mergeCell ref="T195:U195"/>
    <mergeCell ref="V195:W195"/>
    <mergeCell ref="X195:Y195"/>
    <mergeCell ref="Z195:AA195"/>
    <mergeCell ref="AB195:AC195"/>
    <mergeCell ref="AD195:AE195"/>
    <mergeCell ref="AF195:AG195"/>
    <mergeCell ref="AP194:AQ194"/>
    <mergeCell ref="AR194:AS194"/>
    <mergeCell ref="AT194:AU194"/>
    <mergeCell ref="AV194:AW194"/>
    <mergeCell ref="AX194:AY194"/>
    <mergeCell ref="BJ193:BK193"/>
    <mergeCell ref="A194:E194"/>
    <mergeCell ref="F194:G194"/>
    <mergeCell ref="H194:I194"/>
    <mergeCell ref="J194:K194"/>
    <mergeCell ref="L194:M194"/>
    <mergeCell ref="N194:O194"/>
    <mergeCell ref="P194:Q194"/>
    <mergeCell ref="R194:S194"/>
    <mergeCell ref="T194:U194"/>
    <mergeCell ref="V194:W194"/>
    <mergeCell ref="X194:Y194"/>
    <mergeCell ref="Z194:AA194"/>
    <mergeCell ref="AB194:AC194"/>
    <mergeCell ref="AD194:AE194"/>
    <mergeCell ref="AL194:AM194"/>
    <mergeCell ref="AN194:AO194"/>
    <mergeCell ref="BD194:BE194"/>
    <mergeCell ref="BF194:BG194"/>
    <mergeCell ref="AV193:AW193"/>
    <mergeCell ref="AX193:AY193"/>
    <mergeCell ref="AZ193:BA193"/>
    <mergeCell ref="BB193:BC193"/>
    <mergeCell ref="BD193:BE193"/>
    <mergeCell ref="BD192:BE192"/>
    <mergeCell ref="BF192:BG192"/>
    <mergeCell ref="BH192:BI192"/>
    <mergeCell ref="A193:E193"/>
    <mergeCell ref="F193:G193"/>
    <mergeCell ref="H193:I193"/>
    <mergeCell ref="J193:K193"/>
    <mergeCell ref="L193:M193"/>
    <mergeCell ref="N193:O193"/>
    <mergeCell ref="P193:Q193"/>
    <mergeCell ref="R193:S193"/>
    <mergeCell ref="T193:U193"/>
    <mergeCell ref="V193:W193"/>
    <mergeCell ref="X193:Y193"/>
    <mergeCell ref="Z193:AA193"/>
    <mergeCell ref="AB193:AC193"/>
    <mergeCell ref="AD193:AE193"/>
    <mergeCell ref="AF193:AG194"/>
    <mergeCell ref="AI193:AI194"/>
    <mergeCell ref="AL193:AM193"/>
    <mergeCell ref="AN193:AO193"/>
    <mergeCell ref="AP193:AQ193"/>
    <mergeCell ref="AR193:AS193"/>
    <mergeCell ref="AT193:AU193"/>
    <mergeCell ref="AL192:AM192"/>
    <mergeCell ref="AN192:AO192"/>
    <mergeCell ref="AP192:AQ192"/>
    <mergeCell ref="AR192:AS192"/>
    <mergeCell ref="AT192:AU192"/>
    <mergeCell ref="AV192:AW192"/>
    <mergeCell ref="AX192:AY192"/>
    <mergeCell ref="AZ192:BA192"/>
    <mergeCell ref="BB192:BC192"/>
    <mergeCell ref="F243:AD243"/>
    <mergeCell ref="A228:E228"/>
    <mergeCell ref="H236:Z236"/>
    <mergeCell ref="AA236:AD236"/>
    <mergeCell ref="A244:E244"/>
    <mergeCell ref="F244:AD244"/>
    <mergeCell ref="A245:E245"/>
    <mergeCell ref="F245:AD245"/>
    <mergeCell ref="J219:N219"/>
    <mergeCell ref="A237:E240"/>
    <mergeCell ref="F237:AD237"/>
    <mergeCell ref="F238:AD238"/>
    <mergeCell ref="F239:AD239"/>
    <mergeCell ref="F240:AD240"/>
    <mergeCell ref="A242:E242"/>
    <mergeCell ref="F242:AD242"/>
    <mergeCell ref="A243:E243"/>
    <mergeCell ref="F228:K228"/>
    <mergeCell ref="A229:E236"/>
    <mergeCell ref="F229:Z229"/>
    <mergeCell ref="AA229:AD229"/>
    <mergeCell ref="G230:Z230"/>
    <mergeCell ref="F236:G236"/>
    <mergeCell ref="A221:AG221"/>
    <mergeCell ref="G127:Z127"/>
    <mergeCell ref="O137:Q137"/>
    <mergeCell ref="H151:Z151"/>
    <mergeCell ref="AA151:AD152"/>
    <mergeCell ref="H152:K152"/>
    <mergeCell ref="AA133:AD133"/>
    <mergeCell ref="F160:G160"/>
    <mergeCell ref="F147:Z147"/>
    <mergeCell ref="AA147:AD147"/>
    <mergeCell ref="A138:AG138"/>
    <mergeCell ref="A147:E162"/>
    <mergeCell ref="G162:Z162"/>
    <mergeCell ref="AA162:AD162"/>
    <mergeCell ref="AA160:AD160"/>
    <mergeCell ref="H142:Z142"/>
    <mergeCell ref="F143:G143"/>
    <mergeCell ref="H143:Z143"/>
    <mergeCell ref="F144:G144"/>
    <mergeCell ref="G154:Z154"/>
    <mergeCell ref="H155:Z155"/>
    <mergeCell ref="F156:G156"/>
    <mergeCell ref="H156:Z156"/>
    <mergeCell ref="F157:G157"/>
    <mergeCell ref="H157:Z157"/>
    <mergeCell ref="A219:I219"/>
    <mergeCell ref="O219:Q219"/>
    <mergeCell ref="AA230:AD230"/>
    <mergeCell ref="G231:Z231"/>
    <mergeCell ref="AA231:AD231"/>
    <mergeCell ref="F232:G232"/>
    <mergeCell ref="H232:Z232"/>
    <mergeCell ref="AA232:AD232"/>
    <mergeCell ref="G159:Z159"/>
    <mergeCell ref="H198:I198"/>
    <mergeCell ref="J198:K198"/>
    <mergeCell ref="L198:M198"/>
    <mergeCell ref="N198:O198"/>
    <mergeCell ref="P198:Q198"/>
    <mergeCell ref="R198:S198"/>
    <mergeCell ref="T198:U198"/>
    <mergeCell ref="A199:E199"/>
    <mergeCell ref="F199:G199"/>
    <mergeCell ref="H199:I199"/>
    <mergeCell ref="J199:K199"/>
    <mergeCell ref="L199:M199"/>
    <mergeCell ref="N199:O199"/>
    <mergeCell ref="P199:Q199"/>
    <mergeCell ref="R199:S199"/>
    <mergeCell ref="F233:H233"/>
    <mergeCell ref="I233:Z233"/>
    <mergeCell ref="AA233:AD233"/>
    <mergeCell ref="O227:Q227"/>
    <mergeCell ref="F220:K220"/>
    <mergeCell ref="F234:H234"/>
    <mergeCell ref="I234:Z234"/>
    <mergeCell ref="AA234:AD234"/>
    <mergeCell ref="F235:H235"/>
    <mergeCell ref="I235:Z235"/>
    <mergeCell ref="AA235:AD235"/>
    <mergeCell ref="A223:I223"/>
    <mergeCell ref="J223:N223"/>
    <mergeCell ref="O223:Q223"/>
    <mergeCell ref="A224:E224"/>
    <mergeCell ref="F224:K224"/>
    <mergeCell ref="A225:AG225"/>
    <mergeCell ref="A220:E220"/>
    <mergeCell ref="A216:E217"/>
    <mergeCell ref="F216:AG216"/>
    <mergeCell ref="F217:AG217"/>
    <mergeCell ref="A227:I227"/>
    <mergeCell ref="J227:N227"/>
    <mergeCell ref="X192:Y192"/>
    <mergeCell ref="Z192:AA192"/>
    <mergeCell ref="AB192:AC192"/>
    <mergeCell ref="AD192:AE192"/>
    <mergeCell ref="A192:E192"/>
    <mergeCell ref="F192:G192"/>
    <mergeCell ref="A196:E196"/>
    <mergeCell ref="G213:R213"/>
    <mergeCell ref="S213:AC213"/>
    <mergeCell ref="AD209:AG213"/>
    <mergeCell ref="A198:E198"/>
    <mergeCell ref="F198:G198"/>
    <mergeCell ref="H192:I192"/>
    <mergeCell ref="J192:K192"/>
    <mergeCell ref="L192:M192"/>
    <mergeCell ref="N192:O192"/>
    <mergeCell ref="P192:Q192"/>
    <mergeCell ref="R192:S192"/>
    <mergeCell ref="T192:U192"/>
    <mergeCell ref="A174:AD174"/>
    <mergeCell ref="H160:Z160"/>
    <mergeCell ref="F161:G161"/>
    <mergeCell ref="H161:Z161"/>
    <mergeCell ref="A185:I185"/>
    <mergeCell ref="J185:N185"/>
    <mergeCell ref="O185:Q185"/>
    <mergeCell ref="A186:AG186"/>
    <mergeCell ref="A187:E189"/>
    <mergeCell ref="F187:AC187"/>
    <mergeCell ref="AD187:AG187"/>
    <mergeCell ref="G188:AC188"/>
    <mergeCell ref="AD188:AG188"/>
    <mergeCell ref="F163:AD163"/>
    <mergeCell ref="A183:AD183"/>
    <mergeCell ref="G189:AC189"/>
    <mergeCell ref="AD189:AG189"/>
    <mergeCell ref="A182:E182"/>
    <mergeCell ref="A178:E180"/>
    <mergeCell ref="F180:Z180"/>
    <mergeCell ref="AA180:AD180"/>
    <mergeCell ref="J176:N176"/>
    <mergeCell ref="A181:E181"/>
    <mergeCell ref="F181:AD181"/>
    <mergeCell ref="AU83:AW83"/>
    <mergeCell ref="AI87:AI88"/>
    <mergeCell ref="AU87:AW87"/>
    <mergeCell ref="F84:G84"/>
    <mergeCell ref="H84:Z84"/>
    <mergeCell ref="AA84:AD84"/>
    <mergeCell ref="F85:G86"/>
    <mergeCell ref="N86:Z86"/>
    <mergeCell ref="H85:Z85"/>
    <mergeCell ref="G83:Z83"/>
    <mergeCell ref="AA83:AD83"/>
    <mergeCell ref="A190:AG190"/>
    <mergeCell ref="A191:E191"/>
    <mergeCell ref="F191:I191"/>
    <mergeCell ref="J191:K191"/>
    <mergeCell ref="L191:M191"/>
    <mergeCell ref="N191:O191"/>
    <mergeCell ref="AF192:AG192"/>
    <mergeCell ref="V192:W192"/>
    <mergeCell ref="F104:Z104"/>
    <mergeCell ref="B169:AD171"/>
    <mergeCell ref="F167:AD167"/>
    <mergeCell ref="A163:E167"/>
    <mergeCell ref="F166:AD166"/>
    <mergeCell ref="A146:I146"/>
    <mergeCell ref="F149:G149"/>
    <mergeCell ref="H149:Z149"/>
    <mergeCell ref="AA149:AD149"/>
    <mergeCell ref="O176:Q176"/>
    <mergeCell ref="F182:AD182"/>
    <mergeCell ref="F178:Z178"/>
    <mergeCell ref="A176:I176"/>
    <mergeCell ref="AA178:AD178"/>
    <mergeCell ref="F179:Z179"/>
    <mergeCell ref="AA179:AD179"/>
    <mergeCell ref="Z91:AA91"/>
    <mergeCell ref="AB91:AC91"/>
    <mergeCell ref="L91:M91"/>
    <mergeCell ref="N91:O91"/>
    <mergeCell ref="F103:K103"/>
    <mergeCell ref="P91:Q91"/>
    <mergeCell ref="T92:U92"/>
    <mergeCell ref="V92:W92"/>
    <mergeCell ref="F92:G92"/>
    <mergeCell ref="H92:I92"/>
    <mergeCell ref="J92:K92"/>
    <mergeCell ref="L92:M92"/>
    <mergeCell ref="A100:AG100"/>
    <mergeCell ref="AI17:AJ17"/>
    <mergeCell ref="AI18:AJ18"/>
    <mergeCell ref="B17:E17"/>
    <mergeCell ref="F17:U17"/>
    <mergeCell ref="B40:E40"/>
    <mergeCell ref="B41:E41"/>
    <mergeCell ref="V19:AF19"/>
    <mergeCell ref="V35:Y35"/>
    <mergeCell ref="Z35:AF35"/>
    <mergeCell ref="Z38:AF38"/>
    <mergeCell ref="V38:Y38"/>
    <mergeCell ref="Z29:AF29"/>
    <mergeCell ref="Z24:AF24"/>
    <mergeCell ref="V25:Y25"/>
    <mergeCell ref="F20:U20"/>
    <mergeCell ref="F30:U30"/>
    <mergeCell ref="F21:U21"/>
    <mergeCell ref="Z21:AF21"/>
    <mergeCell ref="F26:U26"/>
    <mergeCell ref="F28:U28"/>
    <mergeCell ref="B18:E18"/>
    <mergeCell ref="V40:AF41"/>
    <mergeCell ref="F37:U37"/>
    <mergeCell ref="V37:Y37"/>
    <mergeCell ref="B31:E31"/>
    <mergeCell ref="F117:K117"/>
    <mergeCell ref="A118:E121"/>
    <mergeCell ref="A126:E133"/>
    <mergeCell ref="F126:Z126"/>
    <mergeCell ref="F118:Z118"/>
    <mergeCell ref="AA118:AD118"/>
    <mergeCell ref="A93:E93"/>
    <mergeCell ref="AB92:AC92"/>
    <mergeCell ref="AD92:AG92"/>
    <mergeCell ref="F93:AC93"/>
    <mergeCell ref="AD93:AG93"/>
    <mergeCell ref="G107:Z107"/>
    <mergeCell ref="AA107:AD107"/>
    <mergeCell ref="F108:I111"/>
    <mergeCell ref="J108:Z108"/>
    <mergeCell ref="A94:E95"/>
    <mergeCell ref="F95:AG95"/>
    <mergeCell ref="O102:Q102"/>
    <mergeCell ref="A103:E103"/>
    <mergeCell ref="J116:N116"/>
    <mergeCell ref="J62:N62"/>
    <mergeCell ref="V91:W91"/>
    <mergeCell ref="A102:I102"/>
    <mergeCell ref="F165:AD165"/>
    <mergeCell ref="A172:AD172"/>
    <mergeCell ref="B173:AD173"/>
    <mergeCell ref="AA121:AD121"/>
    <mergeCell ref="A122:E122"/>
    <mergeCell ref="H144:Z144"/>
    <mergeCell ref="AA127:AD130"/>
    <mergeCell ref="F128:G128"/>
    <mergeCell ref="H128:Z128"/>
    <mergeCell ref="H130:Z130"/>
    <mergeCell ref="AA132:AD132"/>
    <mergeCell ref="AA126:AD126"/>
    <mergeCell ref="G133:Z133"/>
    <mergeCell ref="G132:Z132"/>
    <mergeCell ref="AA131:AD131"/>
    <mergeCell ref="F129:G129"/>
    <mergeCell ref="H129:Z129"/>
    <mergeCell ref="F130:G130"/>
    <mergeCell ref="J124:N124"/>
    <mergeCell ref="J137:N137"/>
    <mergeCell ref="G158:Z158"/>
    <mergeCell ref="F155:G155"/>
    <mergeCell ref="F150:G150"/>
    <mergeCell ref="H150:Z150"/>
    <mergeCell ref="AA112:AD112"/>
    <mergeCell ref="A125:AG125"/>
    <mergeCell ref="A91:E91"/>
    <mergeCell ref="AA119:AD119"/>
    <mergeCell ref="G120:Z120"/>
    <mergeCell ref="AA120:AD120"/>
    <mergeCell ref="G119:Z119"/>
    <mergeCell ref="A104:E112"/>
    <mergeCell ref="O116:Q116"/>
    <mergeCell ref="G106:Z106"/>
    <mergeCell ref="F113:AD113"/>
    <mergeCell ref="A116:I116"/>
    <mergeCell ref="AA111:AD111"/>
    <mergeCell ref="A113:E114"/>
    <mergeCell ref="F114:AD114"/>
    <mergeCell ref="A117:E117"/>
    <mergeCell ref="A124:I124"/>
    <mergeCell ref="G121:Z121"/>
    <mergeCell ref="R91:S91"/>
    <mergeCell ref="T91:U91"/>
    <mergeCell ref="AA104:AD104"/>
    <mergeCell ref="G105:Z105"/>
    <mergeCell ref="F94:AG94"/>
    <mergeCell ref="X91:Y91"/>
    <mergeCell ref="F164:AD164"/>
    <mergeCell ref="A135:I137"/>
    <mergeCell ref="R152:U152"/>
    <mergeCell ref="V152:W152"/>
    <mergeCell ref="G153:Z153"/>
    <mergeCell ref="AA153:AD153"/>
    <mergeCell ref="AA158:AD158"/>
    <mergeCell ref="O146:Q146"/>
    <mergeCell ref="J146:N146"/>
    <mergeCell ref="G148:Z148"/>
    <mergeCell ref="AA148:AD148"/>
    <mergeCell ref="L152:Q152"/>
    <mergeCell ref="A139:E144"/>
    <mergeCell ref="F139:Z139"/>
    <mergeCell ref="AA139:AD139"/>
    <mergeCell ref="G140:Z140"/>
    <mergeCell ref="AA159:AD159"/>
    <mergeCell ref="AA161:AD161"/>
    <mergeCell ref="AA150:AD150"/>
    <mergeCell ref="F151:G152"/>
    <mergeCell ref="AA154:AD154"/>
    <mergeCell ref="AA155:AD155"/>
    <mergeCell ref="AA156:AD156"/>
    <mergeCell ref="AA157:AD157"/>
    <mergeCell ref="G55:Z55"/>
    <mergeCell ref="AA55:AD55"/>
    <mergeCell ref="G51:Z51"/>
    <mergeCell ref="A60:AG60"/>
    <mergeCell ref="AE76:AG77"/>
    <mergeCell ref="G112:Z112"/>
    <mergeCell ref="AA108:AD108"/>
    <mergeCell ref="K109:Z109"/>
    <mergeCell ref="AA109:AD109"/>
    <mergeCell ref="K110:Z110"/>
    <mergeCell ref="A92:E92"/>
    <mergeCell ref="P92:Q92"/>
    <mergeCell ref="R92:S92"/>
    <mergeCell ref="AD89:AG89"/>
    <mergeCell ref="A96:AG96"/>
    <mergeCell ref="A97:AG97"/>
    <mergeCell ref="A98:AG98"/>
    <mergeCell ref="A99:AG99"/>
    <mergeCell ref="F91:G91"/>
    <mergeCell ref="H91:I91"/>
    <mergeCell ref="J91:K91"/>
    <mergeCell ref="N92:O92"/>
    <mergeCell ref="J102:N102"/>
    <mergeCell ref="X92:Y92"/>
    <mergeCell ref="G131:Z131"/>
    <mergeCell ref="O71:T71"/>
    <mergeCell ref="U73:Z73"/>
    <mergeCell ref="G58:Z58"/>
    <mergeCell ref="AA110:AD110"/>
    <mergeCell ref="K111:Z111"/>
    <mergeCell ref="F122:AD122"/>
    <mergeCell ref="O124:Q124"/>
    <mergeCell ref="AA56:AD56"/>
    <mergeCell ref="F57:G57"/>
    <mergeCell ref="AA57:AD57"/>
    <mergeCell ref="F56:G56"/>
    <mergeCell ref="H56:Z56"/>
    <mergeCell ref="Z92:AA92"/>
    <mergeCell ref="AA106:AD106"/>
    <mergeCell ref="A101:AG101"/>
    <mergeCell ref="AA105:AD105"/>
    <mergeCell ref="AD91:AG91"/>
    <mergeCell ref="J66:N66"/>
    <mergeCell ref="J79:N79"/>
    <mergeCell ref="A62:I62"/>
    <mergeCell ref="AA85:AD86"/>
    <mergeCell ref="H86:M86"/>
    <mergeCell ref="A67:E67"/>
    <mergeCell ref="AA140:AD140"/>
    <mergeCell ref="G141:Z141"/>
    <mergeCell ref="AA141:AD144"/>
    <mergeCell ref="F142:G142"/>
    <mergeCell ref="B21:E21"/>
    <mergeCell ref="B20:E20"/>
    <mergeCell ref="F52:G52"/>
    <mergeCell ref="B37:E37"/>
    <mergeCell ref="B38:E38"/>
    <mergeCell ref="H57:Z57"/>
    <mergeCell ref="O75:T75"/>
    <mergeCell ref="O72:T72"/>
    <mergeCell ref="U72:Z72"/>
    <mergeCell ref="A50:E59"/>
    <mergeCell ref="J49:N49"/>
    <mergeCell ref="AA71:AD71"/>
    <mergeCell ref="F40:U40"/>
    <mergeCell ref="F41:U41"/>
    <mergeCell ref="F42:U42"/>
    <mergeCell ref="Z26:AF26"/>
    <mergeCell ref="V28:Y28"/>
    <mergeCell ref="Z28:AF28"/>
    <mergeCell ref="Z25:AF25"/>
    <mergeCell ref="V26:Y26"/>
    <mergeCell ref="AK1:AL1"/>
    <mergeCell ref="V42:AF43"/>
    <mergeCell ref="F81:K81"/>
    <mergeCell ref="F59:G59"/>
    <mergeCell ref="AA73:AD73"/>
    <mergeCell ref="I74:N74"/>
    <mergeCell ref="U75:Z75"/>
    <mergeCell ref="O79:Q79"/>
    <mergeCell ref="I71:N71"/>
    <mergeCell ref="C72:H72"/>
    <mergeCell ref="Z30:AF30"/>
    <mergeCell ref="AA75:AD75"/>
    <mergeCell ref="B22:E22"/>
    <mergeCell ref="B23:E23"/>
    <mergeCell ref="V31:Y31"/>
    <mergeCell ref="F29:U29"/>
    <mergeCell ref="F31:U31"/>
    <mergeCell ref="F33:U33"/>
    <mergeCell ref="F35:U35"/>
    <mergeCell ref="A44:AF45"/>
    <mergeCell ref="A46:AG46"/>
    <mergeCell ref="Z33:AF33"/>
    <mergeCell ref="B33:E33"/>
    <mergeCell ref="B35:E35"/>
    <mergeCell ref="A3:AD3"/>
    <mergeCell ref="W4:AD4"/>
    <mergeCell ref="A9:AG9"/>
    <mergeCell ref="A13:C13"/>
    <mergeCell ref="P6:R6"/>
    <mergeCell ref="X1:AG1"/>
    <mergeCell ref="D14:Y14"/>
    <mergeCell ref="A79:I79"/>
    <mergeCell ref="A14:C14"/>
    <mergeCell ref="D15:E15"/>
    <mergeCell ref="F15:G15"/>
    <mergeCell ref="H15:I15"/>
    <mergeCell ref="K15:L15"/>
    <mergeCell ref="M15:N15"/>
    <mergeCell ref="P15:Q15"/>
    <mergeCell ref="A15:C15"/>
    <mergeCell ref="R15:S15"/>
    <mergeCell ref="B42:E42"/>
    <mergeCell ref="B43:E43"/>
    <mergeCell ref="B24:E24"/>
    <mergeCell ref="A10:C10"/>
    <mergeCell ref="D10:F10"/>
    <mergeCell ref="G10:H10"/>
    <mergeCell ref="L10:N10"/>
    <mergeCell ref="AE50:AG50"/>
    <mergeCell ref="AE51:AG54"/>
    <mergeCell ref="AE55:AG57"/>
    <mergeCell ref="AE58:AG59"/>
    <mergeCell ref="O74:T74"/>
    <mergeCell ref="I73:N73"/>
    <mergeCell ref="O73:T73"/>
    <mergeCell ref="Z18:AF18"/>
    <mergeCell ref="Z22:AF22"/>
    <mergeCell ref="Z31:AF31"/>
    <mergeCell ref="AA58:AD58"/>
    <mergeCell ref="AA59:AD59"/>
    <mergeCell ref="V22:Y22"/>
    <mergeCell ref="A47:AG47"/>
    <mergeCell ref="A63:E63"/>
    <mergeCell ref="A48:AG48"/>
    <mergeCell ref="F22:U22"/>
    <mergeCell ref="V30:Y30"/>
    <mergeCell ref="V21:Y21"/>
    <mergeCell ref="F18:U18"/>
    <mergeCell ref="H59:Z59"/>
    <mergeCell ref="B25:E25"/>
    <mergeCell ref="B26:E26"/>
    <mergeCell ref="B30:E30"/>
    <mergeCell ref="H52:Z52"/>
    <mergeCell ref="A49:I49"/>
    <mergeCell ref="O49:Q49"/>
    <mergeCell ref="F43:U43"/>
    <mergeCell ref="AA54:AD54"/>
    <mergeCell ref="F50:Z50"/>
    <mergeCell ref="S6:AD6"/>
    <mergeCell ref="P7:R7"/>
    <mergeCell ref="S7:AD7"/>
    <mergeCell ref="A11:C11"/>
    <mergeCell ref="D11:N11"/>
    <mergeCell ref="D13:N13"/>
    <mergeCell ref="A12:C12"/>
    <mergeCell ref="D12:K12"/>
    <mergeCell ref="L12:N12"/>
    <mergeCell ref="I10:K10"/>
    <mergeCell ref="V17:Y17"/>
    <mergeCell ref="Z17:AF17"/>
    <mergeCell ref="A16:AF16"/>
    <mergeCell ref="V23:Y23"/>
    <mergeCell ref="Z23:AF23"/>
    <mergeCell ref="V24:Y24"/>
    <mergeCell ref="B28:E28"/>
    <mergeCell ref="B29:E29"/>
    <mergeCell ref="I70:N70"/>
    <mergeCell ref="O70:T70"/>
    <mergeCell ref="U70:Z70"/>
    <mergeCell ref="U74:Z74"/>
    <mergeCell ref="AE75:AG75"/>
    <mergeCell ref="F63:K63"/>
    <mergeCell ref="V18:Y18"/>
    <mergeCell ref="AA51:AD51"/>
    <mergeCell ref="Z37:AF37"/>
    <mergeCell ref="F23:U23"/>
    <mergeCell ref="F24:U24"/>
    <mergeCell ref="F25:U25"/>
    <mergeCell ref="V29:Y29"/>
    <mergeCell ref="V20:Y20"/>
    <mergeCell ref="F54:G54"/>
    <mergeCell ref="H54:Z54"/>
    <mergeCell ref="F53:G53"/>
    <mergeCell ref="H53:Z53"/>
    <mergeCell ref="AA53:AD53"/>
    <mergeCell ref="Z20:AF20"/>
    <mergeCell ref="V33:Y33"/>
    <mergeCell ref="AA50:AD50"/>
    <mergeCell ref="F38:U38"/>
    <mergeCell ref="AA52:AD52"/>
    <mergeCell ref="AA69:AD69"/>
    <mergeCell ref="A82:E88"/>
    <mergeCell ref="G87:Z88"/>
    <mergeCell ref="F87:F88"/>
    <mergeCell ref="I75:N75"/>
    <mergeCell ref="AA87:AD88"/>
    <mergeCell ref="AJ51:AJ54"/>
    <mergeCell ref="AJ55:AJ57"/>
    <mergeCell ref="A81:E81"/>
    <mergeCell ref="AE70:AG70"/>
    <mergeCell ref="AE71:AG71"/>
    <mergeCell ref="AE72:AG72"/>
    <mergeCell ref="AE73:AG73"/>
    <mergeCell ref="AE74:AG74"/>
    <mergeCell ref="O62:Q62"/>
    <mergeCell ref="A64:AG64"/>
    <mergeCell ref="O66:Q66"/>
    <mergeCell ref="AA70:AD70"/>
    <mergeCell ref="C71:H71"/>
    <mergeCell ref="A66:I66"/>
    <mergeCell ref="F67:K67"/>
    <mergeCell ref="A68:E69"/>
    <mergeCell ref="A70:B75"/>
    <mergeCell ref="C70:H70"/>
    <mergeCell ref="I72:N72"/>
    <mergeCell ref="C74:H74"/>
    <mergeCell ref="F82:Z82"/>
    <mergeCell ref="A76:E77"/>
    <mergeCell ref="AA72:AD72"/>
    <mergeCell ref="AA74:AD74"/>
    <mergeCell ref="C75:H75"/>
    <mergeCell ref="AA82:AD82"/>
    <mergeCell ref="C73:H73"/>
    <mergeCell ref="F76:AD76"/>
    <mergeCell ref="F77:AD77"/>
    <mergeCell ref="B36:E36"/>
    <mergeCell ref="V36:Y36"/>
    <mergeCell ref="Z36:AF36"/>
    <mergeCell ref="F36:U36"/>
    <mergeCell ref="AK17:AL17"/>
    <mergeCell ref="AD90:AG90"/>
    <mergeCell ref="A89:E90"/>
    <mergeCell ref="F89:AC89"/>
    <mergeCell ref="F90:G90"/>
    <mergeCell ref="H90:I90"/>
    <mergeCell ref="J90:K90"/>
    <mergeCell ref="L90:M90"/>
    <mergeCell ref="N90:O90"/>
    <mergeCell ref="P90:Q90"/>
    <mergeCell ref="R90:S90"/>
    <mergeCell ref="T90:U90"/>
    <mergeCell ref="V90:W90"/>
    <mergeCell ref="X90:Y90"/>
    <mergeCell ref="Z90:AA90"/>
    <mergeCell ref="AB90:AC90"/>
    <mergeCell ref="F68:Z68"/>
    <mergeCell ref="F69:Z69"/>
    <mergeCell ref="U71:Z71"/>
    <mergeCell ref="AA68:AD68"/>
  </mergeCells>
  <phoneticPr fontId="1"/>
  <conditionalFormatting sqref="B21:E21 B24:E24">
    <cfRule type="containsText" dxfId="108" priority="71" operator="containsText" text="エラー">
      <formula>NOT(ISERROR(SEARCH("エラー",B21)))</formula>
    </cfRule>
  </conditionalFormatting>
  <conditionalFormatting sqref="B38:E38">
    <cfRule type="containsText" dxfId="107" priority="68" operator="containsText" text="エラー">
      <formula>NOT(ISERROR(SEARCH("エラー",B38)))</formula>
    </cfRule>
  </conditionalFormatting>
  <conditionalFormatting sqref="AA52:AD52">
    <cfRule type="expression" dxfId="106" priority="65">
      <formula>OR($AI$53,$AI$54)</formula>
    </cfRule>
  </conditionalFormatting>
  <conditionalFormatting sqref="AA53:AD53">
    <cfRule type="expression" dxfId="105" priority="66">
      <formula>OR($AI$52,$AI$54)</formula>
    </cfRule>
  </conditionalFormatting>
  <conditionalFormatting sqref="AA54:AD54">
    <cfRule type="expression" dxfId="104" priority="67">
      <formula>OR($AI$52,$AI$53)</formula>
    </cfRule>
  </conditionalFormatting>
  <conditionalFormatting sqref="AA56:AD56">
    <cfRule type="expression" dxfId="103" priority="63">
      <formula>$AI$57</formula>
    </cfRule>
  </conditionalFormatting>
  <conditionalFormatting sqref="AA57:AD57">
    <cfRule type="expression" dxfId="102" priority="62">
      <formula>$AI$56</formula>
    </cfRule>
  </conditionalFormatting>
  <conditionalFormatting sqref="AA150:AD150">
    <cfRule type="expression" dxfId="101" priority="60">
      <formula>$AA$149&lt;&gt;"×"</formula>
    </cfRule>
  </conditionalFormatting>
  <conditionalFormatting sqref="AA151:AD152">
    <cfRule type="expression" dxfId="100" priority="59">
      <formula>OR($AA$149&lt;&gt;"×",$AA$150&lt;&gt;"×")</formula>
    </cfRule>
  </conditionalFormatting>
  <conditionalFormatting sqref="AA161:AD161">
    <cfRule type="expression" dxfId="99" priority="58">
      <formula>$AA$160&lt;&gt;"×"</formula>
    </cfRule>
  </conditionalFormatting>
  <conditionalFormatting sqref="AA109:AD111">
    <cfRule type="expression" dxfId="98" priority="53">
      <formula>$AA$107&lt;&gt;"×"</formula>
    </cfRule>
  </conditionalFormatting>
  <conditionalFormatting sqref="AA59:AD59">
    <cfRule type="expression" dxfId="97" priority="250">
      <formula>$AI$149=1</formula>
    </cfRule>
  </conditionalFormatting>
  <conditionalFormatting sqref="AE71:AG75">
    <cfRule type="containsText" dxfId="96" priority="37" operator="containsText" text="誤り">
      <formula>NOT(ISERROR(SEARCH("誤り",AE71)))</formula>
    </cfRule>
  </conditionalFormatting>
  <conditionalFormatting sqref="AE76:AG77">
    <cfRule type="containsText" dxfId="95" priority="36" operator="containsText" text="不一致">
      <formula>NOT(ISERROR(SEARCH("不一致",AE76)))</formula>
    </cfRule>
  </conditionalFormatting>
  <conditionalFormatting sqref="AA85:AD86">
    <cfRule type="expression" dxfId="94" priority="34">
      <formula>$AI$84</formula>
    </cfRule>
  </conditionalFormatting>
  <conditionalFormatting sqref="AA84:AD84">
    <cfRule type="expression" dxfId="93" priority="33">
      <formula>$AI$85</formula>
    </cfRule>
  </conditionalFormatting>
  <conditionalFormatting sqref="N86:Z86">
    <cfRule type="expression" dxfId="92" priority="30">
      <formula>$AI$84=1</formula>
    </cfRule>
  </conditionalFormatting>
  <conditionalFormatting sqref="B18:E18">
    <cfRule type="containsText" dxfId="91" priority="4" operator="containsText" text="エラー">
      <formula>NOT(ISERROR(SEARCH("エラー",B18)))</formula>
    </cfRule>
    <cfRule type="containsText" dxfId="90" priority="29" operator="containsText" text="×">
      <formula>NOT(ISERROR(SEARCH("×",B18)))</formula>
    </cfRule>
  </conditionalFormatting>
  <conditionalFormatting sqref="B20:E20">
    <cfRule type="containsText" dxfId="89" priority="28" operator="containsText" text="エラー">
      <formula>NOT(ISERROR(SEARCH("エラー",B20)))</formula>
    </cfRule>
  </conditionalFormatting>
  <conditionalFormatting sqref="B25:E26 B23:E23">
    <cfRule type="containsText" dxfId="88" priority="27" operator="containsText" text="エラー">
      <formula>NOT(ISERROR(SEARCH("エラー",B23)))</formula>
    </cfRule>
  </conditionalFormatting>
  <conditionalFormatting sqref="B28:E28">
    <cfRule type="containsText" dxfId="87" priority="26" operator="containsText" text="エラー">
      <formula>NOT(ISERROR(SEARCH("エラー",B28)))</formula>
    </cfRule>
  </conditionalFormatting>
  <conditionalFormatting sqref="B29:E29">
    <cfRule type="containsText" dxfId="86" priority="25" operator="containsText" text="エラー">
      <formula>NOT(ISERROR(SEARCH("エラー",B29)))</formula>
    </cfRule>
  </conditionalFormatting>
  <conditionalFormatting sqref="B30:E30">
    <cfRule type="containsText" dxfId="85" priority="24" operator="containsText" text="エラー">
      <formula>NOT(ISERROR(SEARCH("エラー",B30)))</formula>
    </cfRule>
  </conditionalFormatting>
  <conditionalFormatting sqref="B31:E31">
    <cfRule type="containsText" dxfId="84" priority="23" operator="containsText" text="エラー">
      <formula>NOT(ISERROR(SEARCH("エラー",B31)))</formula>
    </cfRule>
  </conditionalFormatting>
  <conditionalFormatting sqref="B33:E33">
    <cfRule type="containsText" dxfId="83" priority="21" operator="containsText" text="未入力">
      <formula>NOT(ISERROR(SEARCH("未入力",B33)))</formula>
    </cfRule>
    <cfRule type="containsText" dxfId="82" priority="22" operator="containsText" text="エラー">
      <formula>NOT(ISERROR(SEARCH("エラー",B33)))</formula>
    </cfRule>
  </conditionalFormatting>
  <conditionalFormatting sqref="B35:E37">
    <cfRule type="containsText" dxfId="81" priority="20" operator="containsText" text="エラー">
      <formula>NOT(ISERROR(SEARCH("エラー",B35)))</formula>
    </cfRule>
  </conditionalFormatting>
  <conditionalFormatting sqref="Z31:AF31">
    <cfRule type="containsText" dxfId="80" priority="19" operator="containsText" text="変更有">
      <formula>NOT(ISERROR(SEARCH("変更有",Z31)))</formula>
    </cfRule>
  </conditionalFormatting>
  <conditionalFormatting sqref="AA233:AD233">
    <cfRule type="expression" dxfId="79" priority="18">
      <formula>$AI$234</formula>
    </cfRule>
  </conditionalFormatting>
  <conditionalFormatting sqref="AA234:AD234">
    <cfRule type="expression" dxfId="78" priority="17">
      <formula>$AI$233</formula>
    </cfRule>
  </conditionalFormatting>
  <conditionalFormatting sqref="F193:AC194">
    <cfRule type="expression" dxfId="77" priority="11">
      <formula>AL$193="△"</formula>
    </cfRule>
  </conditionalFormatting>
  <conditionalFormatting sqref="F196:AC197">
    <cfRule type="expression" dxfId="76" priority="12">
      <formula>AL$196="△"</formula>
    </cfRule>
  </conditionalFormatting>
  <conditionalFormatting sqref="F199:AC200">
    <cfRule type="expression" dxfId="75" priority="13">
      <formula>AL$199="△"</formula>
    </cfRule>
  </conditionalFormatting>
  <conditionalFormatting sqref="F202:AC203">
    <cfRule type="expression" dxfId="74" priority="14">
      <formula>AL$202="△"</formula>
    </cfRule>
  </conditionalFormatting>
  <conditionalFormatting sqref="F205:AC206">
    <cfRule type="expression" dxfId="73" priority="15">
      <formula>AL$205="△"</formula>
    </cfRule>
  </conditionalFormatting>
  <conditionalFormatting sqref="X210:Y210 S210 AA210:AB210 S211:AC211 S212">
    <cfRule type="expression" dxfId="72" priority="10">
      <formula xml:space="preserve"> NOT($AI$185)</formula>
    </cfRule>
  </conditionalFormatting>
  <conditionalFormatting sqref="H215:AC215">
    <cfRule type="containsText" dxfId="71" priority="9" operator="containsText" text="エラー">
      <formula>NOT(ISERROR(SEARCH("エラー",H215)))</formula>
    </cfRule>
  </conditionalFormatting>
  <conditionalFormatting sqref="J185:N185">
    <cfRule type="containsText" dxfId="70" priority="8" operator="containsText" text="エラー">
      <formula>NOT(ISERROR(SEARCH("エラー",J185)))</formula>
    </cfRule>
  </conditionalFormatting>
  <conditionalFormatting sqref="S213">
    <cfRule type="expression" dxfId="69" priority="7">
      <formula xml:space="preserve"> NOT($AI$187)</formula>
    </cfRule>
  </conditionalFormatting>
  <conditionalFormatting sqref="J49:N49">
    <cfRule type="containsText" dxfId="68" priority="6" operator="containsText" text="×">
      <formula>NOT(ISERROR(SEARCH("×",J49)))</formula>
    </cfRule>
  </conditionalFormatting>
  <conditionalFormatting sqref="J49 J79">
    <cfRule type="containsText" dxfId="67" priority="5" operator="containsText" text="エラー">
      <formula>NOT(ISERROR(SEARCH("エラー",J49)))</formula>
    </cfRule>
  </conditionalFormatting>
  <conditionalFormatting sqref="AA131:AD132">
    <cfRule type="expression" dxfId="66" priority="2">
      <formula>AJ131=TRUE</formula>
    </cfRule>
  </conditionalFormatting>
  <conditionalFormatting sqref="B22:E22">
    <cfRule type="containsText" dxfId="65" priority="1" operator="containsText" text="エラー">
      <formula>NOT(ISERROR(SEARCH("エラー",B22)))</formula>
    </cfRule>
  </conditionalFormatting>
  <dataValidations count="17">
    <dataValidation type="list" allowBlank="1" showInputMessage="1" showErrorMessage="1" sqref="D13:N13" xr:uid="{00000000-0002-0000-0400-000000000000}">
      <formula1>INDIRECT($D$11&amp;$D$12)</formula1>
    </dataValidation>
    <dataValidation imeMode="hiragana" allowBlank="1" showInputMessage="1" showErrorMessage="1" sqref="AP3" xr:uid="{00000000-0002-0000-0400-000001000000}"/>
    <dataValidation type="list" allowBlank="1" showInputMessage="1" showErrorMessage="1" sqref="V152:W152" xr:uid="{00000000-0002-0000-0400-000002000000}">
      <formula1>$AJ$2:$AJ$34</formula1>
    </dataValidation>
    <dataValidation type="whole" allowBlank="1" showInputMessage="1" showErrorMessage="1" sqref="F191:I191" xr:uid="{00000000-0002-0000-0400-000003000000}">
      <formula1>1950</formula1>
      <formula2>AJ2+1</formula2>
    </dataValidation>
    <dataValidation allowBlank="1" showInputMessage="1" showErrorMessage="1" promptTitle="入力時のポイント" prompt="記載例を削除して入力してください。" sqref="F182" xr:uid="{00000000-0002-0000-0400-000004000000}"/>
    <dataValidation type="list" allowBlank="1" showInputMessage="1" showErrorMessage="1" sqref="I10" xr:uid="{00000000-0002-0000-0400-000005000000}">
      <formula1>$AK$2:$AK$14</formula1>
    </dataValidation>
    <dataValidation type="list" allowBlank="1" showErrorMessage="1" prompt="_x000a_" sqref="V20:Y26 AA71:AD75 V28:Y30 V35:Y38" xr:uid="{00000000-0002-0000-0400-000006000000}">
      <formula1>$AK$2:$AK$14</formula1>
    </dataValidation>
    <dataValidation type="list" allowBlank="1" showInputMessage="1" showErrorMessage="1" sqref="D11:N11" xr:uid="{00000000-0002-0000-0400-000007000000}">
      <formula1>$AM$2:$AM$12</formula1>
    </dataValidation>
    <dataValidation type="list" allowBlank="1" showInputMessage="1" showErrorMessage="1" sqref="D12" xr:uid="{00000000-0002-0000-0400-000008000000}">
      <formula1>$AP$2:$AP$4</formula1>
    </dataValidation>
    <dataValidation type="list" allowBlank="1" showInputMessage="1" showErrorMessage="1" sqref="AA52:AD54 AA155:AD158 AA149:AD153 AA59:AD59 AA56:AD57 AA160:AD161 AA236:AD236 AA109:AD111 AA105:AD107 AA119:AD121 AA131:AD133 AA140:AD140 AA230:AD230 AA84:AA85 AB84:AD84 AA233:AD234 AD89:AG89" xr:uid="{00000000-0002-0000-0400-000009000000}">
      <formula1>$AN$2:$AN$4</formula1>
    </dataValidation>
    <dataValidation type="list" allowBlank="1" showInputMessage="1" showErrorMessage="1" sqref="F63:K63 F67:K67 F81:K81 F117:K117 F103:K103 F220:K220 F228:K228 F224:K224" xr:uid="{00000000-0002-0000-0400-00000A000000}">
      <formula1>$AO$2:$AO$4</formula1>
    </dataValidation>
    <dataValidation type="list" allowBlank="1" showInputMessage="1" showErrorMessage="1" sqref="Y152 L191:M191 X210:Y210" xr:uid="{00000000-0002-0000-0400-00000B000000}">
      <formula1>$AL$2:$AL$14</formula1>
    </dataValidation>
    <dataValidation type="list" errorStyle="warning" allowBlank="1" showErrorMessage="1" prompt="_x000a_" sqref="V33:Y33" xr:uid="{00000000-0002-0000-0400-00000C000000}">
      <formula1>$AL$2:$AL$14</formula1>
    </dataValidation>
    <dataValidation type="list" showInputMessage="1" showErrorMessage="1" sqref="V31:Y31" xr:uid="{00000000-0002-0000-0400-00000D000000}">
      <formula1>$AL$2:$AL$14</formula1>
    </dataValidation>
    <dataValidation type="list" allowBlank="1" showInputMessage="1" showErrorMessage="1" sqref="AA210:AB210" xr:uid="{00000000-0002-0000-0400-00000E000000}">
      <formula1>$AQ$2:$AQ$33</formula1>
    </dataValidation>
    <dataValidation type="list" allowBlank="1" showInputMessage="1" showErrorMessage="1" sqref="S211:AC211" xr:uid="{00000000-0002-0000-0400-00000F000000}">
      <formula1>$AR$2:$AR$4</formula1>
    </dataValidation>
    <dataValidation type="whole" operator="greaterThanOrEqual" allowBlank="1" showInputMessage="1" showErrorMessage="1" sqref="S210:V210" xr:uid="{00000000-0002-0000-0400-000010000000}">
      <formula1>AJ2-1</formula1>
    </dataValidation>
  </dataValidations>
  <printOptions horizontalCentered="1"/>
  <pageMargins left="0.59055118110236227" right="0.39370078740157483" top="0.39370078740157483" bottom="0.39370078740157483" header="0.31496062992125984" footer="0.31496062992125984"/>
  <pageSetup paperSize="9" scale="98" fitToHeight="0" orientation="portrait" r:id="rId1"/>
  <rowBreaks count="7" manualBreakCount="7">
    <brk id="45" max="32" man="1"/>
    <brk id="77" max="32" man="1"/>
    <brk id="101" max="32" man="1"/>
    <brk id="122" max="32" man="1"/>
    <brk id="145" max="32" man="1"/>
    <brk id="183" max="32" man="1"/>
    <brk id="217" max="3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00B0F0"/>
    <pageSetUpPr fitToPage="1"/>
  </sheetPr>
  <dimension ref="A1:J106"/>
  <sheetViews>
    <sheetView view="pageBreakPreview" zoomScaleNormal="100" zoomScaleSheetLayoutView="100" workbookViewId="0">
      <selection activeCell="C5" sqref="C5:G5"/>
    </sheetView>
  </sheetViews>
  <sheetFormatPr defaultColWidth="9" defaultRowHeight="12" outlineLevelCol="1"/>
  <cols>
    <col min="1" max="1" width="6.25" style="77" customWidth="1"/>
    <col min="2" max="3" width="18.25" style="77" customWidth="1"/>
    <col min="4" max="4" width="9" style="77"/>
    <col min="5" max="5" width="6.25" style="77" customWidth="1"/>
    <col min="6" max="7" width="18.25" style="77" customWidth="1"/>
    <col min="8" max="8" width="50.625" style="77" customWidth="1"/>
    <col min="9" max="9" width="9" style="77" hidden="1" customWidth="1" outlineLevel="1"/>
    <col min="10" max="10" width="9" style="77" collapsed="1"/>
    <col min="11" max="16384" width="9" style="77"/>
  </cols>
  <sheetData>
    <row r="1" spans="1:9" ht="15" customHeight="1">
      <c r="A1" s="616" t="s">
        <v>529</v>
      </c>
      <c r="B1" s="617"/>
      <c r="C1" s="617"/>
      <c r="D1" s="617"/>
      <c r="E1" s="1417" t="e">
        <f>I2&amp;"別紙1"&amp;I3</f>
        <v>#N/A</v>
      </c>
      <c r="F1" s="1417"/>
      <c r="G1" s="1417"/>
      <c r="I1" s="74" t="s">
        <v>475</v>
      </c>
    </row>
    <row r="2" spans="1:9" ht="15" customHeight="1">
      <c r="A2" s="617"/>
      <c r="B2" s="617"/>
      <c r="C2" s="617"/>
      <c r="D2" s="617"/>
      <c r="E2" s="618"/>
      <c r="F2" s="618"/>
      <c r="G2" s="618"/>
      <c r="I2" s="75" t="str">
        <f>【様式１】総括表・個票!$AI$2</f>
        <v>加-23_月申-</v>
      </c>
    </row>
    <row r="3" spans="1:9" ht="15" customHeight="1">
      <c r="A3" s="616" t="s">
        <v>907</v>
      </c>
      <c r="B3" s="617"/>
      <c r="C3" s="617"/>
      <c r="D3" s="617"/>
      <c r="E3" s="617"/>
      <c r="F3" s="619"/>
      <c r="G3" s="620"/>
      <c r="I3" s="74" t="e">
        <f>【様式１】総括表・個票!$AI$3</f>
        <v>#N/A</v>
      </c>
    </row>
    <row r="4" spans="1:9" ht="15" customHeight="1">
      <c r="A4" s="1418" t="s">
        <v>297</v>
      </c>
      <c r="B4" s="621" t="s">
        <v>79</v>
      </c>
      <c r="C4" s="1419" t="s">
        <v>298</v>
      </c>
      <c r="D4" s="1420"/>
      <c r="E4" s="1420"/>
      <c r="F4" s="1420"/>
      <c r="G4" s="1421"/>
    </row>
    <row r="5" spans="1:9" ht="15" customHeight="1">
      <c r="A5" s="1418"/>
      <c r="B5" s="622" t="s">
        <v>144</v>
      </c>
      <c r="C5" s="1422"/>
      <c r="D5" s="1422"/>
      <c r="E5" s="1422"/>
      <c r="F5" s="1422"/>
      <c r="G5" s="1422"/>
    </row>
    <row r="6" spans="1:9" ht="15" customHeight="1">
      <c r="A6" s="1418"/>
      <c r="B6" s="623" t="s">
        <v>136</v>
      </c>
      <c r="C6" s="1423"/>
      <c r="D6" s="1423"/>
      <c r="E6" s="1423"/>
      <c r="F6" s="1423"/>
      <c r="G6" s="1423"/>
    </row>
    <row r="7" spans="1:9" ht="15" hidden="1" customHeight="1">
      <c r="A7" s="1418"/>
      <c r="B7" s="623" t="s">
        <v>299</v>
      </c>
      <c r="C7" s="1424"/>
      <c r="D7" s="1424"/>
      <c r="E7" s="1424"/>
      <c r="F7" s="1424"/>
      <c r="G7" s="1424"/>
    </row>
    <row r="8" spans="1:9" ht="15" hidden="1" customHeight="1">
      <c r="A8" s="1418"/>
      <c r="B8" s="624" t="s">
        <v>300</v>
      </c>
      <c r="C8" s="1425"/>
      <c r="D8" s="1425"/>
      <c r="E8" s="1425"/>
      <c r="F8" s="1425"/>
      <c r="G8" s="1425"/>
    </row>
    <row r="9" spans="1:9" ht="15" customHeight="1">
      <c r="A9" s="1426" t="s">
        <v>301</v>
      </c>
      <c r="B9" s="621" t="s">
        <v>494</v>
      </c>
      <c r="C9" s="1419" t="s">
        <v>302</v>
      </c>
      <c r="D9" s="1420"/>
      <c r="E9" s="1420"/>
      <c r="F9" s="1420"/>
      <c r="G9" s="1421"/>
    </row>
    <row r="10" spans="1:9" ht="15" customHeight="1">
      <c r="A10" s="1427"/>
      <c r="B10" s="807"/>
      <c r="C10" s="1429"/>
      <c r="D10" s="1430"/>
      <c r="E10" s="1430"/>
      <c r="F10" s="1430"/>
      <c r="G10" s="1431"/>
    </row>
    <row r="11" spans="1:9" ht="15" customHeight="1">
      <c r="A11" s="1427"/>
      <c r="B11" s="808"/>
      <c r="C11" s="1432"/>
      <c r="D11" s="1433"/>
      <c r="E11" s="1433"/>
      <c r="F11" s="1433"/>
      <c r="G11" s="1434"/>
    </row>
    <row r="12" spans="1:9" ht="15" customHeight="1">
      <c r="A12" s="1427"/>
      <c r="B12" s="808"/>
      <c r="C12" s="1432"/>
      <c r="D12" s="1433"/>
      <c r="E12" s="1433"/>
      <c r="F12" s="1433"/>
      <c r="G12" s="1434"/>
    </row>
    <row r="13" spans="1:9" ht="15" customHeight="1">
      <c r="A13" s="1427"/>
      <c r="B13" s="808"/>
      <c r="C13" s="1432"/>
      <c r="D13" s="1433"/>
      <c r="E13" s="1433"/>
      <c r="F13" s="1433"/>
      <c r="G13" s="1434"/>
    </row>
    <row r="14" spans="1:9" ht="15" customHeight="1">
      <c r="A14" s="1427"/>
      <c r="B14" s="808"/>
      <c r="C14" s="1432"/>
      <c r="D14" s="1433"/>
      <c r="E14" s="1433"/>
      <c r="F14" s="1433"/>
      <c r="G14" s="1434"/>
    </row>
    <row r="15" spans="1:9" ht="15" customHeight="1">
      <c r="A15" s="1427"/>
      <c r="B15" s="808"/>
      <c r="C15" s="1432"/>
      <c r="D15" s="1433"/>
      <c r="E15" s="1433"/>
      <c r="F15" s="1433"/>
      <c r="G15" s="1434"/>
    </row>
    <row r="16" spans="1:9" ht="15" customHeight="1">
      <c r="A16" s="1427"/>
      <c r="B16" s="808"/>
      <c r="C16" s="1432"/>
      <c r="D16" s="1433"/>
      <c r="E16" s="1433"/>
      <c r="F16" s="1433"/>
      <c r="G16" s="1434"/>
    </row>
    <row r="17" spans="1:7" ht="15" customHeight="1">
      <c r="A17" s="1427"/>
      <c r="B17" s="808"/>
      <c r="C17" s="1432"/>
      <c r="D17" s="1433"/>
      <c r="E17" s="1433"/>
      <c r="F17" s="1433"/>
      <c r="G17" s="1434"/>
    </row>
    <row r="18" spans="1:7" ht="15" customHeight="1">
      <c r="A18" s="1427"/>
      <c r="B18" s="808"/>
      <c r="C18" s="1432"/>
      <c r="D18" s="1433"/>
      <c r="E18" s="1433"/>
      <c r="F18" s="1433"/>
      <c r="G18" s="1434"/>
    </row>
    <row r="19" spans="1:7" ht="15" customHeight="1">
      <c r="A19" s="1428"/>
      <c r="B19" s="809"/>
      <c r="C19" s="1435"/>
      <c r="D19" s="1436"/>
      <c r="E19" s="1436"/>
      <c r="F19" s="1436"/>
      <c r="G19" s="1437"/>
    </row>
    <row r="20" spans="1:7" ht="15" customHeight="1">
      <c r="A20" s="1426" t="s">
        <v>303</v>
      </c>
      <c r="B20" s="621" t="s">
        <v>494</v>
      </c>
      <c r="C20" s="1419" t="s">
        <v>304</v>
      </c>
      <c r="D20" s="1420"/>
      <c r="E20" s="1420"/>
      <c r="F20" s="1420"/>
      <c r="G20" s="1421"/>
    </row>
    <row r="21" spans="1:7" ht="15" customHeight="1">
      <c r="A21" s="1427"/>
      <c r="B21" s="807"/>
      <c r="C21" s="1429"/>
      <c r="D21" s="1430"/>
      <c r="E21" s="1430"/>
      <c r="F21" s="1430"/>
      <c r="G21" s="1431"/>
    </row>
    <row r="22" spans="1:7" ht="15" customHeight="1">
      <c r="A22" s="1427"/>
      <c r="B22" s="808"/>
      <c r="C22" s="1432"/>
      <c r="D22" s="1433"/>
      <c r="E22" s="1433"/>
      <c r="F22" s="1433"/>
      <c r="G22" s="1434"/>
    </row>
    <row r="23" spans="1:7" ht="15" customHeight="1">
      <c r="A23" s="1427"/>
      <c r="B23" s="808"/>
      <c r="C23" s="1432"/>
      <c r="D23" s="1433"/>
      <c r="E23" s="1433"/>
      <c r="F23" s="1433"/>
      <c r="G23" s="1434"/>
    </row>
    <row r="24" spans="1:7" ht="15" customHeight="1">
      <c r="A24" s="1427"/>
      <c r="B24" s="808"/>
      <c r="C24" s="1432"/>
      <c r="D24" s="1433"/>
      <c r="E24" s="1433"/>
      <c r="F24" s="1433"/>
      <c r="G24" s="1434"/>
    </row>
    <row r="25" spans="1:7" ht="15" customHeight="1">
      <c r="A25" s="1427"/>
      <c r="B25" s="808"/>
      <c r="C25" s="1432"/>
      <c r="D25" s="1433"/>
      <c r="E25" s="1433"/>
      <c r="F25" s="1433"/>
      <c r="G25" s="1434"/>
    </row>
    <row r="26" spans="1:7" ht="15" customHeight="1">
      <c r="A26" s="1427"/>
      <c r="B26" s="808"/>
      <c r="C26" s="1432"/>
      <c r="D26" s="1433"/>
      <c r="E26" s="1433"/>
      <c r="F26" s="1433"/>
      <c r="G26" s="1434"/>
    </row>
    <row r="27" spans="1:7" ht="15" customHeight="1">
      <c r="A27" s="1427"/>
      <c r="B27" s="808"/>
      <c r="C27" s="1432"/>
      <c r="D27" s="1433"/>
      <c r="E27" s="1433"/>
      <c r="F27" s="1433"/>
      <c r="G27" s="1434"/>
    </row>
    <row r="28" spans="1:7" ht="15" customHeight="1">
      <c r="A28" s="1427"/>
      <c r="B28" s="808"/>
      <c r="C28" s="1432"/>
      <c r="D28" s="1433"/>
      <c r="E28" s="1433"/>
      <c r="F28" s="1433"/>
      <c r="G28" s="1434"/>
    </row>
    <row r="29" spans="1:7" ht="15" customHeight="1">
      <c r="A29" s="1427"/>
      <c r="B29" s="808"/>
      <c r="C29" s="1432"/>
      <c r="D29" s="1433"/>
      <c r="E29" s="1433"/>
      <c r="F29" s="1433"/>
      <c r="G29" s="1434"/>
    </row>
    <row r="30" spans="1:7" ht="15" customHeight="1">
      <c r="A30" s="1427"/>
      <c r="B30" s="808"/>
      <c r="C30" s="1432"/>
      <c r="D30" s="1433"/>
      <c r="E30" s="1433"/>
      <c r="F30" s="1433"/>
      <c r="G30" s="1434"/>
    </row>
    <row r="31" spans="1:7" ht="15" customHeight="1">
      <c r="A31" s="1427"/>
      <c r="B31" s="808"/>
      <c r="C31" s="1432"/>
      <c r="D31" s="1433"/>
      <c r="E31" s="1433"/>
      <c r="F31" s="1433"/>
      <c r="G31" s="1434"/>
    </row>
    <row r="32" spans="1:7" ht="15" customHeight="1">
      <c r="A32" s="1427"/>
      <c r="B32" s="808"/>
      <c r="C32" s="1432"/>
      <c r="D32" s="1433"/>
      <c r="E32" s="1433"/>
      <c r="F32" s="1433"/>
      <c r="G32" s="1434"/>
    </row>
    <row r="33" spans="1:7" ht="15" customHeight="1">
      <c r="A33" s="1427"/>
      <c r="B33" s="808"/>
      <c r="C33" s="1432"/>
      <c r="D33" s="1433"/>
      <c r="E33" s="1433"/>
      <c r="F33" s="1433"/>
      <c r="G33" s="1434"/>
    </row>
    <row r="34" spans="1:7" ht="15" customHeight="1">
      <c r="A34" s="1427"/>
      <c r="B34" s="808"/>
      <c r="C34" s="1432"/>
      <c r="D34" s="1433"/>
      <c r="E34" s="1433"/>
      <c r="F34" s="1433"/>
      <c r="G34" s="1434"/>
    </row>
    <row r="35" spans="1:7" ht="15" customHeight="1">
      <c r="A35" s="1427"/>
      <c r="B35" s="808"/>
      <c r="C35" s="1432"/>
      <c r="D35" s="1433"/>
      <c r="E35" s="1433"/>
      <c r="F35" s="1433"/>
      <c r="G35" s="1434"/>
    </row>
    <row r="36" spans="1:7" ht="15" customHeight="1">
      <c r="A36" s="1427"/>
      <c r="B36" s="808"/>
      <c r="C36" s="1432"/>
      <c r="D36" s="1433"/>
      <c r="E36" s="1433"/>
      <c r="F36" s="1433"/>
      <c r="G36" s="1434"/>
    </row>
    <row r="37" spans="1:7" ht="15" customHeight="1">
      <c r="A37" s="1427"/>
      <c r="B37" s="808"/>
      <c r="C37" s="1432"/>
      <c r="D37" s="1433"/>
      <c r="E37" s="1433"/>
      <c r="F37" s="1433"/>
      <c r="G37" s="1434"/>
    </row>
    <row r="38" spans="1:7" ht="15" customHeight="1">
      <c r="A38" s="1427"/>
      <c r="B38" s="808"/>
      <c r="C38" s="1432"/>
      <c r="D38" s="1433"/>
      <c r="E38" s="1433"/>
      <c r="F38" s="1433"/>
      <c r="G38" s="1434"/>
    </row>
    <row r="39" spans="1:7" ht="15" customHeight="1" thickBot="1">
      <c r="A39" s="1427"/>
      <c r="B39" s="810"/>
      <c r="C39" s="1432"/>
      <c r="D39" s="1433"/>
      <c r="E39" s="1433"/>
      <c r="F39" s="1433"/>
      <c r="G39" s="1434"/>
    </row>
    <row r="40" spans="1:7" ht="15" customHeight="1" thickBot="1">
      <c r="A40" s="1428"/>
      <c r="B40" s="811"/>
      <c r="C40" s="1438" t="s">
        <v>474</v>
      </c>
      <c r="D40" s="1438"/>
      <c r="E40" s="1438"/>
      <c r="F40" s="1438"/>
      <c r="G40" s="1439"/>
    </row>
    <row r="41" spans="1:7" ht="15" customHeight="1">
      <c r="A41" s="1426" t="s">
        <v>305</v>
      </c>
      <c r="B41" s="621" t="s">
        <v>514</v>
      </c>
      <c r="C41" s="1419" t="s">
        <v>306</v>
      </c>
      <c r="D41" s="1420"/>
      <c r="E41" s="1420"/>
      <c r="F41" s="1420"/>
      <c r="G41" s="1421"/>
    </row>
    <row r="42" spans="1:7" ht="15" customHeight="1">
      <c r="A42" s="1427"/>
      <c r="B42" s="807"/>
      <c r="C42" s="1429"/>
      <c r="D42" s="1430"/>
      <c r="E42" s="1430"/>
      <c r="F42" s="1430"/>
      <c r="G42" s="1431"/>
    </row>
    <row r="43" spans="1:7" ht="15" customHeight="1">
      <c r="A43" s="1427"/>
      <c r="B43" s="808"/>
      <c r="C43" s="1432"/>
      <c r="D43" s="1433"/>
      <c r="E43" s="1433"/>
      <c r="F43" s="1433"/>
      <c r="G43" s="1434"/>
    </row>
    <row r="44" spans="1:7" ht="15" customHeight="1">
      <c r="A44" s="1427"/>
      <c r="B44" s="808"/>
      <c r="C44" s="1432"/>
      <c r="D44" s="1433"/>
      <c r="E44" s="1433"/>
      <c r="F44" s="1433"/>
      <c r="G44" s="1434"/>
    </row>
    <row r="45" spans="1:7" ht="15" customHeight="1">
      <c r="A45" s="1427"/>
      <c r="B45" s="808"/>
      <c r="C45" s="1432"/>
      <c r="D45" s="1433"/>
      <c r="E45" s="1433"/>
      <c r="F45" s="1433"/>
      <c r="G45" s="1434"/>
    </row>
    <row r="46" spans="1:7" ht="15" customHeight="1">
      <c r="A46" s="1427"/>
      <c r="B46" s="808"/>
      <c r="C46" s="1432"/>
      <c r="D46" s="1433"/>
      <c r="E46" s="1433"/>
      <c r="F46" s="1433"/>
      <c r="G46" s="1434"/>
    </row>
    <row r="47" spans="1:7" ht="15" customHeight="1">
      <c r="A47" s="1427"/>
      <c r="B47" s="808"/>
      <c r="C47" s="1432"/>
      <c r="D47" s="1433"/>
      <c r="E47" s="1433"/>
      <c r="F47" s="1433"/>
      <c r="G47" s="1434"/>
    </row>
    <row r="48" spans="1:7" ht="15" customHeight="1">
      <c r="A48" s="1427"/>
      <c r="B48" s="808"/>
      <c r="C48" s="1432"/>
      <c r="D48" s="1433"/>
      <c r="E48" s="1433"/>
      <c r="F48" s="1433"/>
      <c r="G48" s="1434"/>
    </row>
    <row r="49" spans="1:7" ht="15" customHeight="1">
      <c r="A49" s="1427"/>
      <c r="B49" s="808"/>
      <c r="C49" s="1432"/>
      <c r="D49" s="1433"/>
      <c r="E49" s="1433"/>
      <c r="F49" s="1433"/>
      <c r="G49" s="1434"/>
    </row>
    <row r="50" spans="1:7" ht="15" customHeight="1">
      <c r="A50" s="1427"/>
      <c r="B50" s="808"/>
      <c r="C50" s="1432"/>
      <c r="D50" s="1433"/>
      <c r="E50" s="1433"/>
      <c r="F50" s="1433"/>
      <c r="G50" s="1434"/>
    </row>
    <row r="51" spans="1:7" ht="15" customHeight="1">
      <c r="A51" s="1428"/>
      <c r="B51" s="809"/>
      <c r="C51" s="1435"/>
      <c r="D51" s="1436"/>
      <c r="E51" s="1436"/>
      <c r="F51" s="1436"/>
      <c r="G51" s="1437"/>
    </row>
    <row r="52" spans="1:7" ht="15" customHeight="1">
      <c r="A52" s="617"/>
      <c r="B52" s="617"/>
      <c r="C52" s="617"/>
      <c r="D52" s="617"/>
      <c r="E52" s="617"/>
      <c r="F52" s="617"/>
      <c r="G52" s="617"/>
    </row>
    <row r="53" spans="1:7" ht="15" customHeight="1">
      <c r="A53" s="616" t="s">
        <v>307</v>
      </c>
      <c r="B53" s="617"/>
      <c r="C53" s="617"/>
      <c r="D53" s="617"/>
      <c r="E53" s="617"/>
      <c r="F53" s="617"/>
      <c r="G53" s="617"/>
    </row>
    <row r="54" spans="1:7" ht="15" customHeight="1">
      <c r="A54" s="617" t="s">
        <v>467</v>
      </c>
      <c r="B54" s="617"/>
      <c r="C54" s="617"/>
      <c r="D54" s="617"/>
      <c r="E54" s="617"/>
      <c r="F54" s="617"/>
      <c r="G54" s="617"/>
    </row>
    <row r="55" spans="1:7" ht="15" customHeight="1">
      <c r="A55" s="617" t="s">
        <v>468</v>
      </c>
      <c r="B55" s="617"/>
      <c r="C55" s="617"/>
      <c r="D55" s="617"/>
      <c r="E55" s="617"/>
      <c r="F55" s="617"/>
      <c r="G55" s="617"/>
    </row>
    <row r="56" spans="1:7" ht="15" customHeight="1">
      <c r="A56" s="625" t="s">
        <v>274</v>
      </c>
      <c r="B56" s="625" t="s">
        <v>469</v>
      </c>
      <c r="C56" s="625" t="s">
        <v>57</v>
      </c>
      <c r="D56" s="617"/>
      <c r="E56" s="625" t="s">
        <v>308</v>
      </c>
      <c r="F56" s="625" t="s">
        <v>469</v>
      </c>
      <c r="G56" s="625" t="s">
        <v>57</v>
      </c>
    </row>
    <row r="57" spans="1:7" ht="15" customHeight="1">
      <c r="A57" s="626">
        <v>1</v>
      </c>
      <c r="B57" s="121" t="str">
        <f>CONCATENATE(【様式１】総括表・個票!D13)</f>
        <v/>
      </c>
      <c r="C57" s="121" t="str">
        <f>CONCATENATE(C5)</f>
        <v/>
      </c>
      <c r="D57" s="617"/>
      <c r="E57" s="626">
        <v>51</v>
      </c>
      <c r="F57" s="122"/>
      <c r="G57" s="122"/>
    </row>
    <row r="58" spans="1:7" ht="15" customHeight="1">
      <c r="A58" s="627">
        <v>2</v>
      </c>
      <c r="B58" s="123"/>
      <c r="C58" s="123"/>
      <c r="D58" s="617"/>
      <c r="E58" s="627">
        <v>52</v>
      </c>
      <c r="F58" s="123"/>
      <c r="G58" s="123"/>
    </row>
    <row r="59" spans="1:7" ht="15" customHeight="1">
      <c r="A59" s="627">
        <v>3</v>
      </c>
      <c r="B59" s="123"/>
      <c r="C59" s="123"/>
      <c r="D59" s="617"/>
      <c r="E59" s="627">
        <v>53</v>
      </c>
      <c r="F59" s="123"/>
      <c r="G59" s="123"/>
    </row>
    <row r="60" spans="1:7" ht="15" customHeight="1">
      <c r="A60" s="627">
        <v>4</v>
      </c>
      <c r="B60" s="123"/>
      <c r="C60" s="123"/>
      <c r="D60" s="617"/>
      <c r="E60" s="627">
        <v>54</v>
      </c>
      <c r="F60" s="123"/>
      <c r="G60" s="123"/>
    </row>
    <row r="61" spans="1:7" ht="15" customHeight="1">
      <c r="A61" s="627">
        <v>5</v>
      </c>
      <c r="B61" s="123"/>
      <c r="C61" s="123"/>
      <c r="D61" s="617"/>
      <c r="E61" s="627">
        <v>55</v>
      </c>
      <c r="F61" s="123"/>
      <c r="G61" s="123"/>
    </row>
    <row r="62" spans="1:7" ht="15" customHeight="1">
      <c r="A62" s="627">
        <v>6</v>
      </c>
      <c r="B62" s="123"/>
      <c r="C62" s="123"/>
      <c r="D62" s="617"/>
      <c r="E62" s="627">
        <v>56</v>
      </c>
      <c r="F62" s="123"/>
      <c r="G62" s="123"/>
    </row>
    <row r="63" spans="1:7" ht="15" customHeight="1">
      <c r="A63" s="627">
        <v>7</v>
      </c>
      <c r="B63" s="123"/>
      <c r="C63" s="123"/>
      <c r="D63" s="617"/>
      <c r="E63" s="627">
        <v>57</v>
      </c>
      <c r="F63" s="123"/>
      <c r="G63" s="123"/>
    </row>
    <row r="64" spans="1:7" ht="15" customHeight="1">
      <c r="A64" s="627">
        <v>8</v>
      </c>
      <c r="B64" s="123"/>
      <c r="C64" s="123"/>
      <c r="D64" s="617"/>
      <c r="E64" s="627">
        <v>58</v>
      </c>
      <c r="F64" s="123"/>
      <c r="G64" s="123"/>
    </row>
    <row r="65" spans="1:7" ht="15" customHeight="1">
      <c r="A65" s="627">
        <v>9</v>
      </c>
      <c r="B65" s="123"/>
      <c r="C65" s="123"/>
      <c r="D65" s="617"/>
      <c r="E65" s="627">
        <v>59</v>
      </c>
      <c r="F65" s="123"/>
      <c r="G65" s="123"/>
    </row>
    <row r="66" spans="1:7" ht="15" customHeight="1">
      <c r="A66" s="627">
        <v>10</v>
      </c>
      <c r="B66" s="123"/>
      <c r="C66" s="123"/>
      <c r="D66" s="617"/>
      <c r="E66" s="627">
        <v>60</v>
      </c>
      <c r="F66" s="123"/>
      <c r="G66" s="123"/>
    </row>
    <row r="67" spans="1:7" ht="15" customHeight="1">
      <c r="A67" s="627">
        <v>11</v>
      </c>
      <c r="B67" s="123"/>
      <c r="C67" s="123"/>
      <c r="D67" s="617"/>
      <c r="E67" s="627">
        <v>61</v>
      </c>
      <c r="F67" s="123"/>
      <c r="G67" s="123"/>
    </row>
    <row r="68" spans="1:7" ht="15" customHeight="1">
      <c r="A68" s="627">
        <v>12</v>
      </c>
      <c r="B68" s="123"/>
      <c r="C68" s="123"/>
      <c r="D68" s="617"/>
      <c r="E68" s="627">
        <v>62</v>
      </c>
      <c r="F68" s="123"/>
      <c r="G68" s="123"/>
    </row>
    <row r="69" spans="1:7" ht="15" customHeight="1">
      <c r="A69" s="627">
        <v>13</v>
      </c>
      <c r="B69" s="123"/>
      <c r="C69" s="123"/>
      <c r="D69" s="617"/>
      <c r="E69" s="627">
        <v>63</v>
      </c>
      <c r="F69" s="123"/>
      <c r="G69" s="123"/>
    </row>
    <row r="70" spans="1:7" ht="15" customHeight="1">
      <c r="A70" s="627">
        <v>14</v>
      </c>
      <c r="B70" s="123"/>
      <c r="C70" s="123"/>
      <c r="D70" s="617"/>
      <c r="E70" s="627">
        <v>64</v>
      </c>
      <c r="F70" s="123"/>
      <c r="G70" s="123"/>
    </row>
    <row r="71" spans="1:7" ht="15" customHeight="1">
      <c r="A71" s="627">
        <v>15</v>
      </c>
      <c r="B71" s="123"/>
      <c r="C71" s="123"/>
      <c r="D71" s="617"/>
      <c r="E71" s="627">
        <v>65</v>
      </c>
      <c r="F71" s="123"/>
      <c r="G71" s="123"/>
    </row>
    <row r="72" spans="1:7" ht="15" customHeight="1">
      <c r="A72" s="627">
        <v>16</v>
      </c>
      <c r="B72" s="123"/>
      <c r="C72" s="123"/>
      <c r="D72" s="617"/>
      <c r="E72" s="627">
        <v>66</v>
      </c>
      <c r="F72" s="123"/>
      <c r="G72" s="123"/>
    </row>
    <row r="73" spans="1:7" ht="15" customHeight="1">
      <c r="A73" s="627">
        <v>17</v>
      </c>
      <c r="B73" s="123"/>
      <c r="C73" s="123"/>
      <c r="D73" s="617"/>
      <c r="E73" s="627">
        <v>67</v>
      </c>
      <c r="F73" s="123"/>
      <c r="G73" s="123"/>
    </row>
    <row r="74" spans="1:7" ht="15" customHeight="1">
      <c r="A74" s="627">
        <v>18</v>
      </c>
      <c r="B74" s="123"/>
      <c r="C74" s="123"/>
      <c r="D74" s="617"/>
      <c r="E74" s="627">
        <v>68</v>
      </c>
      <c r="F74" s="123"/>
      <c r="G74" s="123"/>
    </row>
    <row r="75" spans="1:7" ht="15" customHeight="1">
      <c r="A75" s="627">
        <v>19</v>
      </c>
      <c r="B75" s="123"/>
      <c r="C75" s="123"/>
      <c r="D75" s="617"/>
      <c r="E75" s="627">
        <v>69</v>
      </c>
      <c r="F75" s="123"/>
      <c r="G75" s="123"/>
    </row>
    <row r="76" spans="1:7" ht="15" customHeight="1">
      <c r="A76" s="627">
        <v>20</v>
      </c>
      <c r="B76" s="123"/>
      <c r="C76" s="123"/>
      <c r="D76" s="617"/>
      <c r="E76" s="627">
        <v>70</v>
      </c>
      <c r="F76" s="123"/>
      <c r="G76" s="123"/>
    </row>
    <row r="77" spans="1:7" ht="15" customHeight="1">
      <c r="A77" s="627">
        <v>21</v>
      </c>
      <c r="B77" s="123"/>
      <c r="C77" s="123"/>
      <c r="D77" s="617"/>
      <c r="E77" s="627">
        <v>71</v>
      </c>
      <c r="F77" s="123"/>
      <c r="G77" s="123"/>
    </row>
    <row r="78" spans="1:7" ht="15" customHeight="1">
      <c r="A78" s="627">
        <v>22</v>
      </c>
      <c r="B78" s="123"/>
      <c r="C78" s="123"/>
      <c r="D78" s="617"/>
      <c r="E78" s="627">
        <v>72</v>
      </c>
      <c r="F78" s="123"/>
      <c r="G78" s="123"/>
    </row>
    <row r="79" spans="1:7" ht="15" customHeight="1">
      <c r="A79" s="627">
        <v>23</v>
      </c>
      <c r="B79" s="123"/>
      <c r="C79" s="123"/>
      <c r="D79" s="617"/>
      <c r="E79" s="627">
        <v>73</v>
      </c>
      <c r="F79" s="123"/>
      <c r="G79" s="123"/>
    </row>
    <row r="80" spans="1:7" ht="15" customHeight="1">
      <c r="A80" s="627">
        <v>24</v>
      </c>
      <c r="B80" s="123"/>
      <c r="C80" s="123"/>
      <c r="D80" s="617"/>
      <c r="E80" s="627">
        <v>74</v>
      </c>
      <c r="F80" s="123"/>
      <c r="G80" s="123"/>
    </row>
    <row r="81" spans="1:7" ht="15" customHeight="1">
      <c r="A81" s="627">
        <v>25</v>
      </c>
      <c r="B81" s="123"/>
      <c r="C81" s="123"/>
      <c r="D81" s="617"/>
      <c r="E81" s="627">
        <v>75</v>
      </c>
      <c r="F81" s="123"/>
      <c r="G81" s="123"/>
    </row>
    <row r="82" spans="1:7" ht="15" customHeight="1">
      <c r="A82" s="627">
        <v>26</v>
      </c>
      <c r="B82" s="123"/>
      <c r="C82" s="123"/>
      <c r="D82" s="617"/>
      <c r="E82" s="627">
        <v>76</v>
      </c>
      <c r="F82" s="123"/>
      <c r="G82" s="123"/>
    </row>
    <row r="83" spans="1:7" ht="15" customHeight="1">
      <c r="A83" s="627">
        <v>27</v>
      </c>
      <c r="B83" s="123"/>
      <c r="C83" s="123"/>
      <c r="D83" s="617"/>
      <c r="E83" s="627">
        <v>77</v>
      </c>
      <c r="F83" s="123"/>
      <c r="G83" s="123"/>
    </row>
    <row r="84" spans="1:7" ht="15" customHeight="1">
      <c r="A84" s="627">
        <v>28</v>
      </c>
      <c r="B84" s="123"/>
      <c r="C84" s="123"/>
      <c r="D84" s="617"/>
      <c r="E84" s="627">
        <v>78</v>
      </c>
      <c r="F84" s="123"/>
      <c r="G84" s="123"/>
    </row>
    <row r="85" spans="1:7" ht="15" customHeight="1">
      <c r="A85" s="627">
        <v>29</v>
      </c>
      <c r="B85" s="123"/>
      <c r="C85" s="123"/>
      <c r="D85" s="617"/>
      <c r="E85" s="627">
        <v>79</v>
      </c>
      <c r="F85" s="123"/>
      <c r="G85" s="123"/>
    </row>
    <row r="86" spans="1:7" ht="15" customHeight="1">
      <c r="A86" s="627">
        <v>30</v>
      </c>
      <c r="B86" s="123"/>
      <c r="C86" s="123"/>
      <c r="D86" s="617"/>
      <c r="E86" s="627">
        <v>80</v>
      </c>
      <c r="F86" s="123"/>
      <c r="G86" s="123"/>
    </row>
    <row r="87" spans="1:7" ht="15" customHeight="1">
      <c r="A87" s="627">
        <v>31</v>
      </c>
      <c r="B87" s="123"/>
      <c r="C87" s="123"/>
      <c r="D87" s="617"/>
      <c r="E87" s="627">
        <v>81</v>
      </c>
      <c r="F87" s="123"/>
      <c r="G87" s="123"/>
    </row>
    <row r="88" spans="1:7" ht="15" customHeight="1">
      <c r="A88" s="627">
        <v>32</v>
      </c>
      <c r="B88" s="123"/>
      <c r="C88" s="123"/>
      <c r="D88" s="617"/>
      <c r="E88" s="627">
        <v>82</v>
      </c>
      <c r="F88" s="123"/>
      <c r="G88" s="123"/>
    </row>
    <row r="89" spans="1:7" ht="15" customHeight="1">
      <c r="A89" s="627">
        <v>33</v>
      </c>
      <c r="B89" s="123"/>
      <c r="C89" s="123"/>
      <c r="D89" s="617"/>
      <c r="E89" s="627">
        <v>83</v>
      </c>
      <c r="F89" s="123"/>
      <c r="G89" s="123"/>
    </row>
    <row r="90" spans="1:7" ht="15" customHeight="1">
      <c r="A90" s="627">
        <v>34</v>
      </c>
      <c r="B90" s="123"/>
      <c r="C90" s="123"/>
      <c r="D90" s="617"/>
      <c r="E90" s="627">
        <v>84</v>
      </c>
      <c r="F90" s="123"/>
      <c r="G90" s="123"/>
    </row>
    <row r="91" spans="1:7" ht="15" customHeight="1">
      <c r="A91" s="627">
        <v>35</v>
      </c>
      <c r="B91" s="123"/>
      <c r="C91" s="123"/>
      <c r="D91" s="617"/>
      <c r="E91" s="627">
        <v>85</v>
      </c>
      <c r="F91" s="123"/>
      <c r="G91" s="123"/>
    </row>
    <row r="92" spans="1:7" ht="15" customHeight="1">
      <c r="A92" s="627">
        <v>36</v>
      </c>
      <c r="B92" s="123"/>
      <c r="C92" s="123"/>
      <c r="D92" s="617"/>
      <c r="E92" s="627">
        <v>86</v>
      </c>
      <c r="F92" s="123"/>
      <c r="G92" s="123"/>
    </row>
    <row r="93" spans="1:7" ht="15" customHeight="1">
      <c r="A93" s="627">
        <v>37</v>
      </c>
      <c r="B93" s="123"/>
      <c r="C93" s="123"/>
      <c r="D93" s="617"/>
      <c r="E93" s="627">
        <v>87</v>
      </c>
      <c r="F93" s="123"/>
      <c r="G93" s="123"/>
    </row>
    <row r="94" spans="1:7" ht="15" customHeight="1">
      <c r="A94" s="627">
        <v>38</v>
      </c>
      <c r="B94" s="123"/>
      <c r="C94" s="123"/>
      <c r="D94" s="617"/>
      <c r="E94" s="627">
        <v>88</v>
      </c>
      <c r="F94" s="123"/>
      <c r="G94" s="123"/>
    </row>
    <row r="95" spans="1:7" ht="15" customHeight="1">
      <c r="A95" s="627">
        <v>39</v>
      </c>
      <c r="B95" s="123"/>
      <c r="C95" s="123"/>
      <c r="D95" s="617"/>
      <c r="E95" s="627">
        <v>89</v>
      </c>
      <c r="F95" s="123"/>
      <c r="G95" s="123"/>
    </row>
    <row r="96" spans="1:7" ht="15" customHeight="1">
      <c r="A96" s="627">
        <v>40</v>
      </c>
      <c r="B96" s="123"/>
      <c r="C96" s="123"/>
      <c r="D96" s="617"/>
      <c r="E96" s="627">
        <v>90</v>
      </c>
      <c r="F96" s="123"/>
      <c r="G96" s="123"/>
    </row>
    <row r="97" spans="1:7" ht="15" customHeight="1">
      <c r="A97" s="627">
        <v>41</v>
      </c>
      <c r="B97" s="123"/>
      <c r="C97" s="123"/>
      <c r="D97" s="617"/>
      <c r="E97" s="627">
        <v>91</v>
      </c>
      <c r="F97" s="123"/>
      <c r="G97" s="123"/>
    </row>
    <row r="98" spans="1:7" ht="15" customHeight="1">
      <c r="A98" s="627">
        <v>42</v>
      </c>
      <c r="B98" s="123"/>
      <c r="C98" s="123"/>
      <c r="D98" s="617"/>
      <c r="E98" s="627">
        <v>92</v>
      </c>
      <c r="F98" s="123"/>
      <c r="G98" s="123"/>
    </row>
    <row r="99" spans="1:7" ht="15" customHeight="1">
      <c r="A99" s="627">
        <v>43</v>
      </c>
      <c r="B99" s="123"/>
      <c r="C99" s="123"/>
      <c r="D99" s="617"/>
      <c r="E99" s="627">
        <v>93</v>
      </c>
      <c r="F99" s="123"/>
      <c r="G99" s="123"/>
    </row>
    <row r="100" spans="1:7" ht="15" customHeight="1">
      <c r="A100" s="627">
        <v>44</v>
      </c>
      <c r="B100" s="123"/>
      <c r="C100" s="123"/>
      <c r="D100" s="617"/>
      <c r="E100" s="627">
        <v>94</v>
      </c>
      <c r="F100" s="123"/>
      <c r="G100" s="123"/>
    </row>
    <row r="101" spans="1:7" ht="15" customHeight="1">
      <c r="A101" s="627">
        <v>45</v>
      </c>
      <c r="B101" s="123"/>
      <c r="C101" s="123"/>
      <c r="D101" s="617"/>
      <c r="E101" s="627">
        <v>95</v>
      </c>
      <c r="F101" s="123"/>
      <c r="G101" s="123"/>
    </row>
    <row r="102" spans="1:7" ht="15" customHeight="1">
      <c r="A102" s="627">
        <v>46</v>
      </c>
      <c r="B102" s="123"/>
      <c r="C102" s="123"/>
      <c r="D102" s="617"/>
      <c r="E102" s="627">
        <v>96</v>
      </c>
      <c r="F102" s="123"/>
      <c r="G102" s="123"/>
    </row>
    <row r="103" spans="1:7" ht="15" customHeight="1">
      <c r="A103" s="627">
        <v>47</v>
      </c>
      <c r="B103" s="123"/>
      <c r="C103" s="123"/>
      <c r="D103" s="617"/>
      <c r="E103" s="627">
        <v>97</v>
      </c>
      <c r="F103" s="123"/>
      <c r="G103" s="123"/>
    </row>
    <row r="104" spans="1:7" ht="15" customHeight="1">
      <c r="A104" s="627">
        <v>48</v>
      </c>
      <c r="B104" s="123"/>
      <c r="C104" s="123"/>
      <c r="D104" s="617"/>
      <c r="E104" s="627">
        <v>98</v>
      </c>
      <c r="F104" s="123"/>
      <c r="G104" s="123"/>
    </row>
    <row r="105" spans="1:7" ht="15" customHeight="1">
      <c r="A105" s="627">
        <v>49</v>
      </c>
      <c r="B105" s="123"/>
      <c r="C105" s="123"/>
      <c r="D105" s="617"/>
      <c r="E105" s="627">
        <v>99</v>
      </c>
      <c r="F105" s="123"/>
      <c r="G105" s="123"/>
    </row>
    <row r="106" spans="1:7" ht="15" customHeight="1">
      <c r="A106" s="628">
        <v>50</v>
      </c>
      <c r="B106" s="124"/>
      <c r="C106" s="124"/>
      <c r="D106" s="617"/>
      <c r="E106" s="628">
        <v>100</v>
      </c>
      <c r="F106" s="124"/>
      <c r="G106" s="124"/>
    </row>
  </sheetData>
  <sheetProtection algorithmName="SHA-512" hashValue="gVeqaZpq9bNzUClZrrRaG7H14qpg0jNN9ynyvL0PVOUzdIQVVPNYoa8a/XhTiVwzKujmz2clAb4RiI1FMJzHRw==" saltValue="NSuVvCzqO7g8aKt4uGHIHA==" spinCount="100000" sheet="1" objects="1" scenarios="1" selectLockedCells="1"/>
  <mergeCells count="53">
    <mergeCell ref="C40:G40"/>
    <mergeCell ref="C34:G34"/>
    <mergeCell ref="C35:G35"/>
    <mergeCell ref="C33:G33"/>
    <mergeCell ref="C38:G38"/>
    <mergeCell ref="C39:G39"/>
    <mergeCell ref="A41:A51"/>
    <mergeCell ref="C41:G41"/>
    <mergeCell ref="C42:G42"/>
    <mergeCell ref="C43:G43"/>
    <mergeCell ref="C44:G44"/>
    <mergeCell ref="C45:G45"/>
    <mergeCell ref="C46:G46"/>
    <mergeCell ref="C49:G49"/>
    <mergeCell ref="C50:G50"/>
    <mergeCell ref="C51:G51"/>
    <mergeCell ref="C47:G47"/>
    <mergeCell ref="C48:G48"/>
    <mergeCell ref="A20:A40"/>
    <mergeCell ref="C20:G20"/>
    <mergeCell ref="C21:G21"/>
    <mergeCell ref="C22:G22"/>
    <mergeCell ref="C23:G23"/>
    <mergeCell ref="C25:G25"/>
    <mergeCell ref="C26:G26"/>
    <mergeCell ref="C27:G27"/>
    <mergeCell ref="C24:G24"/>
    <mergeCell ref="C36:G36"/>
    <mergeCell ref="C28:G28"/>
    <mergeCell ref="C37:G37"/>
    <mergeCell ref="C29:G29"/>
    <mergeCell ref="C30:G30"/>
    <mergeCell ref="C31:G31"/>
    <mergeCell ref="C32:G32"/>
    <mergeCell ref="A9:A19"/>
    <mergeCell ref="C9:G9"/>
    <mergeCell ref="C10:G10"/>
    <mergeCell ref="C11:G11"/>
    <mergeCell ref="C12:G12"/>
    <mergeCell ref="C13:G13"/>
    <mergeCell ref="C14:G14"/>
    <mergeCell ref="C17:G17"/>
    <mergeCell ref="C18:G18"/>
    <mergeCell ref="C19:G19"/>
    <mergeCell ref="C15:G15"/>
    <mergeCell ref="C16:G16"/>
    <mergeCell ref="E1:G1"/>
    <mergeCell ref="A4:A8"/>
    <mergeCell ref="C4:G4"/>
    <mergeCell ref="C5:G5"/>
    <mergeCell ref="C6:G6"/>
    <mergeCell ref="C7:G7"/>
    <mergeCell ref="C8:G8"/>
  </mergeCells>
  <phoneticPr fontId="1"/>
  <printOptions horizontalCentered="1"/>
  <pageMargins left="0.70866141732283472" right="0.70866141732283472" top="0.74803149606299213" bottom="0.74803149606299213" header="0.31496062992125984" footer="0.31496062992125984"/>
  <pageSetup paperSize="9" scale="94" fitToHeight="0" orientation="portrait" r:id="rId1"/>
  <rowBreaks count="1" manualBreakCount="1">
    <brk id="52"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00B0F0"/>
    <pageSetUpPr fitToPage="1"/>
  </sheetPr>
  <dimension ref="A1:AP30"/>
  <sheetViews>
    <sheetView view="pageBreakPreview" zoomScale="85" zoomScaleNormal="100" zoomScaleSheetLayoutView="85" workbookViewId="0">
      <selection activeCell="E5" sqref="E5"/>
    </sheetView>
  </sheetViews>
  <sheetFormatPr defaultColWidth="9" defaultRowHeight="12" outlineLevelCol="1"/>
  <cols>
    <col min="1" max="1" width="10.625" style="101" customWidth="1"/>
    <col min="2" max="3" width="18.25" style="101" customWidth="1"/>
    <col min="4" max="4" width="11" style="101" customWidth="1"/>
    <col min="5" max="5" width="18.875" style="101" bestFit="1" customWidth="1"/>
    <col min="6" max="6" width="12" style="101" customWidth="1"/>
    <col min="7" max="7" width="18.25" style="101" customWidth="1"/>
    <col min="8" max="8" width="11.375" style="101" bestFit="1" customWidth="1"/>
    <col min="9" max="9" width="50.625" style="101" customWidth="1"/>
    <col min="10" max="10" width="9" style="101" hidden="1" customWidth="1" outlineLevel="1"/>
    <col min="11" max="39" width="3.625" style="156" hidden="1" customWidth="1" outlineLevel="1"/>
    <col min="40" max="41" width="3.625" style="101" hidden="1" customWidth="1" outlineLevel="1"/>
    <col min="42" max="42" width="9" style="101" collapsed="1"/>
    <col min="43" max="16384" width="9" style="101"/>
  </cols>
  <sheetData>
    <row r="1" spans="1:41" ht="20.100000000000001" customHeight="1">
      <c r="A1" s="153" t="s">
        <v>933</v>
      </c>
      <c r="B1" s="154"/>
      <c r="C1" s="154"/>
      <c r="D1" s="154"/>
      <c r="E1" s="154"/>
      <c r="F1" s="1441" t="e">
        <f>J2&amp;"別紙2"&amp;J3</f>
        <v>#N/A</v>
      </c>
      <c r="G1" s="1441"/>
      <c r="H1" s="1441"/>
      <c r="J1" s="74" t="s">
        <v>475</v>
      </c>
      <c r="K1" s="155" t="s">
        <v>65</v>
      </c>
      <c r="AM1" s="101"/>
    </row>
    <row r="2" spans="1:41" ht="20.100000000000001" customHeight="1">
      <c r="A2" s="157" t="s">
        <v>547</v>
      </c>
      <c r="B2" s="157"/>
      <c r="C2" s="154"/>
      <c r="D2" s="154"/>
      <c r="E2" s="154"/>
      <c r="F2" s="158"/>
      <c r="G2" s="158"/>
      <c r="H2" s="158"/>
      <c r="J2" s="75" t="str">
        <f>【様式１】総括表・個票!$AI$2</f>
        <v>加-23_月申-</v>
      </c>
      <c r="K2" s="155"/>
      <c r="AM2" s="101"/>
    </row>
    <row r="3" spans="1:41" ht="20.100000000000001" customHeight="1" thickBot="1">
      <c r="A3" s="159" t="s">
        <v>343</v>
      </c>
      <c r="B3" s="154"/>
      <c r="C3" s="160" t="e">
        <f>DATE(K4,M4,1)</f>
        <v>#VALUE!</v>
      </c>
      <c r="D3" s="154"/>
      <c r="E3" s="154"/>
      <c r="F3" s="154"/>
      <c r="G3" s="161"/>
      <c r="H3" s="162"/>
      <c r="J3" s="74" t="e">
        <f>【様式１】総括表・個票!$AI$3</f>
        <v>#N/A</v>
      </c>
      <c r="K3" s="155" t="s">
        <v>51</v>
      </c>
      <c r="AM3" s="101"/>
    </row>
    <row r="4" spans="1:41" ht="20.100000000000001" customHeight="1" thickBot="1">
      <c r="A4" s="164" t="s">
        <v>548</v>
      </c>
      <c r="B4" s="165" t="s">
        <v>344</v>
      </c>
      <c r="C4" s="165" t="s">
        <v>345</v>
      </c>
      <c r="D4" s="166" t="s">
        <v>346</v>
      </c>
      <c r="E4" s="167" t="s">
        <v>347</v>
      </c>
      <c r="F4" s="166" t="s">
        <v>149</v>
      </c>
      <c r="G4" s="161"/>
      <c r="H4" s="162"/>
      <c r="K4" s="168" t="str">
        <f>【様式１】総括表・個票!D10</f>
        <v/>
      </c>
      <c r="L4" s="169" t="s">
        <v>10</v>
      </c>
      <c r="M4" s="169">
        <f>【様式１】総括表・個票!I10</f>
        <v>0</v>
      </c>
      <c r="N4" s="170" t="s">
        <v>132</v>
      </c>
    </row>
    <row r="5" spans="1:41" ht="20.100000000000001" customHeight="1">
      <c r="A5" s="971"/>
      <c r="B5" s="171">
        <v>1</v>
      </c>
      <c r="C5" s="172" t="e">
        <f>HLOOKUP($B5,$K$6:$AO$7,2,FALSE)</f>
        <v>#N/A</v>
      </c>
      <c r="D5" s="173" t="e">
        <f>IF(C5="無","×",IF(HLOOKUP($B5,$K$6:$AO$8,3,FALSE)="○","祝日",IF($A5="○","特例","平日")))</f>
        <v>#N/A</v>
      </c>
      <c r="E5" s="174"/>
      <c r="F5" s="175" t="e">
        <f>IF(AND($D5="平日",OR($E5=0,ISTEXT($E5))),"○",IF(AND($D5&lt;&gt;"平日",E5&gt;0),"エラー",""))</f>
        <v>#N/A</v>
      </c>
      <c r="G5" s="161"/>
      <c r="H5" s="162"/>
      <c r="J5" s="155" t="s">
        <v>348</v>
      </c>
      <c r="K5" s="176" t="e">
        <f>IF(K7&lt;&gt;"",IF(WEEKDAY(DATE($K$4,$M$4,K$7))=7,1,0),0)</f>
        <v>#VALUE!</v>
      </c>
      <c r="L5" s="176" t="e">
        <f t="shared" ref="L5:AO5" si="0">IF(L7&lt;&gt;"",IF(WEEKDAY(DATE($K$4,$M$4,L$7))=7,1,0),0)</f>
        <v>#VALUE!</v>
      </c>
      <c r="M5" s="176" t="e">
        <f t="shared" si="0"/>
        <v>#VALUE!</v>
      </c>
      <c r="N5" s="176" t="e">
        <f t="shared" si="0"/>
        <v>#VALUE!</v>
      </c>
      <c r="O5" s="176" t="e">
        <f t="shared" si="0"/>
        <v>#VALUE!</v>
      </c>
      <c r="P5" s="176" t="e">
        <f t="shared" si="0"/>
        <v>#VALUE!</v>
      </c>
      <c r="Q5" s="176" t="e">
        <f t="shared" si="0"/>
        <v>#VALUE!</v>
      </c>
      <c r="R5" s="176" t="e">
        <f t="shared" si="0"/>
        <v>#VALUE!</v>
      </c>
      <c r="S5" s="176" t="e">
        <f t="shared" si="0"/>
        <v>#VALUE!</v>
      </c>
      <c r="T5" s="176" t="e">
        <f t="shared" si="0"/>
        <v>#VALUE!</v>
      </c>
      <c r="U5" s="176" t="e">
        <f t="shared" si="0"/>
        <v>#VALUE!</v>
      </c>
      <c r="V5" s="176" t="e">
        <f t="shared" si="0"/>
        <v>#VALUE!</v>
      </c>
      <c r="W5" s="176" t="e">
        <f t="shared" si="0"/>
        <v>#VALUE!</v>
      </c>
      <c r="X5" s="176" t="e">
        <f t="shared" si="0"/>
        <v>#VALUE!</v>
      </c>
      <c r="Y5" s="176" t="e">
        <f t="shared" si="0"/>
        <v>#VALUE!</v>
      </c>
      <c r="Z5" s="176" t="e">
        <f t="shared" si="0"/>
        <v>#VALUE!</v>
      </c>
      <c r="AA5" s="176" t="e">
        <f t="shared" si="0"/>
        <v>#VALUE!</v>
      </c>
      <c r="AB5" s="176" t="e">
        <f t="shared" si="0"/>
        <v>#VALUE!</v>
      </c>
      <c r="AC5" s="176" t="e">
        <f t="shared" si="0"/>
        <v>#VALUE!</v>
      </c>
      <c r="AD5" s="176" t="e">
        <f t="shared" si="0"/>
        <v>#VALUE!</v>
      </c>
      <c r="AE5" s="176" t="e">
        <f t="shared" si="0"/>
        <v>#VALUE!</v>
      </c>
      <c r="AF5" s="176" t="e">
        <f t="shared" si="0"/>
        <v>#VALUE!</v>
      </c>
      <c r="AG5" s="176" t="e">
        <f t="shared" si="0"/>
        <v>#VALUE!</v>
      </c>
      <c r="AH5" s="176" t="e">
        <f t="shared" si="0"/>
        <v>#VALUE!</v>
      </c>
      <c r="AI5" s="176" t="e">
        <f t="shared" si="0"/>
        <v>#VALUE!</v>
      </c>
      <c r="AJ5" s="176" t="e">
        <f t="shared" si="0"/>
        <v>#VALUE!</v>
      </c>
      <c r="AK5" s="176" t="e">
        <f t="shared" si="0"/>
        <v>#VALUE!</v>
      </c>
      <c r="AL5" s="176" t="e">
        <f t="shared" si="0"/>
        <v>#VALUE!</v>
      </c>
      <c r="AM5" s="176" t="e">
        <f t="shared" si="0"/>
        <v>#VALUE!</v>
      </c>
      <c r="AN5" s="176" t="e">
        <f t="shared" si="0"/>
        <v>#VALUE!</v>
      </c>
      <c r="AO5" s="176">
        <f t="shared" si="0"/>
        <v>0</v>
      </c>
    </row>
    <row r="6" spans="1:41" ht="20.100000000000001" customHeight="1">
      <c r="A6" s="972"/>
      <c r="B6" s="177">
        <v>2</v>
      </c>
      <c r="C6" s="178" t="e">
        <f>HLOOKUP($B6,$K$6:$AO$7,2,FALSE)</f>
        <v>#N/A</v>
      </c>
      <c r="D6" s="179" t="e">
        <f>IF(C6="無","×",IF(HLOOKUP($B6,$K$6:$AO$8,3,FALSE)="○","祝日",IF($A6="○","特例","平日")))</f>
        <v>#N/A</v>
      </c>
      <c r="E6" s="180"/>
      <c r="F6" s="181" t="e">
        <f t="shared" ref="F6:F9" si="1">IF(AND($D6="平日",OR($E6=0,ISTEXT($E6))),"○",IF(AND($D6&lt;&gt;"平日",E6&gt;0),"エラー",""))</f>
        <v>#N/A</v>
      </c>
      <c r="G6" s="161"/>
      <c r="H6" s="162"/>
      <c r="J6" s="155" t="s">
        <v>349</v>
      </c>
      <c r="K6" s="182" t="e">
        <f>IF(K5&lt;&gt;1,0,COUNTIF($K$5:K5,1))</f>
        <v>#VALUE!</v>
      </c>
      <c r="L6" s="182" t="e">
        <f>IF(L5&lt;&gt;1,0,COUNTIF($K$5:L5,1))</f>
        <v>#VALUE!</v>
      </c>
      <c r="M6" s="182" t="e">
        <f>IF(M5&lt;&gt;1,0,COUNTIF($K$5:M5,1))</f>
        <v>#VALUE!</v>
      </c>
      <c r="N6" s="182" t="e">
        <f>IF(N5&lt;&gt;1,0,COUNTIF($K$5:N5,1))</f>
        <v>#VALUE!</v>
      </c>
      <c r="O6" s="182" t="e">
        <f>IF(O5&lt;&gt;1,0,COUNTIF($K$5:O5,1))</f>
        <v>#VALUE!</v>
      </c>
      <c r="P6" s="182" t="e">
        <f>IF(P5&lt;&gt;1,0,COUNTIF($K$5:P5,1))</f>
        <v>#VALUE!</v>
      </c>
      <c r="Q6" s="182" t="e">
        <f>IF(Q5&lt;&gt;1,0,COUNTIF($K$5:Q5,1))</f>
        <v>#VALUE!</v>
      </c>
      <c r="R6" s="182" t="e">
        <f>IF(R5&lt;&gt;1,0,COUNTIF($K$5:R5,1))</f>
        <v>#VALUE!</v>
      </c>
      <c r="S6" s="182" t="e">
        <f>IF(S5&lt;&gt;1,0,COUNTIF($K$5:S5,1))</f>
        <v>#VALUE!</v>
      </c>
      <c r="T6" s="182" t="e">
        <f>IF(T5&lt;&gt;1,0,COUNTIF($K$5:T5,1))</f>
        <v>#VALUE!</v>
      </c>
      <c r="U6" s="182" t="e">
        <f>IF(U5&lt;&gt;1,0,COUNTIF($K$5:U5,1))</f>
        <v>#VALUE!</v>
      </c>
      <c r="V6" s="182" t="e">
        <f>IF(V5&lt;&gt;1,0,COUNTIF($K$5:V5,1))</f>
        <v>#VALUE!</v>
      </c>
      <c r="W6" s="182" t="e">
        <f>IF(W5&lt;&gt;1,0,COUNTIF($K$5:W5,1))</f>
        <v>#VALUE!</v>
      </c>
      <c r="X6" s="182" t="e">
        <f>IF(X5&lt;&gt;1,0,COUNTIF($K$5:X5,1))</f>
        <v>#VALUE!</v>
      </c>
      <c r="Y6" s="182" t="e">
        <f>IF(Y5&lt;&gt;1,0,COUNTIF($K$5:Y5,1))</f>
        <v>#VALUE!</v>
      </c>
      <c r="Z6" s="182" t="e">
        <f>IF(Z5&lt;&gt;1,0,COUNTIF($K$5:Z5,1))</f>
        <v>#VALUE!</v>
      </c>
      <c r="AA6" s="182" t="e">
        <f>IF(AA5&lt;&gt;1,0,COUNTIF($K$5:AA5,1))</f>
        <v>#VALUE!</v>
      </c>
      <c r="AB6" s="182" t="e">
        <f>IF(AB5&lt;&gt;1,0,COUNTIF($K$5:AB5,1))</f>
        <v>#VALUE!</v>
      </c>
      <c r="AC6" s="182" t="e">
        <f>IF(AC5&lt;&gt;1,0,COUNTIF($K$5:AC5,1))</f>
        <v>#VALUE!</v>
      </c>
      <c r="AD6" s="182" t="e">
        <f>IF(AD5&lt;&gt;1,0,COUNTIF($K$5:AD5,1))</f>
        <v>#VALUE!</v>
      </c>
      <c r="AE6" s="182" t="e">
        <f>IF(AE5&lt;&gt;1,0,COUNTIF($K$5:AE5,1))</f>
        <v>#VALUE!</v>
      </c>
      <c r="AF6" s="182" t="e">
        <f>IF(AF5&lt;&gt;1,0,COUNTIF($K$5:AF5,1))</f>
        <v>#VALUE!</v>
      </c>
      <c r="AG6" s="182" t="e">
        <f>IF(AG5&lt;&gt;1,0,COUNTIF($K$5:AG5,1))</f>
        <v>#VALUE!</v>
      </c>
      <c r="AH6" s="182" t="e">
        <f>IF(AH5&lt;&gt;1,0,COUNTIF($K$5:AH5,1))</f>
        <v>#VALUE!</v>
      </c>
      <c r="AI6" s="182" t="e">
        <f>IF(AI5&lt;&gt;1,0,COUNTIF($K$5:AI5,1))</f>
        <v>#VALUE!</v>
      </c>
      <c r="AJ6" s="182" t="e">
        <f>IF(AJ5&lt;&gt;1,0,COUNTIF($K$5:AJ5,1))</f>
        <v>#VALUE!</v>
      </c>
      <c r="AK6" s="182" t="e">
        <f>IF(AK5&lt;&gt;1,0,COUNTIF($K$5:AK5,1))</f>
        <v>#VALUE!</v>
      </c>
      <c r="AL6" s="182" t="e">
        <f>IF(AL5&lt;&gt;1,0,COUNTIF($K$5:AL5,1))</f>
        <v>#VALUE!</v>
      </c>
      <c r="AM6" s="182" t="e">
        <f>IF(AM5&lt;&gt;1,0,COUNTIF($K$5:AM5,1))</f>
        <v>#VALUE!</v>
      </c>
      <c r="AN6" s="182" t="e">
        <f>IF(AN5&lt;&gt;1,0,COUNTIF($K$5:AN5,1))</f>
        <v>#VALUE!</v>
      </c>
      <c r="AO6" s="182">
        <f>IF(AO5&lt;&gt;1,0,COUNTIF($K$5:AO5,1))</f>
        <v>0</v>
      </c>
    </row>
    <row r="7" spans="1:41" ht="20.100000000000001" customHeight="1">
      <c r="A7" s="972"/>
      <c r="B7" s="177">
        <v>3</v>
      </c>
      <c r="C7" s="178" t="e">
        <f>HLOOKUP($B7,$K$6:$AO$7,2,FALSE)</f>
        <v>#N/A</v>
      </c>
      <c r="D7" s="179" t="e">
        <f>IF(C7="無","×",IF(HLOOKUP($B7,$K$6:$AO$8,3,FALSE)="○","祝日",IF($A7="○","特例","平日")))</f>
        <v>#N/A</v>
      </c>
      <c r="E7" s="180"/>
      <c r="F7" s="181" t="e">
        <f t="shared" si="1"/>
        <v>#N/A</v>
      </c>
      <c r="G7" s="161"/>
      <c r="H7" s="162"/>
      <c r="J7" s="155" t="s">
        <v>345</v>
      </c>
      <c r="K7" s="183">
        <v>1</v>
      </c>
      <c r="L7" s="183">
        <v>2</v>
      </c>
      <c r="M7" s="183">
        <v>3</v>
      </c>
      <c r="N7" s="183">
        <v>4</v>
      </c>
      <c r="O7" s="183">
        <v>5</v>
      </c>
      <c r="P7" s="183">
        <v>6</v>
      </c>
      <c r="Q7" s="183">
        <v>7</v>
      </c>
      <c r="R7" s="183">
        <v>8</v>
      </c>
      <c r="S7" s="183">
        <v>9</v>
      </c>
      <c r="T7" s="183">
        <v>10</v>
      </c>
      <c r="U7" s="183">
        <v>11</v>
      </c>
      <c r="V7" s="183">
        <v>12</v>
      </c>
      <c r="W7" s="183">
        <v>13</v>
      </c>
      <c r="X7" s="183">
        <v>14</v>
      </c>
      <c r="Y7" s="183">
        <v>15</v>
      </c>
      <c r="Z7" s="183">
        <v>16</v>
      </c>
      <c r="AA7" s="183">
        <v>17</v>
      </c>
      <c r="AB7" s="183">
        <v>18</v>
      </c>
      <c r="AC7" s="183">
        <v>19</v>
      </c>
      <c r="AD7" s="183">
        <v>20</v>
      </c>
      <c r="AE7" s="183">
        <v>21</v>
      </c>
      <c r="AF7" s="183">
        <v>22</v>
      </c>
      <c r="AG7" s="183">
        <v>23</v>
      </c>
      <c r="AH7" s="183">
        <v>24</v>
      </c>
      <c r="AI7" s="183">
        <v>25</v>
      </c>
      <c r="AJ7" s="183">
        <v>26</v>
      </c>
      <c r="AK7" s="183">
        <v>27</v>
      </c>
      <c r="AL7" s="183">
        <v>28</v>
      </c>
      <c r="AM7" s="183" t="e">
        <f>IF(MONTH(DATE(K4,M4,AL7+1))=M4,AL7+1,"")</f>
        <v>#VALUE!</v>
      </c>
      <c r="AN7" s="183" t="e">
        <f>IF(M4&lt;&gt;2,IF(AM7&lt;&gt;"",AM7+1,""),"")</f>
        <v>#VALUE!</v>
      </c>
      <c r="AO7" s="183" t="str">
        <f>IF(OR(M4=1,M4=3,M4=5,M4=7,M4=8,M4=10,M4=12),AN7+1,"")</f>
        <v/>
      </c>
    </row>
    <row r="8" spans="1:41" ht="20.100000000000001" customHeight="1">
      <c r="A8" s="972"/>
      <c r="B8" s="177">
        <v>4</v>
      </c>
      <c r="C8" s="178" t="e">
        <f>HLOOKUP($B8,$K$6:$AO$7,2,FALSE)</f>
        <v>#N/A</v>
      </c>
      <c r="D8" s="179" t="e">
        <f>IF(C8="無","×",IF(HLOOKUP($B8,$K$6:$AO$8,3,FALSE)="○","祝日",IF($A8="○","特例","平日")))</f>
        <v>#N/A</v>
      </c>
      <c r="E8" s="180"/>
      <c r="F8" s="181" t="e">
        <f t="shared" si="1"/>
        <v>#N/A</v>
      </c>
      <c r="G8" s="161"/>
      <c r="H8" s="162"/>
      <c r="J8" s="155" t="s">
        <v>350</v>
      </c>
      <c r="K8" s="184" t="e">
        <f>IF(K7&lt;&gt;"",IF(OR(WEEKDAY(DATE($K$4,$M$4,K$7),2)&gt;6,COUNTIF('休日情報(要更新)'!$A$5:$J$32,DATE($K$4,$M$4,K$7)) &gt;=1),"○",""),"")</f>
        <v>#VALUE!</v>
      </c>
      <c r="L8" s="184" t="e">
        <f>IF(L7&lt;&gt;"",IF(OR(WEEKDAY(DATE($K$4,$M$4,L$7),2)&gt;6,COUNTIF('休日情報(要更新)'!$A$5:$J$32,DATE($K$4,$M$4,L$7)) &gt;=1),"○",""),"")</f>
        <v>#VALUE!</v>
      </c>
      <c r="M8" s="184" t="e">
        <f>IF(M7&lt;&gt;"",IF(OR(WEEKDAY(DATE($K$4,$M$4,M$7),2)&gt;6,COUNTIF('休日情報(要更新)'!$A$5:$J$32,DATE($K$4,$M$4,M$7)) &gt;=1),"○",""),"")</f>
        <v>#VALUE!</v>
      </c>
      <c r="N8" s="184" t="e">
        <f>IF(N7&lt;&gt;"",IF(OR(WEEKDAY(DATE($K$4,$M$4,N$7),2)&gt;6,COUNTIF('休日情報(要更新)'!$A$5:$J$32,DATE($K$4,$M$4,N$7)) &gt;=1),"○",""),"")</f>
        <v>#VALUE!</v>
      </c>
      <c r="O8" s="184" t="e">
        <f>IF(O7&lt;&gt;"",IF(OR(WEEKDAY(DATE($K$4,$M$4,O$7),2)&gt;6,COUNTIF('休日情報(要更新)'!$A$5:$J$32,DATE($K$4,$M$4,O$7)) &gt;=1),"○",""),"")</f>
        <v>#VALUE!</v>
      </c>
      <c r="P8" s="184" t="e">
        <f>IF(P7&lt;&gt;"",IF(OR(WEEKDAY(DATE($K$4,$M$4,P$7),2)&gt;6,COUNTIF('休日情報(要更新)'!$A$5:$J$32,DATE($K$4,$M$4,P$7)) &gt;=1),"○",""),"")</f>
        <v>#VALUE!</v>
      </c>
      <c r="Q8" s="184" t="e">
        <f>IF(Q7&lt;&gt;"",IF(OR(WEEKDAY(DATE($K$4,$M$4,Q$7),2)&gt;6,COUNTIF('休日情報(要更新)'!$A$5:$J$32,DATE($K$4,$M$4,Q$7)) &gt;=1),"○",""),"")</f>
        <v>#VALUE!</v>
      </c>
      <c r="R8" s="184" t="e">
        <f>IF(R7&lt;&gt;"",IF(OR(WEEKDAY(DATE($K$4,$M$4,R$7),2)&gt;6,COUNTIF('休日情報(要更新)'!$A$5:$J$32,DATE($K$4,$M$4,R$7)) &gt;=1),"○",""),"")</f>
        <v>#VALUE!</v>
      </c>
      <c r="S8" s="184" t="e">
        <f>IF(S7&lt;&gt;"",IF(OR(WEEKDAY(DATE($K$4,$M$4,S$7),2)&gt;6,COUNTIF('休日情報(要更新)'!$A$5:$J$32,DATE($K$4,$M$4,S$7)) &gt;=1),"○",""),"")</f>
        <v>#VALUE!</v>
      </c>
      <c r="T8" s="184" t="e">
        <f>IF(T7&lt;&gt;"",IF(OR(WEEKDAY(DATE($K$4,$M$4,T$7),2)&gt;6,COUNTIF('休日情報(要更新)'!$A$5:$J$32,DATE($K$4,$M$4,T$7)) &gt;=1),"○",""),"")</f>
        <v>#VALUE!</v>
      </c>
      <c r="U8" s="184" t="e">
        <f>IF(U7&lt;&gt;"",IF(OR(WEEKDAY(DATE($K$4,$M$4,U$7),2)&gt;6,COUNTIF('休日情報(要更新)'!$A$5:$J$32,DATE($K$4,$M$4,U$7)) &gt;=1),"○",""),"")</f>
        <v>#VALUE!</v>
      </c>
      <c r="V8" s="184" t="e">
        <f>IF(V7&lt;&gt;"",IF(OR(WEEKDAY(DATE($K$4,$M$4,V$7),2)&gt;6,COUNTIF('休日情報(要更新)'!$A$5:$J$32,DATE($K$4,$M$4,V$7)) &gt;=1),"○",""),"")</f>
        <v>#VALUE!</v>
      </c>
      <c r="W8" s="184" t="e">
        <f>IF(W7&lt;&gt;"",IF(OR(WEEKDAY(DATE($K$4,$M$4,W$7),2)&gt;6,COUNTIF('休日情報(要更新)'!$A$5:$J$32,DATE($K$4,$M$4,W$7)) &gt;=1),"○",""),"")</f>
        <v>#VALUE!</v>
      </c>
      <c r="X8" s="184" t="e">
        <f>IF(X7&lt;&gt;"",IF(OR(WEEKDAY(DATE($K$4,$M$4,X$7),2)&gt;6,COUNTIF('休日情報(要更新)'!$A$5:$J$32,DATE($K$4,$M$4,X$7)) &gt;=1),"○",""),"")</f>
        <v>#VALUE!</v>
      </c>
      <c r="Y8" s="184" t="e">
        <f>IF(Y7&lt;&gt;"",IF(OR(WEEKDAY(DATE($K$4,$M$4,Y$7),2)&gt;6,COUNTIF('休日情報(要更新)'!$A$5:$J$32,DATE($K$4,$M$4,Y$7)) &gt;=1),"○",""),"")</f>
        <v>#VALUE!</v>
      </c>
      <c r="Z8" s="184" t="e">
        <f>IF(Z7&lt;&gt;"",IF(OR(WEEKDAY(DATE($K$4,$M$4,Z$7),2)&gt;6,COUNTIF('休日情報(要更新)'!$A$5:$J$32,DATE($K$4,$M$4,Z$7)) &gt;=1),"○",""),"")</f>
        <v>#VALUE!</v>
      </c>
      <c r="AA8" s="184" t="e">
        <f>IF(AA7&lt;&gt;"",IF(OR(WEEKDAY(DATE($K$4,$M$4,AA$7),2)&gt;6,COUNTIF('休日情報(要更新)'!$A$5:$J$32,DATE($K$4,$M$4,AA$7)) &gt;=1),"○",""),"")</f>
        <v>#VALUE!</v>
      </c>
      <c r="AB8" s="184" t="e">
        <f>IF(AB7&lt;&gt;"",IF(OR(WEEKDAY(DATE($K$4,$M$4,AB$7),2)&gt;6,COUNTIF('休日情報(要更新)'!$A$5:$J$32,DATE($K$4,$M$4,AB$7)) &gt;=1),"○",""),"")</f>
        <v>#VALUE!</v>
      </c>
      <c r="AC8" s="184" t="e">
        <f>IF(AC7&lt;&gt;"",IF(OR(WEEKDAY(DATE($K$4,$M$4,AC$7),2)&gt;6,COUNTIF('休日情報(要更新)'!$A$5:$J$32,DATE($K$4,$M$4,AC$7)) &gt;=1),"○",""),"")</f>
        <v>#VALUE!</v>
      </c>
      <c r="AD8" s="184" t="e">
        <f>IF(AD7&lt;&gt;"",IF(OR(WEEKDAY(DATE($K$4,$M$4,AD$7),2)&gt;6,COUNTIF('休日情報(要更新)'!$A$5:$J$32,DATE($K$4,$M$4,AD$7)) &gt;=1),"○",""),"")</f>
        <v>#VALUE!</v>
      </c>
      <c r="AE8" s="184" t="e">
        <f>IF(AE7&lt;&gt;"",IF(OR(WEEKDAY(DATE($K$4,$M$4,AE$7),2)&gt;6,COUNTIF('休日情報(要更新)'!$A$5:$J$32,DATE($K$4,$M$4,AE$7)) &gt;=1),"○",""),"")</f>
        <v>#VALUE!</v>
      </c>
      <c r="AF8" s="184" t="e">
        <f>IF(AF7&lt;&gt;"",IF(OR(WEEKDAY(DATE($K$4,$M$4,AF$7),2)&gt;6,COUNTIF('休日情報(要更新)'!$A$5:$J$32,DATE($K$4,$M$4,AF$7)) &gt;=1),"○",""),"")</f>
        <v>#VALUE!</v>
      </c>
      <c r="AG8" s="184" t="e">
        <f>IF(AG7&lt;&gt;"",IF(OR(WEEKDAY(DATE($K$4,$M$4,AG$7),2)&gt;6,COUNTIF('休日情報(要更新)'!$A$5:$J$32,DATE($K$4,$M$4,AG$7)) &gt;=1),"○",""),"")</f>
        <v>#VALUE!</v>
      </c>
      <c r="AH8" s="184" t="e">
        <f>IF(AH7&lt;&gt;"",IF(OR(WEEKDAY(DATE($K$4,$M$4,AH$7),2)&gt;6,COUNTIF('休日情報(要更新)'!$A$5:$J$32,DATE($K$4,$M$4,AH$7)) &gt;=1),"○",""),"")</f>
        <v>#VALUE!</v>
      </c>
      <c r="AI8" s="184" t="e">
        <f>IF(AI7&lt;&gt;"",IF(OR(WEEKDAY(DATE($K$4,$M$4,AI$7),2)&gt;6,COUNTIF('休日情報(要更新)'!$A$5:$J$32,DATE($K$4,$M$4,AI$7)) &gt;=1),"○",""),"")</f>
        <v>#VALUE!</v>
      </c>
      <c r="AJ8" s="184" t="e">
        <f>IF(AJ7&lt;&gt;"",IF(OR(WEEKDAY(DATE($K$4,$M$4,AJ$7),2)&gt;6,COUNTIF('休日情報(要更新)'!$A$5:$J$32,DATE($K$4,$M$4,AJ$7)) &gt;=1),"○",""),"")</f>
        <v>#VALUE!</v>
      </c>
      <c r="AK8" s="184" t="e">
        <f>IF(AK7&lt;&gt;"",IF(OR(WEEKDAY(DATE($K$4,$M$4,AK$7),2)&gt;6,COUNTIF('休日情報(要更新)'!$A$5:$J$32,DATE($K$4,$M$4,AK$7)) &gt;=1),"○",""),"")</f>
        <v>#VALUE!</v>
      </c>
      <c r="AL8" s="184" t="e">
        <f>IF(AL7&lt;&gt;"",IF(OR(WEEKDAY(DATE($K$4,$M$4,AL$7),2)&gt;6,COUNTIF('休日情報(要更新)'!$A$5:$J$32,DATE($K$4,$M$4,AL$7)) &gt;=1),"○",""),"")</f>
        <v>#VALUE!</v>
      </c>
      <c r="AM8" s="184" t="e">
        <f>IF(AM7&lt;&gt;"",IF(OR(WEEKDAY(DATE($K$4,$M$4,AM$7),2)&gt;6,COUNTIF('休日情報(要更新)'!$A$5:$J$32,DATE($K$4,$M$4,AM$7)) &gt;=1),"○",""),"")</f>
        <v>#VALUE!</v>
      </c>
      <c r="AN8" s="184" t="e">
        <f>IF(AN7&lt;&gt;"",IF(OR(WEEKDAY(DATE($K$4,$M$4,AN$7),2)&gt;6,COUNTIF('休日情報(要更新)'!$A$5:$J$32,DATE($K$4,$M$4,AN$7)) &gt;=1),"○",""),"")</f>
        <v>#VALUE!</v>
      </c>
      <c r="AO8" s="184" t="str">
        <f>IF(AO7&lt;&gt;"",IF(OR(WEEKDAY(DATE($K$4,$M$4,AO$7),2)&gt;6,COUNTIF('休日情報(要更新)'!$A$5:$J$32,DATE($K$4,$M$4,AO$7)) &gt;=1),"○",""),"")</f>
        <v/>
      </c>
    </row>
    <row r="9" spans="1:41" ht="20.100000000000001" customHeight="1">
      <c r="A9" s="973"/>
      <c r="B9" s="185">
        <v>5</v>
      </c>
      <c r="C9" s="186" t="str">
        <f>IF(ISERROR(HLOOKUP($B9,$K$6:$AO$7,2,FALSE)),"無",HLOOKUP($B9,$K$6:$AO$7,2,FALSE))</f>
        <v>無</v>
      </c>
      <c r="D9" s="187" t="str">
        <f>IF(C9="無","×",IF(HLOOKUP($B9,$K$6:$AO$8,3,FALSE)="○","祝日",IF($A9="○","特例","平日")))</f>
        <v>×</v>
      </c>
      <c r="E9" s="188"/>
      <c r="F9" s="189" t="str">
        <f t="shared" si="1"/>
        <v/>
      </c>
      <c r="G9" s="161"/>
      <c r="H9" s="162"/>
    </row>
    <row r="10" spans="1:41" ht="20.100000000000001" customHeight="1">
      <c r="A10" s="1442" t="s">
        <v>14</v>
      </c>
      <c r="B10" s="1443"/>
      <c r="C10" s="1443"/>
      <c r="D10" s="190">
        <f>COUNTIF(D5:D9,"平日")+COUNTIF(D5:D9,"特例")</f>
        <v>0</v>
      </c>
      <c r="E10" s="191"/>
      <c r="F10" s="190">
        <f>COUNTIF(F5:F9,"○")</f>
        <v>0</v>
      </c>
      <c r="G10" s="161"/>
      <c r="H10" s="162"/>
    </row>
    <row r="11" spans="1:41" ht="20.100000000000001" customHeight="1" thickBot="1">
      <c r="A11" s="159"/>
      <c r="B11" s="192" t="s">
        <v>351</v>
      </c>
      <c r="C11" s="192" t="str">
        <f>IF(F10=D10,"全て",IF(F10&gt;=3,"3日以上",IF(F10=2,"2日",IF(F10=1,"1日","×"))))</f>
        <v>全て</v>
      </c>
      <c r="D11" s="193"/>
      <c r="E11" s="154"/>
      <c r="F11" s="193"/>
      <c r="G11" s="161"/>
      <c r="H11" s="162"/>
    </row>
    <row r="12" spans="1:41" ht="20.100000000000001" customHeight="1" thickTop="1" thickBot="1">
      <c r="A12" s="159"/>
      <c r="B12" s="154"/>
      <c r="C12" s="154"/>
      <c r="D12" s="154"/>
      <c r="E12" s="154"/>
      <c r="F12" s="154"/>
      <c r="G12" s="161"/>
      <c r="H12" s="162"/>
      <c r="K12" s="168" t="e">
        <f>YEAR(DATE($K$4,$M$4,1)-1)</f>
        <v>#VALUE!</v>
      </c>
      <c r="L12" s="169" t="s">
        <v>10</v>
      </c>
      <c r="M12" s="169" t="e">
        <f>MONTH(DATE($K$4,$M$4,1)-1)</f>
        <v>#VALUE!</v>
      </c>
      <c r="N12" s="170" t="s">
        <v>132</v>
      </c>
    </row>
    <row r="13" spans="1:41" ht="20.100000000000001" customHeight="1">
      <c r="A13" s="159" t="s">
        <v>352</v>
      </c>
      <c r="B13" s="154"/>
      <c r="C13" s="160" t="e">
        <f>C3-1</f>
        <v>#VALUE!</v>
      </c>
      <c r="D13" s="154"/>
      <c r="E13" s="154"/>
      <c r="F13" s="154"/>
      <c r="G13" s="161"/>
      <c r="H13" s="162"/>
      <c r="J13" s="155" t="s">
        <v>348</v>
      </c>
      <c r="K13" s="176" t="e">
        <f>IF(K15&lt;&gt;"",IF(WEEKDAY(DATE($K$12,$M$12,K$15))=7,1,0),0)</f>
        <v>#VALUE!</v>
      </c>
      <c r="L13" s="176" t="e">
        <f t="shared" ref="L13:AO13" si="2">IF(L15&lt;&gt;"",IF(WEEKDAY(DATE($K$12,$M$12,L$15))=7,1,0),0)</f>
        <v>#VALUE!</v>
      </c>
      <c r="M13" s="176" t="e">
        <f t="shared" si="2"/>
        <v>#VALUE!</v>
      </c>
      <c r="N13" s="176" t="e">
        <f t="shared" si="2"/>
        <v>#VALUE!</v>
      </c>
      <c r="O13" s="176" t="e">
        <f t="shared" si="2"/>
        <v>#VALUE!</v>
      </c>
      <c r="P13" s="176" t="e">
        <f t="shared" si="2"/>
        <v>#VALUE!</v>
      </c>
      <c r="Q13" s="176" t="e">
        <f t="shared" si="2"/>
        <v>#VALUE!</v>
      </c>
      <c r="R13" s="176" t="e">
        <f t="shared" si="2"/>
        <v>#VALUE!</v>
      </c>
      <c r="S13" s="176" t="e">
        <f t="shared" si="2"/>
        <v>#VALUE!</v>
      </c>
      <c r="T13" s="176" t="e">
        <f t="shared" si="2"/>
        <v>#VALUE!</v>
      </c>
      <c r="U13" s="176" t="e">
        <f t="shared" si="2"/>
        <v>#VALUE!</v>
      </c>
      <c r="V13" s="176" t="e">
        <f t="shared" si="2"/>
        <v>#VALUE!</v>
      </c>
      <c r="W13" s="176" t="e">
        <f t="shared" si="2"/>
        <v>#VALUE!</v>
      </c>
      <c r="X13" s="176" t="e">
        <f t="shared" si="2"/>
        <v>#VALUE!</v>
      </c>
      <c r="Y13" s="176" t="e">
        <f t="shared" si="2"/>
        <v>#VALUE!</v>
      </c>
      <c r="Z13" s="176" t="e">
        <f t="shared" si="2"/>
        <v>#VALUE!</v>
      </c>
      <c r="AA13" s="176" t="e">
        <f t="shared" si="2"/>
        <v>#VALUE!</v>
      </c>
      <c r="AB13" s="176" t="e">
        <f t="shared" si="2"/>
        <v>#VALUE!</v>
      </c>
      <c r="AC13" s="176" t="e">
        <f t="shared" si="2"/>
        <v>#VALUE!</v>
      </c>
      <c r="AD13" s="176" t="e">
        <f t="shared" si="2"/>
        <v>#VALUE!</v>
      </c>
      <c r="AE13" s="176" t="e">
        <f t="shared" si="2"/>
        <v>#VALUE!</v>
      </c>
      <c r="AF13" s="176" t="e">
        <f t="shared" si="2"/>
        <v>#VALUE!</v>
      </c>
      <c r="AG13" s="176" t="e">
        <f t="shared" si="2"/>
        <v>#VALUE!</v>
      </c>
      <c r="AH13" s="176" t="e">
        <f t="shared" si="2"/>
        <v>#VALUE!</v>
      </c>
      <c r="AI13" s="176" t="e">
        <f t="shared" si="2"/>
        <v>#VALUE!</v>
      </c>
      <c r="AJ13" s="176" t="e">
        <f t="shared" si="2"/>
        <v>#VALUE!</v>
      </c>
      <c r="AK13" s="176" t="e">
        <f t="shared" si="2"/>
        <v>#VALUE!</v>
      </c>
      <c r="AL13" s="176" t="e">
        <f t="shared" si="2"/>
        <v>#VALUE!</v>
      </c>
      <c r="AM13" s="176" t="e">
        <f t="shared" si="2"/>
        <v>#VALUE!</v>
      </c>
      <c r="AN13" s="176" t="e">
        <f t="shared" si="2"/>
        <v>#VALUE!</v>
      </c>
      <c r="AO13" s="176" t="e">
        <f t="shared" si="2"/>
        <v>#VALUE!</v>
      </c>
    </row>
    <row r="14" spans="1:41" ht="20.100000000000001" customHeight="1">
      <c r="A14" s="164" t="s">
        <v>548</v>
      </c>
      <c r="B14" s="165" t="s">
        <v>344</v>
      </c>
      <c r="C14" s="165" t="s">
        <v>345</v>
      </c>
      <c r="D14" s="166" t="s">
        <v>346</v>
      </c>
      <c r="E14" s="167" t="s">
        <v>347</v>
      </c>
      <c r="F14" s="166" t="s">
        <v>353</v>
      </c>
      <c r="G14" s="167" t="s">
        <v>354</v>
      </c>
      <c r="H14" s="166" t="s">
        <v>528</v>
      </c>
      <c r="J14" s="155" t="s">
        <v>349</v>
      </c>
      <c r="K14" s="182" t="e">
        <f>IF(K13&lt;&gt;1,0,COUNTIF($K$13:K13,1))</f>
        <v>#VALUE!</v>
      </c>
      <c r="L14" s="182" t="e">
        <f>IF(L13&lt;&gt;1,0,COUNTIF($K$13:L13,1))</f>
        <v>#VALUE!</v>
      </c>
      <c r="M14" s="182" t="e">
        <f>IF(M13&lt;&gt;1,0,COUNTIF($K$13:M13,1))</f>
        <v>#VALUE!</v>
      </c>
      <c r="N14" s="182" t="e">
        <f>IF(N13&lt;&gt;1,0,COUNTIF($K$13:N13,1))</f>
        <v>#VALUE!</v>
      </c>
      <c r="O14" s="182" t="e">
        <f>IF(O13&lt;&gt;1,0,COUNTIF($K$13:O13,1))</f>
        <v>#VALUE!</v>
      </c>
      <c r="P14" s="182" t="e">
        <f>IF(P13&lt;&gt;1,0,COUNTIF($K$13:P13,1))</f>
        <v>#VALUE!</v>
      </c>
      <c r="Q14" s="182" t="e">
        <f>IF(Q13&lt;&gt;1,0,COUNTIF($K$13:Q13,1))</f>
        <v>#VALUE!</v>
      </c>
      <c r="R14" s="182" t="e">
        <f>IF(R13&lt;&gt;1,0,COUNTIF($K$13:R13,1))</f>
        <v>#VALUE!</v>
      </c>
      <c r="S14" s="182" t="e">
        <f>IF(S13&lt;&gt;1,0,COUNTIF($K$13:S13,1))</f>
        <v>#VALUE!</v>
      </c>
      <c r="T14" s="182" t="e">
        <f>IF(T13&lt;&gt;1,0,COUNTIF($K$13:T13,1))</f>
        <v>#VALUE!</v>
      </c>
      <c r="U14" s="182" t="e">
        <f>IF(U13&lt;&gt;1,0,COUNTIF($K$13:U13,1))</f>
        <v>#VALUE!</v>
      </c>
      <c r="V14" s="182" t="e">
        <f>IF(V13&lt;&gt;1,0,COUNTIF($K$13:V13,1))</f>
        <v>#VALUE!</v>
      </c>
      <c r="W14" s="182" t="e">
        <f>IF(W13&lt;&gt;1,0,COUNTIF($K$13:W13,1))</f>
        <v>#VALUE!</v>
      </c>
      <c r="X14" s="182" t="e">
        <f>IF(X13&lt;&gt;1,0,COUNTIF($K$13:X13,1))</f>
        <v>#VALUE!</v>
      </c>
      <c r="Y14" s="182" t="e">
        <f>IF(Y13&lt;&gt;1,0,COUNTIF($K$13:Y13,1))</f>
        <v>#VALUE!</v>
      </c>
      <c r="Z14" s="182" t="e">
        <f>IF(Z13&lt;&gt;1,0,COUNTIF($K$13:Z13,1))</f>
        <v>#VALUE!</v>
      </c>
      <c r="AA14" s="182" t="e">
        <f>IF(AA13&lt;&gt;1,0,COUNTIF($K$13:AA13,1))</f>
        <v>#VALUE!</v>
      </c>
      <c r="AB14" s="182" t="e">
        <f>IF(AB13&lt;&gt;1,0,COUNTIF($K$13:AB13,1))</f>
        <v>#VALUE!</v>
      </c>
      <c r="AC14" s="182" t="e">
        <f>IF(AC13&lt;&gt;1,0,COUNTIF($K$13:AC13,1))</f>
        <v>#VALUE!</v>
      </c>
      <c r="AD14" s="182" t="e">
        <f>IF(AD13&lt;&gt;1,0,COUNTIF($K$13:AD13,1))</f>
        <v>#VALUE!</v>
      </c>
      <c r="AE14" s="182" t="e">
        <f>IF(AE13&lt;&gt;1,0,COUNTIF($K$13:AE13,1))</f>
        <v>#VALUE!</v>
      </c>
      <c r="AF14" s="182" t="e">
        <f>IF(AF13&lt;&gt;1,0,COUNTIF($K$13:AF13,1))</f>
        <v>#VALUE!</v>
      </c>
      <c r="AG14" s="182" t="e">
        <f>IF(AG13&lt;&gt;1,0,COUNTIF($K$13:AG13,1))</f>
        <v>#VALUE!</v>
      </c>
      <c r="AH14" s="182" t="e">
        <f>IF(AH13&lt;&gt;1,0,COUNTIF($K$13:AH13,1))</f>
        <v>#VALUE!</v>
      </c>
      <c r="AI14" s="182" t="e">
        <f>IF(AI13&lt;&gt;1,0,COUNTIF($K$13:AI13,1))</f>
        <v>#VALUE!</v>
      </c>
      <c r="AJ14" s="182" t="e">
        <f>IF(AJ13&lt;&gt;1,0,COUNTIF($K$13:AJ13,1))</f>
        <v>#VALUE!</v>
      </c>
      <c r="AK14" s="182" t="e">
        <f>IF(AK13&lt;&gt;1,0,COUNTIF($K$13:AK13,1))</f>
        <v>#VALUE!</v>
      </c>
      <c r="AL14" s="182" t="e">
        <f>IF(AL13&lt;&gt;1,0,COUNTIF($K$13:AL13,1))</f>
        <v>#VALUE!</v>
      </c>
      <c r="AM14" s="182" t="e">
        <f>IF(AM13&lt;&gt;1,0,COUNTIF($K$13:AM13,1))</f>
        <v>#VALUE!</v>
      </c>
      <c r="AN14" s="182" t="e">
        <f>IF(AN13&lt;&gt;1,0,COUNTIF($K$13:AN13,1))</f>
        <v>#VALUE!</v>
      </c>
      <c r="AO14" s="182" t="e">
        <f>IF(AO13&lt;&gt;1,0,COUNTIF($K$13:AO13,1))</f>
        <v>#VALUE!</v>
      </c>
    </row>
    <row r="15" spans="1:41" ht="20.100000000000001" customHeight="1">
      <c r="A15" s="971"/>
      <c r="B15" s="171">
        <v>1</v>
      </c>
      <c r="C15" s="172" t="e">
        <f>HLOOKUP($B15,$K$14:$AO$15,2,FALSE)</f>
        <v>#N/A</v>
      </c>
      <c r="D15" s="173" t="e">
        <f>IF(C15="無","×",IF(HLOOKUP($B15,$K$14:$AO$16,3,FALSE)="○","祝日",IF($A15="○","特例","平日")))</f>
        <v>#N/A</v>
      </c>
      <c r="E15" s="174"/>
      <c r="F15" s="175" t="e">
        <f>IF(AND($D15="平日",OR($E15=0,ISTEXT($E15))),"○",IF(AND($D15&lt;&gt;"平日",E15&gt;0),"エラー",""))</f>
        <v>#N/A</v>
      </c>
      <c r="G15" s="174"/>
      <c r="H15" s="175" t="e">
        <f>IF(AND($D15="平日",OR($G15=0,ISTEXT($G15))),"○",IF(AND($D15&lt;&gt;"平日",$G15&gt;0),"エラー",""))</f>
        <v>#N/A</v>
      </c>
      <c r="J15" s="155" t="s">
        <v>345</v>
      </c>
      <c r="K15" s="183">
        <v>1</v>
      </c>
      <c r="L15" s="183">
        <v>2</v>
      </c>
      <c r="M15" s="183">
        <v>3</v>
      </c>
      <c r="N15" s="183">
        <v>4</v>
      </c>
      <c r="O15" s="183">
        <v>5</v>
      </c>
      <c r="P15" s="183">
        <v>6</v>
      </c>
      <c r="Q15" s="183">
        <v>7</v>
      </c>
      <c r="R15" s="183">
        <v>8</v>
      </c>
      <c r="S15" s="183">
        <v>9</v>
      </c>
      <c r="T15" s="183">
        <v>10</v>
      </c>
      <c r="U15" s="183">
        <v>11</v>
      </c>
      <c r="V15" s="183">
        <v>12</v>
      </c>
      <c r="W15" s="183">
        <v>13</v>
      </c>
      <c r="X15" s="183">
        <v>14</v>
      </c>
      <c r="Y15" s="183">
        <v>15</v>
      </c>
      <c r="Z15" s="183">
        <v>16</v>
      </c>
      <c r="AA15" s="183">
        <v>17</v>
      </c>
      <c r="AB15" s="183">
        <v>18</v>
      </c>
      <c r="AC15" s="183">
        <v>19</v>
      </c>
      <c r="AD15" s="183">
        <v>20</v>
      </c>
      <c r="AE15" s="183">
        <v>21</v>
      </c>
      <c r="AF15" s="183">
        <v>22</v>
      </c>
      <c r="AG15" s="183">
        <v>23</v>
      </c>
      <c r="AH15" s="183">
        <v>24</v>
      </c>
      <c r="AI15" s="183">
        <v>25</v>
      </c>
      <c r="AJ15" s="183">
        <v>26</v>
      </c>
      <c r="AK15" s="183">
        <v>27</v>
      </c>
      <c r="AL15" s="183">
        <v>28</v>
      </c>
      <c r="AM15" s="183" t="e">
        <f>IF(MONTH(DATE(K12,M12,AL15+1))=M12,AL15+1,"")</f>
        <v>#VALUE!</v>
      </c>
      <c r="AN15" s="183" t="e">
        <f>IF(M12&lt;&gt;2,IF(AM15&lt;&gt;"",AM15+1,""),"")</f>
        <v>#VALUE!</v>
      </c>
      <c r="AO15" s="183" t="e">
        <f>IF(OR(M12=1,M12=3,M12=5,M12=7,M12=8,M12=10,M12=12),AN15+1,"")</f>
        <v>#VALUE!</v>
      </c>
    </row>
    <row r="16" spans="1:41" ht="20.100000000000001" customHeight="1">
      <c r="A16" s="972"/>
      <c r="B16" s="177">
        <v>2</v>
      </c>
      <c r="C16" s="178" t="e">
        <f>HLOOKUP($B16,$K$14:$AO$15,2,FALSE)</f>
        <v>#N/A</v>
      </c>
      <c r="D16" s="179" t="e">
        <f t="shared" ref="D16:D19" si="3">IF(C16="無","×",IF(HLOOKUP($B16,$K$14:$AO$16,3,FALSE)="○","祝日",IF($A16="○","特例","平日")))</f>
        <v>#N/A</v>
      </c>
      <c r="E16" s="180"/>
      <c r="F16" s="181" t="e">
        <f t="shared" ref="F16:F19" si="4">IF(AND($D16="平日",OR($E16=0,ISTEXT($E16))),"○",IF(AND($D16&lt;&gt;"平日",E16&gt;0),"エラー",""))</f>
        <v>#N/A</v>
      </c>
      <c r="G16" s="180"/>
      <c r="H16" s="181" t="e">
        <f t="shared" ref="H16:H19" si="5">IF(AND($D16="平日",OR($G16=0,ISTEXT($G16))),"○",IF(AND($D16&lt;&gt;"平日",$G16&gt;0),"エラー",""))</f>
        <v>#N/A</v>
      </c>
      <c r="J16" s="155" t="s">
        <v>350</v>
      </c>
      <c r="K16" s="184" t="e">
        <f>IF(K15&lt;&gt;"",IF(OR(WEEKDAY(DATE($K$12,$M$12,K$15),2)&gt;6,COUNTIF('休日情報(要更新)'!$A$5:$J$32,DATE($K$12,$M$12,K$15)) &gt;=1),"○",""),"")</f>
        <v>#VALUE!</v>
      </c>
      <c r="L16" s="184" t="e">
        <f>IF(L15&lt;&gt;"",IF(OR(WEEKDAY(DATE($K$12,$M$12,L$15),2)&gt;6,COUNTIF('休日情報(要更新)'!$A$5:$J$32,DATE($K$12,$M$12,L$15)) &gt;=1),"○",""),"")</f>
        <v>#VALUE!</v>
      </c>
      <c r="M16" s="184" t="e">
        <f>IF(M15&lt;&gt;"",IF(OR(WEEKDAY(DATE($K$12,$M$12,M$15),2)&gt;6,COUNTIF('休日情報(要更新)'!$A$5:$J$32,DATE($K$12,$M$12,M$15)) &gt;=1),"○",""),"")</f>
        <v>#VALUE!</v>
      </c>
      <c r="N16" s="184" t="e">
        <f>IF(N15&lt;&gt;"",IF(OR(WEEKDAY(DATE($K$12,$M$12,N$15),2)&gt;6,COUNTIF('休日情報(要更新)'!$A$5:$J$32,DATE($K$12,$M$12,N$15)) &gt;=1),"○",""),"")</f>
        <v>#VALUE!</v>
      </c>
      <c r="O16" s="184" t="e">
        <f>IF(O15&lt;&gt;"",IF(OR(WEEKDAY(DATE($K$12,$M$12,O$15),2)&gt;6,COUNTIF('休日情報(要更新)'!$A$5:$J$32,DATE($K$12,$M$12,O$15)) &gt;=1),"○",""),"")</f>
        <v>#VALUE!</v>
      </c>
      <c r="P16" s="184" t="e">
        <f>IF(P15&lt;&gt;"",IF(OR(WEEKDAY(DATE($K$12,$M$12,P$15),2)&gt;6,COUNTIF('休日情報(要更新)'!$A$5:$J$32,DATE($K$12,$M$12,P$15)) &gt;=1),"○",""),"")</f>
        <v>#VALUE!</v>
      </c>
      <c r="Q16" s="184" t="e">
        <f>IF(Q15&lt;&gt;"",IF(OR(WEEKDAY(DATE($K$12,$M$12,Q$15),2)&gt;6,COUNTIF('休日情報(要更新)'!$A$5:$J$32,DATE($K$12,$M$12,Q$15)) &gt;=1),"○",""),"")</f>
        <v>#VALUE!</v>
      </c>
      <c r="R16" s="184" t="e">
        <f>IF(R15&lt;&gt;"",IF(OR(WEEKDAY(DATE($K$12,$M$12,R$15),2)&gt;6,COUNTIF('休日情報(要更新)'!$A$5:$J$32,DATE($K$12,$M$12,R$15)) &gt;=1),"○",""),"")</f>
        <v>#VALUE!</v>
      </c>
      <c r="S16" s="184" t="e">
        <f>IF(S15&lt;&gt;"",IF(OR(WEEKDAY(DATE($K$12,$M$12,S$15),2)&gt;6,COUNTIF('休日情報(要更新)'!$A$5:$J$32,DATE($K$12,$M$12,S$15)) &gt;=1),"○",""),"")</f>
        <v>#VALUE!</v>
      </c>
      <c r="T16" s="184" t="e">
        <f>IF(T15&lt;&gt;"",IF(OR(WEEKDAY(DATE($K$12,$M$12,T$15),2)&gt;6,COUNTIF('休日情報(要更新)'!$A$5:$J$32,DATE($K$12,$M$12,T$15)) &gt;=1),"○",""),"")</f>
        <v>#VALUE!</v>
      </c>
      <c r="U16" s="184" t="e">
        <f>IF(U15&lt;&gt;"",IF(OR(WEEKDAY(DATE($K$12,$M$12,U$15),2)&gt;6,COUNTIF('休日情報(要更新)'!$A$5:$J$32,DATE($K$12,$M$12,U$15)) &gt;=1),"○",""),"")</f>
        <v>#VALUE!</v>
      </c>
      <c r="V16" s="184" t="e">
        <f>IF(V15&lt;&gt;"",IF(OR(WEEKDAY(DATE($K$12,$M$12,V$15),2)&gt;6,COUNTIF('休日情報(要更新)'!$A$5:$J$32,DATE($K$12,$M$12,V$15)) &gt;=1),"○",""),"")</f>
        <v>#VALUE!</v>
      </c>
      <c r="W16" s="184" t="e">
        <f>IF(W15&lt;&gt;"",IF(OR(WEEKDAY(DATE($K$12,$M$12,W$15),2)&gt;6,COUNTIF('休日情報(要更新)'!$A$5:$J$32,DATE($K$12,$M$12,W$15)) &gt;=1),"○",""),"")</f>
        <v>#VALUE!</v>
      </c>
      <c r="X16" s="184" t="e">
        <f>IF(X15&lt;&gt;"",IF(OR(WEEKDAY(DATE($K$12,$M$12,X$15),2)&gt;6,COUNTIF('休日情報(要更新)'!$A$5:$J$32,DATE($K$12,$M$12,X$15)) &gt;=1),"○",""),"")</f>
        <v>#VALUE!</v>
      </c>
      <c r="Y16" s="184" t="e">
        <f>IF(Y15&lt;&gt;"",IF(OR(WEEKDAY(DATE($K$12,$M$12,Y$15),2)&gt;6,COUNTIF('休日情報(要更新)'!$A$5:$J$32,DATE($K$12,$M$12,Y$15)) &gt;=1),"○",""),"")</f>
        <v>#VALUE!</v>
      </c>
      <c r="Z16" s="184" t="e">
        <f>IF(Z15&lt;&gt;"",IF(OR(WEEKDAY(DATE($K$12,$M$12,Z$15),2)&gt;6,COUNTIF('休日情報(要更新)'!$A$5:$J$32,DATE($K$12,$M$12,Z$15)) &gt;=1),"○",""),"")</f>
        <v>#VALUE!</v>
      </c>
      <c r="AA16" s="184" t="e">
        <f>IF(AA15&lt;&gt;"",IF(OR(WEEKDAY(DATE($K$12,$M$12,AA$15),2)&gt;6,COUNTIF('休日情報(要更新)'!$A$5:$J$32,DATE($K$12,$M$12,AA$15)) &gt;=1),"○",""),"")</f>
        <v>#VALUE!</v>
      </c>
      <c r="AB16" s="184" t="e">
        <f>IF(AB15&lt;&gt;"",IF(OR(WEEKDAY(DATE($K$12,$M$12,AB$15),2)&gt;6,COUNTIF('休日情報(要更新)'!$A$5:$J$32,DATE($K$12,$M$12,AB$15)) &gt;=1),"○",""),"")</f>
        <v>#VALUE!</v>
      </c>
      <c r="AC16" s="184" t="e">
        <f>IF(AC15&lt;&gt;"",IF(OR(WEEKDAY(DATE($K$12,$M$12,AC$15),2)&gt;6,COUNTIF('休日情報(要更新)'!$A$5:$J$32,DATE($K$12,$M$12,AC$15)) &gt;=1),"○",""),"")</f>
        <v>#VALUE!</v>
      </c>
      <c r="AD16" s="184" t="e">
        <f>IF(AD15&lt;&gt;"",IF(OR(WEEKDAY(DATE($K$12,$M$12,AD$15),2)&gt;6,COUNTIF('休日情報(要更新)'!$A$5:$J$32,DATE($K$12,$M$12,AD$15)) &gt;=1),"○",""),"")</f>
        <v>#VALUE!</v>
      </c>
      <c r="AE16" s="184" t="e">
        <f>IF(AE15&lt;&gt;"",IF(OR(WEEKDAY(DATE($K$12,$M$12,AE$15),2)&gt;6,COUNTIF('休日情報(要更新)'!$A$5:$J$32,DATE($K$12,$M$12,AE$15)) &gt;=1),"○",""),"")</f>
        <v>#VALUE!</v>
      </c>
      <c r="AF16" s="184" t="e">
        <f>IF(AF15&lt;&gt;"",IF(OR(WEEKDAY(DATE($K$12,$M$12,AF$15),2)&gt;6,COUNTIF('休日情報(要更新)'!$A$5:$J$32,DATE($K$12,$M$12,AF$15)) &gt;=1),"○",""),"")</f>
        <v>#VALUE!</v>
      </c>
      <c r="AG16" s="184" t="e">
        <f>IF(AG15&lt;&gt;"",IF(OR(WEEKDAY(DATE($K$12,$M$12,AG$15),2)&gt;6,COUNTIF('休日情報(要更新)'!$A$5:$J$32,DATE($K$12,$M$12,AG$15)) &gt;=1),"○",""),"")</f>
        <v>#VALUE!</v>
      </c>
      <c r="AH16" s="184" t="e">
        <f>IF(AH15&lt;&gt;"",IF(OR(WEEKDAY(DATE($K$12,$M$12,AH$15),2)&gt;6,COUNTIF('休日情報(要更新)'!$A$5:$J$32,DATE($K$12,$M$12,AH$15)) &gt;=1),"○",""),"")</f>
        <v>#VALUE!</v>
      </c>
      <c r="AI16" s="184" t="e">
        <f>IF(AI15&lt;&gt;"",IF(OR(WEEKDAY(DATE($K$12,$M$12,AI$15),2)&gt;6,COUNTIF('休日情報(要更新)'!$A$5:$J$32,DATE($K$12,$M$12,AI$15)) &gt;=1),"○",""),"")</f>
        <v>#VALUE!</v>
      </c>
      <c r="AJ16" s="184" t="e">
        <f>IF(AJ15&lt;&gt;"",IF(OR(WEEKDAY(DATE($K$12,$M$12,AJ$15),2)&gt;6,COUNTIF('休日情報(要更新)'!$A$5:$J$32,DATE($K$12,$M$12,AJ$15)) &gt;=1),"○",""),"")</f>
        <v>#VALUE!</v>
      </c>
      <c r="AK16" s="184" t="e">
        <f>IF(AK15&lt;&gt;"",IF(OR(WEEKDAY(DATE($K$12,$M$12,AK$15),2)&gt;6,COUNTIF('休日情報(要更新)'!$A$5:$J$32,DATE($K$12,$M$12,AK$15)) &gt;=1),"○",""),"")</f>
        <v>#VALUE!</v>
      </c>
      <c r="AL16" s="184" t="e">
        <f>IF(AL15&lt;&gt;"",IF(OR(WEEKDAY(DATE($K$12,$M$12,AL$15),2)&gt;6,COUNTIF('休日情報(要更新)'!$A$5:$J$32,DATE($K$12,$M$12,AL$15)) &gt;=1),"○",""),"")</f>
        <v>#VALUE!</v>
      </c>
      <c r="AM16" s="184" t="e">
        <f>IF(AM15&lt;&gt;"",IF(OR(WEEKDAY(DATE($K$12,$M$12,AM$15),2)&gt;6,COUNTIF('休日情報(要更新)'!$A$5:$J$32,DATE($K$12,$M$12,AM$15)) &gt;=1),"○",""),"")</f>
        <v>#VALUE!</v>
      </c>
      <c r="AN16" s="184" t="e">
        <f>IF(AN15&lt;&gt;"",IF(OR(WEEKDAY(DATE($K$12,$M$12,AN$15),2)&gt;6,COUNTIF('休日情報(要更新)'!$A$5:$J$32,DATE($K$12,$M$12,AN$15)) &gt;=1),"○",""),"")</f>
        <v>#VALUE!</v>
      </c>
      <c r="AO16" s="184" t="e">
        <f>IF(AO15&lt;&gt;"",IF(OR(WEEKDAY(DATE($K$12,$M$12,AO$15),2)&gt;6,COUNTIF('休日情報(要更新)'!$A$5:$J$32,DATE($K$12,$M$12,AO$15)) &gt;=1),"○",""),"")</f>
        <v>#VALUE!</v>
      </c>
    </row>
    <row r="17" spans="1:10" ht="20.100000000000001" customHeight="1">
      <c r="A17" s="972"/>
      <c r="B17" s="177">
        <v>3</v>
      </c>
      <c r="C17" s="178" t="e">
        <f>HLOOKUP($B17,$K$14:$AO$15,2,FALSE)</f>
        <v>#N/A</v>
      </c>
      <c r="D17" s="179" t="e">
        <f t="shared" si="3"/>
        <v>#N/A</v>
      </c>
      <c r="E17" s="180"/>
      <c r="F17" s="181" t="e">
        <f t="shared" si="4"/>
        <v>#N/A</v>
      </c>
      <c r="G17" s="180"/>
      <c r="H17" s="181" t="e">
        <f t="shared" si="5"/>
        <v>#N/A</v>
      </c>
    </row>
    <row r="18" spans="1:10" ht="20.100000000000001" customHeight="1">
      <c r="A18" s="972"/>
      <c r="B18" s="177">
        <v>4</v>
      </c>
      <c r="C18" s="178" t="e">
        <f>HLOOKUP($B18,$K$14:$AO$15,2,FALSE)</f>
        <v>#N/A</v>
      </c>
      <c r="D18" s="179" t="e">
        <f t="shared" si="3"/>
        <v>#N/A</v>
      </c>
      <c r="E18" s="180"/>
      <c r="F18" s="181" t="e">
        <f t="shared" si="4"/>
        <v>#N/A</v>
      </c>
      <c r="G18" s="180"/>
      <c r="H18" s="181" t="e">
        <f>IF(AND($D18="平日",OR($G18=0,ISTEXT($G18))),"○",IF(AND($D18&lt;&gt;"平日",$G18&gt;0),"エラー",""))</f>
        <v>#N/A</v>
      </c>
    </row>
    <row r="19" spans="1:10" ht="20.100000000000001" customHeight="1">
      <c r="A19" s="973"/>
      <c r="B19" s="185">
        <v>5</v>
      </c>
      <c r="C19" s="186" t="str">
        <f>IF(ISERROR(HLOOKUP($B19,$K$14:$AO$15,2,FALSE)),"無",HLOOKUP($B19,$K$14:$AO$15,2,FALSE))</f>
        <v>無</v>
      </c>
      <c r="D19" s="187" t="str">
        <f t="shared" si="3"/>
        <v>×</v>
      </c>
      <c r="E19" s="188"/>
      <c r="F19" s="189" t="str">
        <f t="shared" si="4"/>
        <v/>
      </c>
      <c r="G19" s="188"/>
      <c r="H19" s="189" t="str">
        <f t="shared" si="5"/>
        <v/>
      </c>
    </row>
    <row r="20" spans="1:10" ht="20.100000000000001" customHeight="1">
      <c r="A20" s="1083" t="s">
        <v>14</v>
      </c>
      <c r="B20" s="1084"/>
      <c r="C20" s="1084"/>
      <c r="D20" s="190">
        <f>COUNTIF(D15:D19,"平日")+COUNTIF(D15:D19,"特例")</f>
        <v>0</v>
      </c>
      <c r="E20" s="191"/>
      <c r="F20" s="190">
        <f>COUNTIF(F15:F19,"○")</f>
        <v>0</v>
      </c>
      <c r="G20" s="191"/>
      <c r="H20" s="190">
        <f>COUNTIF(H15:H19,"○")</f>
        <v>0</v>
      </c>
    </row>
    <row r="21" spans="1:10" ht="20.100000000000001" customHeight="1">
      <c r="A21" s="159"/>
      <c r="B21" s="776"/>
      <c r="C21" s="776"/>
      <c r="D21" s="193"/>
      <c r="E21" s="154"/>
      <c r="F21" s="193"/>
      <c r="G21" s="154"/>
      <c r="H21" s="193"/>
    </row>
    <row r="22" spans="1:10" ht="20.100000000000001" customHeight="1" thickBot="1">
      <c r="A22" s="159"/>
      <c r="B22" s="194" t="s">
        <v>355</v>
      </c>
      <c r="C22" s="194" t="str">
        <f>IF(F20=D20,"全て",IF(F20&gt;=3,"3日以上",IF(F20=2,"2日",IF(F20=1,"1日","×"))))</f>
        <v>全て</v>
      </c>
      <c r="D22" s="195" t="s">
        <v>550</v>
      </c>
      <c r="E22" s="194" t="s">
        <v>356</v>
      </c>
      <c r="F22" s="194" t="str">
        <f>IF(D20=H20,"全て",IF(H20&gt;=3,"3日以上",IF(H20=2,"2日",IF(H20=1,"1日","×"))))</f>
        <v>全て</v>
      </c>
      <c r="G22" s="196" t="str">
        <f>IF(J22,"(変更無)","(変更有)")</f>
        <v>(変更無)</v>
      </c>
      <c r="H22" s="162"/>
      <c r="J22" s="155" t="b">
        <f>F22=C22</f>
        <v>1</v>
      </c>
    </row>
    <row r="23" spans="1:10" ht="20.100000000000001" customHeight="1" thickTop="1">
      <c r="A23" s="159"/>
      <c r="B23" s="154"/>
      <c r="C23" s="154"/>
      <c r="D23" s="154"/>
      <c r="E23" s="154"/>
      <c r="F23" s="154"/>
      <c r="G23" s="161"/>
      <c r="H23" s="162"/>
    </row>
    <row r="24" spans="1:10" ht="20.100000000000001" customHeight="1">
      <c r="A24" s="154" t="s">
        <v>551</v>
      </c>
      <c r="B24" s="154"/>
      <c r="C24" s="154"/>
      <c r="D24" s="154"/>
      <c r="E24" s="154"/>
      <c r="F24" s="154"/>
      <c r="G24" s="161"/>
      <c r="H24" s="162"/>
    </row>
    <row r="25" spans="1:10" ht="20.100000000000001" customHeight="1">
      <c r="A25" s="1440" t="s">
        <v>527</v>
      </c>
      <c r="B25" s="1440"/>
      <c r="C25" s="1440"/>
      <c r="D25" s="1440"/>
      <c r="E25" s="1440"/>
      <c r="F25" s="1440"/>
      <c r="G25" s="1440"/>
      <c r="H25" s="1440"/>
    </row>
    <row r="26" spans="1:10" ht="20.100000000000001" customHeight="1">
      <c r="A26" s="1440"/>
      <c r="B26" s="1440"/>
      <c r="C26" s="1440"/>
      <c r="D26" s="1440"/>
      <c r="E26" s="1440"/>
      <c r="F26" s="1440"/>
      <c r="G26" s="1440"/>
      <c r="H26" s="1440"/>
    </row>
    <row r="27" spans="1:10" ht="20.100000000000001" customHeight="1">
      <c r="A27" s="1098" t="s">
        <v>552</v>
      </c>
      <c r="B27" s="1098"/>
      <c r="C27" s="1098"/>
      <c r="D27" s="1098"/>
      <c r="E27" s="1098"/>
      <c r="F27" s="1098"/>
      <c r="G27" s="1098"/>
      <c r="H27" s="1098"/>
    </row>
    <row r="28" spans="1:10" ht="20.100000000000001" customHeight="1">
      <c r="A28" s="1098"/>
      <c r="B28" s="1098"/>
      <c r="C28" s="1098"/>
      <c r="D28" s="1098"/>
      <c r="E28" s="1098"/>
      <c r="F28" s="1098"/>
      <c r="G28" s="1098"/>
      <c r="H28" s="1098"/>
    </row>
    <row r="29" spans="1:10" ht="20.100000000000001" customHeight="1">
      <c r="A29" s="197" t="s">
        <v>553</v>
      </c>
      <c r="B29" s="197"/>
      <c r="C29" s="197"/>
      <c r="D29" s="197"/>
      <c r="E29" s="197"/>
      <c r="F29" s="197"/>
      <c r="G29" s="197"/>
      <c r="H29" s="197"/>
    </row>
    <row r="30" spans="1:10" ht="20.100000000000001" hidden="1" customHeight="1">
      <c r="A30" s="1440" t="s">
        <v>554</v>
      </c>
      <c r="B30" s="1440"/>
      <c r="C30" s="1440"/>
      <c r="D30" s="1440"/>
      <c r="E30" s="1440"/>
      <c r="F30" s="1440"/>
      <c r="G30" s="1440"/>
      <c r="H30" s="1440"/>
    </row>
  </sheetData>
  <sheetProtection algorithmName="SHA-512" hashValue="36uJqOXHzwybhSTJro2WMOMITEF+YVL+J253kSK4tSBUIoT2Pwqp+hV5uEOzp3DqFrOWghqCHlqEDGkUmlUzEQ==" saltValue="gXsV8TAwdG+lyiI6DiV7Xw==" spinCount="100000" sheet="1" objects="1" scenarios="1"/>
  <mergeCells count="6">
    <mergeCell ref="A30:H30"/>
    <mergeCell ref="F1:H1"/>
    <mergeCell ref="A10:C10"/>
    <mergeCell ref="A20:C20"/>
    <mergeCell ref="A25:H26"/>
    <mergeCell ref="A27:H28"/>
  </mergeCells>
  <phoneticPr fontId="1"/>
  <conditionalFormatting sqref="E5:E9">
    <cfRule type="expression" dxfId="64" priority="8">
      <formula>$D5&lt;&gt;"平日"</formula>
    </cfRule>
  </conditionalFormatting>
  <conditionalFormatting sqref="E15:E19">
    <cfRule type="expression" dxfId="63" priority="7">
      <formula>$D15&lt;&gt;"平日"</formula>
    </cfRule>
  </conditionalFormatting>
  <conditionalFormatting sqref="K7:AO7">
    <cfRule type="expression" dxfId="62" priority="6">
      <formula>K$5="○"</formula>
    </cfRule>
  </conditionalFormatting>
  <conditionalFormatting sqref="K5:AO5">
    <cfRule type="expression" dxfId="61" priority="5">
      <formula>K$5="○"</formula>
    </cfRule>
  </conditionalFormatting>
  <conditionalFormatting sqref="K15:AO15">
    <cfRule type="expression" dxfId="60" priority="4">
      <formula>K$5="○"</formula>
    </cfRule>
  </conditionalFormatting>
  <conditionalFormatting sqref="K13:AO13">
    <cfRule type="expression" dxfId="59" priority="3">
      <formula>K$5="○"</formula>
    </cfRule>
  </conditionalFormatting>
  <conditionalFormatting sqref="G15:G19">
    <cfRule type="expression" dxfId="58" priority="2">
      <formula>$D15&lt;&gt;"平日"</formula>
    </cfRule>
  </conditionalFormatting>
  <conditionalFormatting sqref="F5:F9 F15:F19 H15:H19">
    <cfRule type="containsText" dxfId="57" priority="1" operator="containsText" text="エラー">
      <formula>NOT(ISERROR(SEARCH("エラー",F5)))</formula>
    </cfRule>
  </conditionalFormatting>
  <dataValidations count="2">
    <dataValidation type="whole" operator="greaterThanOrEqual" allowBlank="1" showInputMessage="1" showErrorMessage="1" sqref="E5:E9 E15:E19 G15:G19" xr:uid="{00000000-0002-0000-0600-000000000000}">
      <formula1>0</formula1>
    </dataValidation>
    <dataValidation type="list" showInputMessage="1" showErrorMessage="1" sqref="A5:A9 A15:A19" xr:uid="{00000000-0002-0000-0600-000001000000}">
      <formula1>$K$2:$K$3</formula1>
    </dataValidation>
  </dataValidations>
  <printOptions horizontalCentered="1"/>
  <pageMargins left="0.70866141732283472" right="0.70866141732283472" top="0.74803149606299213" bottom="0.74803149606299213" header="0.31496062992125984" footer="0.31496062992125984"/>
  <pageSetup paperSize="9" scale="74"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B0F0"/>
  </sheetPr>
  <dimension ref="A1:AM55"/>
  <sheetViews>
    <sheetView view="pageBreakPreview" zoomScaleNormal="100" zoomScaleSheetLayoutView="100" workbookViewId="0">
      <selection activeCell="L7" sqref="L7:M7"/>
    </sheetView>
  </sheetViews>
  <sheetFormatPr defaultColWidth="9" defaultRowHeight="13.5" outlineLevelCol="1"/>
  <cols>
    <col min="1" max="24" width="3.375" style="200" customWidth="1"/>
    <col min="25" max="25" width="5.875" style="200" customWidth="1"/>
    <col min="26" max="27" width="3.375" style="200" customWidth="1"/>
    <col min="28" max="28" width="50.375" style="200" customWidth="1"/>
    <col min="29" max="29" width="11.625" style="200" hidden="1" customWidth="1" outlineLevel="1"/>
    <col min="30" max="38" width="9" style="200" hidden="1" customWidth="1" outlineLevel="1"/>
    <col min="39" max="39" width="9" style="200" collapsed="1"/>
    <col min="40" max="16384" width="9" style="200"/>
  </cols>
  <sheetData>
    <row r="1" spans="1:38" ht="15" customHeight="1">
      <c r="A1" s="159" t="s">
        <v>932</v>
      </c>
      <c r="B1" s="159"/>
      <c r="C1" s="159"/>
      <c r="D1" s="154"/>
      <c r="E1" s="154"/>
      <c r="F1" s="154"/>
      <c r="G1" s="154"/>
      <c r="H1" s="154"/>
      <c r="I1" s="154"/>
      <c r="J1" s="154"/>
      <c r="K1" s="154"/>
      <c r="L1" s="154"/>
      <c r="M1" s="154"/>
      <c r="N1" s="154"/>
      <c r="O1" s="154"/>
      <c r="P1" s="154"/>
      <c r="Q1" s="154"/>
      <c r="R1" s="1441" t="e">
        <f>AC2&amp;"別紙3"&amp;AC3</f>
        <v>#N/A</v>
      </c>
      <c r="S1" s="1441"/>
      <c r="T1" s="1441"/>
      <c r="U1" s="1441"/>
      <c r="V1" s="1441"/>
      <c r="W1" s="1441"/>
      <c r="X1" s="1441"/>
      <c r="Y1" s="1441"/>
      <c r="Z1" s="1441"/>
      <c r="AA1" s="922"/>
      <c r="AC1" s="74" t="s">
        <v>475</v>
      </c>
      <c r="AD1" s="201" t="s">
        <v>555</v>
      </c>
      <c r="AE1" s="201" t="s">
        <v>556</v>
      </c>
      <c r="AF1" s="201" t="s">
        <v>68</v>
      </c>
      <c r="AG1" s="201" t="s">
        <v>557</v>
      </c>
      <c r="AH1" s="201" t="s">
        <v>558</v>
      </c>
      <c r="AI1" s="201" t="s">
        <v>559</v>
      </c>
      <c r="AJ1" s="201" t="s">
        <v>148</v>
      </c>
      <c r="AK1" s="201" t="s">
        <v>560</v>
      </c>
      <c r="AL1" s="201" t="s">
        <v>954</v>
      </c>
    </row>
    <row r="2" spans="1:38" ht="15" customHeight="1">
      <c r="A2" s="1612" t="s">
        <v>956</v>
      </c>
      <c r="B2" s="1612"/>
      <c r="C2" s="1612"/>
      <c r="D2" s="1612"/>
      <c r="E2" s="1612"/>
      <c r="F2" s="1612"/>
      <c r="G2" s="1612"/>
      <c r="H2" s="1612"/>
      <c r="I2" s="1612"/>
      <c r="J2" s="1612"/>
      <c r="K2" s="1612"/>
      <c r="L2" s="1612"/>
      <c r="M2" s="1612"/>
      <c r="N2" s="1612"/>
      <c r="O2" s="1612"/>
      <c r="P2" s="1612"/>
      <c r="Q2" s="1612"/>
      <c r="R2" s="1612"/>
      <c r="S2" s="1612"/>
      <c r="T2" s="1612"/>
      <c r="U2" s="1612"/>
      <c r="V2" s="1612"/>
      <c r="W2" s="1612"/>
      <c r="X2" s="1612"/>
      <c r="Y2" s="1612"/>
      <c r="Z2" s="1612"/>
      <c r="AA2" s="907"/>
      <c r="AC2" s="75" t="str">
        <f>【様式１】総括表・個票!$AI$2</f>
        <v>加-23_月申-</v>
      </c>
      <c r="AD2" s="201"/>
      <c r="AE2" s="201"/>
      <c r="AF2" s="201"/>
      <c r="AG2" s="201"/>
      <c r="AH2" s="201"/>
      <c r="AI2" s="201"/>
      <c r="AJ2" s="201"/>
      <c r="AK2" s="201"/>
      <c r="AL2" s="201"/>
    </row>
    <row r="3" spans="1:38" ht="15" customHeight="1" thickBot="1">
      <c r="A3" s="1613"/>
      <c r="B3" s="1613"/>
      <c r="C3" s="1613"/>
      <c r="D3" s="1613"/>
      <c r="E3" s="1613"/>
      <c r="F3" s="1613"/>
      <c r="G3" s="1613"/>
      <c r="H3" s="1613"/>
      <c r="I3" s="1613"/>
      <c r="J3" s="1613"/>
      <c r="K3" s="1613"/>
      <c r="L3" s="1613"/>
      <c r="M3" s="1613"/>
      <c r="N3" s="1613"/>
      <c r="O3" s="1613"/>
      <c r="P3" s="1613"/>
      <c r="Q3" s="1613"/>
      <c r="R3" s="1613"/>
      <c r="S3" s="1613"/>
      <c r="T3" s="1613"/>
      <c r="U3" s="1613"/>
      <c r="V3" s="1613"/>
      <c r="W3" s="1613"/>
      <c r="X3" s="1613"/>
      <c r="Y3" s="1613"/>
      <c r="Z3" s="1613"/>
      <c r="AA3" s="907"/>
      <c r="AC3" s="74" t="e">
        <f>【様式１】総括表・個票!$AI$3</f>
        <v>#N/A</v>
      </c>
      <c r="AD3" s="201">
        <v>0</v>
      </c>
      <c r="AE3" s="201">
        <v>0</v>
      </c>
      <c r="AF3" s="201" t="s">
        <v>561</v>
      </c>
      <c r="AG3" s="201" t="s">
        <v>562</v>
      </c>
      <c r="AH3" s="201" t="s">
        <v>563</v>
      </c>
      <c r="AI3" s="201" t="s">
        <v>564</v>
      </c>
      <c r="AJ3" s="201" t="s">
        <v>7</v>
      </c>
      <c r="AK3" s="201" t="s">
        <v>565</v>
      </c>
      <c r="AL3" s="201">
        <f>【様式１】総括表・個票!F92</f>
        <v>0</v>
      </c>
    </row>
    <row r="4" spans="1:38" ht="15" customHeight="1">
      <c r="A4" s="1564" t="s">
        <v>566</v>
      </c>
      <c r="B4" s="1565"/>
      <c r="C4" s="1565"/>
      <c r="D4" s="1565"/>
      <c r="E4" s="1565"/>
      <c r="F4" s="1565"/>
      <c r="G4" s="1565"/>
      <c r="H4" s="1565"/>
      <c r="I4" s="1565"/>
      <c r="J4" s="1565"/>
      <c r="K4" s="1565"/>
      <c r="L4" s="1565"/>
      <c r="M4" s="1565"/>
      <c r="N4" s="1565"/>
      <c r="O4" s="1565"/>
      <c r="P4" s="1565"/>
      <c r="Q4" s="1565"/>
      <c r="R4" s="1565"/>
      <c r="S4" s="1565"/>
      <c r="T4" s="1565"/>
      <c r="U4" s="1565"/>
      <c r="V4" s="1565"/>
      <c r="W4" s="1565"/>
      <c r="X4" s="1565"/>
      <c r="Y4" s="1565"/>
      <c r="Z4" s="1565"/>
      <c r="AA4" s="1566"/>
      <c r="AC4" s="812" t="s">
        <v>73</v>
      </c>
      <c r="AD4" s="202">
        <v>1</v>
      </c>
      <c r="AE4" s="201">
        <v>15</v>
      </c>
      <c r="AF4" s="201" t="s">
        <v>567</v>
      </c>
      <c r="AG4" s="201" t="s">
        <v>568</v>
      </c>
      <c r="AH4" s="201" t="s">
        <v>569</v>
      </c>
      <c r="AI4" s="201" t="s">
        <v>570</v>
      </c>
      <c r="AJ4" s="201" t="s">
        <v>8</v>
      </c>
      <c r="AK4" s="201" t="s">
        <v>571</v>
      </c>
      <c r="AL4" s="201">
        <f>【様式１】総括表・個票!H92</f>
        <v>0</v>
      </c>
    </row>
    <row r="5" spans="1:38" ht="15" customHeight="1" thickBot="1">
      <c r="A5" s="1567" t="s">
        <v>274</v>
      </c>
      <c r="B5" s="1568"/>
      <c r="C5" s="1569"/>
      <c r="D5" s="1570" t="s">
        <v>79</v>
      </c>
      <c r="E5" s="1570"/>
      <c r="F5" s="1570"/>
      <c r="G5" s="1570"/>
      <c r="H5" s="1570"/>
      <c r="I5" s="1570"/>
      <c r="J5" s="1570"/>
      <c r="K5" s="1570"/>
      <c r="L5" s="1571" t="s">
        <v>573</v>
      </c>
      <c r="M5" s="1568"/>
      <c r="N5" s="1568"/>
      <c r="O5" s="1568"/>
      <c r="P5" s="1568"/>
      <c r="Q5" s="1568"/>
      <c r="R5" s="1568"/>
      <c r="S5" s="1568"/>
      <c r="T5" s="1568"/>
      <c r="U5" s="1568"/>
      <c r="V5" s="1568"/>
      <c r="W5" s="1568"/>
      <c r="X5" s="1568"/>
      <c r="Y5" s="1568"/>
      <c r="Z5" s="1572" t="s">
        <v>73</v>
      </c>
      <c r="AA5" s="1573"/>
      <c r="AC5" s="813" t="e">
        <f>IF(AND(AC6,AC7,AC9,AC11,AC13,AC15,AC20,AC21,AC24),"○","×")</f>
        <v>#DIV/0!</v>
      </c>
      <c r="AD5" s="202">
        <v>2</v>
      </c>
      <c r="AE5" s="201">
        <v>30</v>
      </c>
      <c r="AG5" s="201" t="s">
        <v>574</v>
      </c>
      <c r="AI5" s="201" t="s">
        <v>575</v>
      </c>
      <c r="AL5" s="201">
        <f>【様式１】総括表・個票!J92</f>
        <v>0</v>
      </c>
    </row>
    <row r="6" spans="1:38" ht="15" customHeight="1">
      <c r="A6" s="1574">
        <v>1</v>
      </c>
      <c r="B6" s="1575"/>
      <c r="C6" s="1576"/>
      <c r="D6" s="1574" t="s">
        <v>576</v>
      </c>
      <c r="E6" s="1575"/>
      <c r="F6" s="1575"/>
      <c r="G6" s="1575"/>
      <c r="H6" s="1575"/>
      <c r="I6" s="1575"/>
      <c r="J6" s="1575"/>
      <c r="K6" s="1576"/>
      <c r="L6" s="1574" t="s">
        <v>577</v>
      </c>
      <c r="M6" s="1575"/>
      <c r="N6" s="1575"/>
      <c r="O6" s="1575"/>
      <c r="P6" s="1575"/>
      <c r="Q6" s="1575"/>
      <c r="R6" s="1575"/>
      <c r="S6" s="1575"/>
      <c r="T6" s="1575"/>
      <c r="U6" s="1575"/>
      <c r="V6" s="1575"/>
      <c r="W6" s="1575"/>
      <c r="X6" s="1575"/>
      <c r="Y6" s="1575"/>
      <c r="Z6" s="1614" t="s">
        <v>51</v>
      </c>
      <c r="AA6" s="1615"/>
      <c r="AC6" s="814" t="b">
        <f>Z6="○"</f>
        <v>1</v>
      </c>
      <c r="AD6" s="202">
        <v>3</v>
      </c>
      <c r="AE6" s="201">
        <v>45</v>
      </c>
      <c r="AG6" s="201" t="s">
        <v>578</v>
      </c>
      <c r="AL6" s="201">
        <f>【様式１】総括表・個票!L92</f>
        <v>0</v>
      </c>
    </row>
    <row r="7" spans="1:38" ht="15" customHeight="1">
      <c r="A7" s="1581">
        <v>2</v>
      </c>
      <c r="B7" s="1465"/>
      <c r="C7" s="1582"/>
      <c r="D7" s="1583" t="s">
        <v>579</v>
      </c>
      <c r="E7" s="1584"/>
      <c r="F7" s="1584"/>
      <c r="G7" s="1584"/>
      <c r="H7" s="1464" t="s">
        <v>145</v>
      </c>
      <c r="I7" s="1465"/>
      <c r="J7" s="1465"/>
      <c r="K7" s="1582"/>
      <c r="L7" s="1585"/>
      <c r="M7" s="1586"/>
      <c r="N7" s="815" t="s">
        <v>555</v>
      </c>
      <c r="O7" s="1586"/>
      <c r="P7" s="1586"/>
      <c r="Q7" s="815" t="s">
        <v>556</v>
      </c>
      <c r="R7" s="1593" t="s">
        <v>580</v>
      </c>
      <c r="S7" s="1593"/>
      <c r="T7" s="1586"/>
      <c r="U7" s="1586"/>
      <c r="V7" s="815" t="s">
        <v>555</v>
      </c>
      <c r="W7" s="1586"/>
      <c r="X7" s="1586"/>
      <c r="Y7" s="816" t="s">
        <v>556</v>
      </c>
      <c r="Z7" s="1525" t="str">
        <f>IF(AND(L7&lt;&gt;"",O7&lt;&gt;"",T7&lt;&gt;"",W7&lt;&gt;"",L8&lt;&gt;"",O8&lt;&gt;"",T8&lt;&gt;"",W8&lt;&gt;""),"○","×")</f>
        <v>×</v>
      </c>
      <c r="AA7" s="1478"/>
      <c r="AC7" s="1611" t="b">
        <f>Z7="○"</f>
        <v>0</v>
      </c>
      <c r="AD7" s="202">
        <v>4</v>
      </c>
      <c r="AL7" s="201">
        <f>【様式１】総括表・個票!N92</f>
        <v>0</v>
      </c>
    </row>
    <row r="8" spans="1:38" ht="15" customHeight="1">
      <c r="A8" s="1574"/>
      <c r="B8" s="1575"/>
      <c r="C8" s="1576"/>
      <c r="D8" s="1583"/>
      <c r="E8" s="1584"/>
      <c r="F8" s="1584"/>
      <c r="G8" s="1584"/>
      <c r="H8" s="1453" t="s">
        <v>581</v>
      </c>
      <c r="I8" s="1587"/>
      <c r="J8" s="1587"/>
      <c r="K8" s="1588"/>
      <c r="L8" s="1610"/>
      <c r="M8" s="1455"/>
      <c r="N8" s="817" t="s">
        <v>555</v>
      </c>
      <c r="O8" s="1455"/>
      <c r="P8" s="1455"/>
      <c r="Q8" s="817" t="s">
        <v>556</v>
      </c>
      <c r="R8" s="1575" t="s">
        <v>580</v>
      </c>
      <c r="S8" s="1575"/>
      <c r="T8" s="1455"/>
      <c r="U8" s="1455"/>
      <c r="V8" s="817" t="s">
        <v>555</v>
      </c>
      <c r="W8" s="1455"/>
      <c r="X8" s="1455"/>
      <c r="Y8" s="818" t="s">
        <v>556</v>
      </c>
      <c r="Z8" s="1527"/>
      <c r="AA8" s="1529"/>
      <c r="AC8" s="1611"/>
      <c r="AD8" s="202">
        <v>5</v>
      </c>
      <c r="AL8" s="201">
        <f>【様式１】総括表・個票!P92</f>
        <v>0</v>
      </c>
    </row>
    <row r="9" spans="1:38" ht="15" customHeight="1">
      <c r="A9" s="1603">
        <v>3</v>
      </c>
      <c r="B9" s="1604"/>
      <c r="C9" s="1605"/>
      <c r="D9" s="1603" t="s">
        <v>582</v>
      </c>
      <c r="E9" s="1604"/>
      <c r="F9" s="1604"/>
      <c r="G9" s="1604"/>
      <c r="H9" s="1604"/>
      <c r="I9" s="1604"/>
      <c r="J9" s="1604"/>
      <c r="K9" s="1605"/>
      <c r="L9" s="1606" t="s">
        <v>957</v>
      </c>
      <c r="M9" s="1607"/>
      <c r="N9" s="1607"/>
      <c r="O9" s="1607"/>
      <c r="P9" s="1607"/>
      <c r="Q9" s="1607"/>
      <c r="R9" s="1607"/>
      <c r="S9" s="1607">
        <f>【様式１】総括表・個票!AD93</f>
        <v>0</v>
      </c>
      <c r="T9" s="1607"/>
      <c r="U9" s="1607"/>
      <c r="V9" s="1607"/>
      <c r="W9" s="1607"/>
      <c r="X9" s="1607"/>
      <c r="Y9" s="816" t="s">
        <v>583</v>
      </c>
      <c r="Z9" s="1525" t="s">
        <v>51</v>
      </c>
      <c r="AA9" s="1478"/>
      <c r="AC9" s="1611" t="b">
        <f>Z9="○"</f>
        <v>1</v>
      </c>
      <c r="AD9" s="202">
        <v>6</v>
      </c>
      <c r="AL9" s="201">
        <f>【様式１】総括表・個票!R92</f>
        <v>0</v>
      </c>
    </row>
    <row r="10" spans="1:38" ht="15" customHeight="1">
      <c r="A10" s="1581">
        <v>4</v>
      </c>
      <c r="B10" s="1465"/>
      <c r="C10" s="1582"/>
      <c r="D10" s="1608" t="s">
        <v>958</v>
      </c>
      <c r="E10" s="1609"/>
      <c r="F10" s="1609"/>
      <c r="G10" s="1609"/>
      <c r="H10" s="1464" t="s">
        <v>584</v>
      </c>
      <c r="I10" s="1465"/>
      <c r="J10" s="1465"/>
      <c r="K10" s="1582"/>
      <c r="L10" s="1585"/>
      <c r="M10" s="1586"/>
      <c r="N10" s="1586"/>
      <c r="O10" s="1586"/>
      <c r="P10" s="1586"/>
      <c r="Q10" s="1586"/>
      <c r="R10" s="1586"/>
      <c r="S10" s="1586"/>
      <c r="T10" s="1586"/>
      <c r="U10" s="1586"/>
      <c r="V10" s="1586"/>
      <c r="W10" s="1586"/>
      <c r="X10" s="1586"/>
      <c r="Y10" s="816"/>
      <c r="Z10" s="1525" t="str">
        <f>IF(AND(L10="実施している",L11&lt;&gt;""),"○","×")</f>
        <v>×</v>
      </c>
      <c r="AA10" s="1478"/>
      <c r="AC10" s="1611"/>
      <c r="AD10" s="202">
        <v>7</v>
      </c>
      <c r="AL10" s="201">
        <f>【様式１】総括表・個票!T92</f>
        <v>0</v>
      </c>
    </row>
    <row r="11" spans="1:38" ht="15" customHeight="1">
      <c r="A11" s="1574"/>
      <c r="B11" s="1575"/>
      <c r="C11" s="1576"/>
      <c r="D11" s="1608"/>
      <c r="E11" s="1609"/>
      <c r="F11" s="1609"/>
      <c r="G11" s="1609"/>
      <c r="H11" s="1453" t="s">
        <v>585</v>
      </c>
      <c r="I11" s="1587"/>
      <c r="J11" s="1587"/>
      <c r="K11" s="1588"/>
      <c r="L11" s="1589"/>
      <c r="M11" s="1590"/>
      <c r="N11" s="1590"/>
      <c r="O11" s="1590"/>
      <c r="P11" s="1590"/>
      <c r="Q11" s="1590"/>
      <c r="R11" s="1590"/>
      <c r="S11" s="1590"/>
      <c r="T11" s="1590"/>
      <c r="U11" s="1590"/>
      <c r="V11" s="1590"/>
      <c r="W11" s="1590"/>
      <c r="X11" s="1590"/>
      <c r="Y11" s="818" t="s">
        <v>586</v>
      </c>
      <c r="Z11" s="1527"/>
      <c r="AA11" s="1529"/>
      <c r="AC11" s="1611" t="b">
        <f>Z10="○"</f>
        <v>0</v>
      </c>
      <c r="AD11" s="202">
        <v>8</v>
      </c>
      <c r="AL11" s="201">
        <f>【様式１】総括表・個票!V92</f>
        <v>0</v>
      </c>
    </row>
    <row r="12" spans="1:38" ht="15" customHeight="1">
      <c r="A12" s="1581">
        <v>5</v>
      </c>
      <c r="B12" s="1465"/>
      <c r="C12" s="1582"/>
      <c r="D12" s="1583" t="s">
        <v>585</v>
      </c>
      <c r="E12" s="1584"/>
      <c r="F12" s="1584"/>
      <c r="G12" s="1584"/>
      <c r="H12" s="1464" t="s">
        <v>587</v>
      </c>
      <c r="I12" s="1465"/>
      <c r="J12" s="1465"/>
      <c r="K12" s="1582"/>
      <c r="L12" s="1585"/>
      <c r="M12" s="1586"/>
      <c r="N12" s="1586"/>
      <c r="O12" s="1586"/>
      <c r="P12" s="1586"/>
      <c r="Q12" s="1586"/>
      <c r="R12" s="1586"/>
      <c r="S12" s="1586"/>
      <c r="T12" s="1586"/>
      <c r="U12" s="1586"/>
      <c r="V12" s="1586"/>
      <c r="W12" s="1586"/>
      <c r="X12" s="1586"/>
      <c r="Y12" s="816"/>
      <c r="Z12" s="1525" t="str">
        <f>IF(AND(L12&lt;&gt;"",L13&lt;&gt;""),"○","×")</f>
        <v>×</v>
      </c>
      <c r="AA12" s="1478"/>
      <c r="AC12" s="1611"/>
      <c r="AD12" s="202">
        <v>9</v>
      </c>
      <c r="AL12" s="201">
        <f>【様式１】総括表・個票!X92</f>
        <v>0</v>
      </c>
    </row>
    <row r="13" spans="1:38" ht="15" customHeight="1">
      <c r="A13" s="1574"/>
      <c r="B13" s="1575"/>
      <c r="C13" s="1576"/>
      <c r="D13" s="1583"/>
      <c r="E13" s="1584"/>
      <c r="F13" s="1584"/>
      <c r="G13" s="1584"/>
      <c r="H13" s="1453" t="s">
        <v>588</v>
      </c>
      <c r="I13" s="1587"/>
      <c r="J13" s="1587"/>
      <c r="K13" s="1588"/>
      <c r="L13" s="1589"/>
      <c r="M13" s="1590"/>
      <c r="N13" s="1590"/>
      <c r="O13" s="1590"/>
      <c r="P13" s="1590"/>
      <c r="Q13" s="1590"/>
      <c r="R13" s="1590"/>
      <c r="S13" s="1590"/>
      <c r="T13" s="1590"/>
      <c r="U13" s="1590"/>
      <c r="V13" s="1590"/>
      <c r="W13" s="1590"/>
      <c r="X13" s="1590"/>
      <c r="Y13" s="818" t="s">
        <v>589</v>
      </c>
      <c r="Z13" s="1527"/>
      <c r="AA13" s="1529"/>
      <c r="AC13" s="1611" t="b">
        <f>Z12="○"</f>
        <v>0</v>
      </c>
      <c r="AD13" s="202">
        <v>10</v>
      </c>
      <c r="AL13" s="201">
        <f>【様式１】総括表・個票!Z92</f>
        <v>0</v>
      </c>
    </row>
    <row r="14" spans="1:38" ht="15" customHeight="1">
      <c r="A14" s="1581">
        <v>6</v>
      </c>
      <c r="B14" s="1465"/>
      <c r="C14" s="1582"/>
      <c r="D14" s="1581" t="s">
        <v>590</v>
      </c>
      <c r="E14" s="1465"/>
      <c r="F14" s="1465"/>
      <c r="G14" s="1465"/>
      <c r="H14" s="1592" t="s">
        <v>558</v>
      </c>
      <c r="I14" s="1593"/>
      <c r="J14" s="1593"/>
      <c r="K14" s="1594"/>
      <c r="L14" s="1595"/>
      <c r="M14" s="1596"/>
      <c r="N14" s="1596"/>
      <c r="O14" s="1596"/>
      <c r="P14" s="1596"/>
      <c r="Q14" s="1596"/>
      <c r="R14" s="1596"/>
      <c r="S14" s="1596"/>
      <c r="T14" s="1596"/>
      <c r="U14" s="1596"/>
      <c r="V14" s="1596"/>
      <c r="W14" s="1596"/>
      <c r="X14" s="1596"/>
      <c r="Y14" s="819"/>
      <c r="Z14" s="1525" t="str">
        <f>IF(AND(L14&lt;&gt;"",L15&lt;&gt;""),"○","×")</f>
        <v>×</v>
      </c>
      <c r="AA14" s="1478"/>
      <c r="AC14" s="1611"/>
      <c r="AD14" s="202">
        <v>11</v>
      </c>
      <c r="AL14" s="201">
        <f>【様式１】総括表・個票!AB92</f>
        <v>0</v>
      </c>
    </row>
    <row r="15" spans="1:38" ht="15" customHeight="1">
      <c r="A15" s="1461"/>
      <c r="B15" s="1467"/>
      <c r="C15" s="1591"/>
      <c r="D15" s="1461"/>
      <c r="E15" s="1467"/>
      <c r="F15" s="1467"/>
      <c r="G15" s="1467"/>
      <c r="H15" s="1598" t="s">
        <v>591</v>
      </c>
      <c r="I15" s="1599"/>
      <c r="J15" s="1599"/>
      <c r="K15" s="1600"/>
      <c r="L15" s="1601"/>
      <c r="M15" s="1602"/>
      <c r="N15" s="1602"/>
      <c r="O15" s="1602"/>
      <c r="P15" s="1602"/>
      <c r="Q15" s="1602"/>
      <c r="R15" s="1602"/>
      <c r="S15" s="1602"/>
      <c r="T15" s="1602"/>
      <c r="U15" s="1602"/>
      <c r="V15" s="1602"/>
      <c r="W15" s="1602"/>
      <c r="X15" s="1602"/>
      <c r="Y15" s="820"/>
      <c r="Z15" s="1597"/>
      <c r="AA15" s="1479"/>
      <c r="AC15" s="1611" t="b">
        <f>Z14="○"</f>
        <v>0</v>
      </c>
      <c r="AD15" s="202">
        <v>12</v>
      </c>
      <c r="AL15" s="200" t="s">
        <v>955</v>
      </c>
    </row>
    <row r="16" spans="1:38" ht="15" customHeight="1" thickBot="1">
      <c r="A16" s="221"/>
      <c r="B16" s="221"/>
      <c r="C16" s="221"/>
      <c r="D16" s="221"/>
      <c r="E16" s="221"/>
      <c r="F16" s="221"/>
      <c r="G16" s="221"/>
      <c r="H16" s="221"/>
      <c r="I16" s="221"/>
      <c r="J16" s="221"/>
      <c r="K16" s="221"/>
      <c r="L16" s="221"/>
      <c r="M16" s="221"/>
      <c r="N16" s="221"/>
      <c r="O16" s="221"/>
      <c r="P16" s="221"/>
      <c r="Q16" s="221"/>
      <c r="R16" s="221"/>
      <c r="S16" s="221"/>
      <c r="T16" s="221"/>
      <c r="U16" s="221"/>
      <c r="V16" s="221"/>
      <c r="W16" s="221"/>
      <c r="X16" s="221"/>
      <c r="Y16" s="221"/>
      <c r="Z16" s="221"/>
      <c r="AA16" s="221"/>
      <c r="AC16" s="1611"/>
      <c r="AD16" s="202">
        <v>13</v>
      </c>
      <c r="AL16" s="200" t="e">
        <f>HLOOKUP(【様式１】総括表・個票!$I$10,【様式１】総括表・個票!$F$90:$AC$92,3,FALSE)</f>
        <v>#N/A</v>
      </c>
    </row>
    <row r="17" spans="1:30" ht="15" customHeight="1">
      <c r="A17" s="1564" t="s">
        <v>592</v>
      </c>
      <c r="B17" s="1565"/>
      <c r="C17" s="1565"/>
      <c r="D17" s="1565"/>
      <c r="E17" s="1565"/>
      <c r="F17" s="1565"/>
      <c r="G17" s="1565"/>
      <c r="H17" s="1565"/>
      <c r="I17" s="1565"/>
      <c r="J17" s="1565"/>
      <c r="K17" s="1565"/>
      <c r="L17" s="1565"/>
      <c r="M17" s="1565"/>
      <c r="N17" s="1565"/>
      <c r="O17" s="1565"/>
      <c r="P17" s="1565"/>
      <c r="Q17" s="1565"/>
      <c r="R17" s="1565"/>
      <c r="S17" s="1565"/>
      <c r="T17" s="1565"/>
      <c r="U17" s="1565"/>
      <c r="V17" s="1565"/>
      <c r="W17" s="1565"/>
      <c r="X17" s="1565"/>
      <c r="Y17" s="1565"/>
      <c r="Z17" s="1565"/>
      <c r="AA17" s="1566"/>
      <c r="AC17" s="821"/>
      <c r="AD17" s="202">
        <v>14</v>
      </c>
    </row>
    <row r="18" spans="1:30" ht="15" customHeight="1" thickBot="1">
      <c r="A18" s="1567" t="s">
        <v>274</v>
      </c>
      <c r="B18" s="1568"/>
      <c r="C18" s="1569"/>
      <c r="D18" s="1570" t="s">
        <v>593</v>
      </c>
      <c r="E18" s="1570"/>
      <c r="F18" s="1570"/>
      <c r="G18" s="1570"/>
      <c r="H18" s="1570"/>
      <c r="I18" s="1570"/>
      <c r="J18" s="1570"/>
      <c r="K18" s="1570"/>
      <c r="L18" s="1570"/>
      <c r="M18" s="1570"/>
      <c r="N18" s="1570"/>
      <c r="O18" s="1570"/>
      <c r="P18" s="1570"/>
      <c r="Q18" s="1570"/>
      <c r="R18" s="1570"/>
      <c r="S18" s="1570"/>
      <c r="T18" s="1570" t="s">
        <v>560</v>
      </c>
      <c r="U18" s="1570"/>
      <c r="V18" s="1570"/>
      <c r="W18" s="1570"/>
      <c r="X18" s="1571"/>
      <c r="Y18" s="1571"/>
      <c r="Z18" s="1572" t="s">
        <v>73</v>
      </c>
      <c r="AA18" s="1573"/>
      <c r="AC18" s="821"/>
      <c r="AD18" s="202">
        <v>15</v>
      </c>
    </row>
    <row r="19" spans="1:30" ht="15" customHeight="1">
      <c r="A19" s="1574">
        <v>1</v>
      </c>
      <c r="B19" s="1575"/>
      <c r="C19" s="1576"/>
      <c r="D19" s="1577" t="s">
        <v>594</v>
      </c>
      <c r="E19" s="1577"/>
      <c r="F19" s="1577"/>
      <c r="G19" s="1577"/>
      <c r="H19" s="1577"/>
      <c r="I19" s="1577"/>
      <c r="J19" s="1577"/>
      <c r="K19" s="1577"/>
      <c r="L19" s="1577"/>
      <c r="M19" s="1577"/>
      <c r="N19" s="1577"/>
      <c r="O19" s="1577"/>
      <c r="P19" s="1577"/>
      <c r="Q19" s="1577"/>
      <c r="R19" s="1577"/>
      <c r="S19" s="1577"/>
      <c r="T19" s="1578"/>
      <c r="U19" s="1578"/>
      <c r="V19" s="1578"/>
      <c r="W19" s="1578"/>
      <c r="X19" s="1578"/>
      <c r="Y19" s="1578"/>
      <c r="Z19" s="1579" t="str">
        <f>IF(T19="はい","○","×")</f>
        <v>×</v>
      </c>
      <c r="AA19" s="1580"/>
      <c r="AC19" s="821"/>
      <c r="AD19" s="202">
        <v>16</v>
      </c>
    </row>
    <row r="20" spans="1:30" ht="15" customHeight="1">
      <c r="A20" s="1525">
        <v>2</v>
      </c>
      <c r="B20" s="1476"/>
      <c r="C20" s="1478"/>
      <c r="D20" s="1530" t="s">
        <v>595</v>
      </c>
      <c r="E20" s="1530"/>
      <c r="F20" s="1530"/>
      <c r="G20" s="1530"/>
      <c r="H20" s="1530"/>
      <c r="I20" s="1530"/>
      <c r="J20" s="1530"/>
      <c r="K20" s="1530"/>
      <c r="L20" s="1530"/>
      <c r="M20" s="1530"/>
      <c r="N20" s="1530"/>
      <c r="O20" s="1530"/>
      <c r="P20" s="1530"/>
      <c r="Q20" s="1530"/>
      <c r="R20" s="1530"/>
      <c r="S20" s="1530"/>
      <c r="T20" s="1531"/>
      <c r="U20" s="1531"/>
      <c r="V20" s="1531"/>
      <c r="W20" s="1531"/>
      <c r="X20" s="1531"/>
      <c r="Y20" s="1531"/>
      <c r="Z20" s="1532" t="str">
        <f>IF(T20="はい","○","×")</f>
        <v>×</v>
      </c>
      <c r="AA20" s="1533"/>
      <c r="AC20" s="814" t="b">
        <f>Z19="○"</f>
        <v>0</v>
      </c>
      <c r="AD20" s="202">
        <v>17</v>
      </c>
    </row>
    <row r="21" spans="1:30" ht="15" customHeight="1">
      <c r="A21" s="1492"/>
      <c r="B21" s="1526"/>
      <c r="C21" s="1493"/>
      <c r="D21" s="1530"/>
      <c r="E21" s="1530"/>
      <c r="F21" s="1530"/>
      <c r="G21" s="1530"/>
      <c r="H21" s="1530"/>
      <c r="I21" s="1530"/>
      <c r="J21" s="1530"/>
      <c r="K21" s="1530"/>
      <c r="L21" s="1530"/>
      <c r="M21" s="1530"/>
      <c r="N21" s="1530"/>
      <c r="O21" s="1530"/>
      <c r="P21" s="1530"/>
      <c r="Q21" s="1530"/>
      <c r="R21" s="1530"/>
      <c r="S21" s="1530"/>
      <c r="T21" s="1531"/>
      <c r="U21" s="1531"/>
      <c r="V21" s="1531"/>
      <c r="W21" s="1531"/>
      <c r="X21" s="1531"/>
      <c r="Y21" s="1531"/>
      <c r="Z21" s="1534"/>
      <c r="AA21" s="1535"/>
      <c r="AC21" s="1611" t="b">
        <f>Z20="○"</f>
        <v>0</v>
      </c>
      <c r="AD21" s="202">
        <v>18</v>
      </c>
    </row>
    <row r="22" spans="1:30" ht="15" customHeight="1">
      <c r="A22" s="1527"/>
      <c r="B22" s="1528"/>
      <c r="C22" s="1529"/>
      <c r="D22" s="1530"/>
      <c r="E22" s="1530"/>
      <c r="F22" s="1530"/>
      <c r="G22" s="1530"/>
      <c r="H22" s="1530"/>
      <c r="I22" s="1530"/>
      <c r="J22" s="1530"/>
      <c r="K22" s="1530"/>
      <c r="L22" s="1530"/>
      <c r="M22" s="1530"/>
      <c r="N22" s="1530"/>
      <c r="O22" s="1530"/>
      <c r="P22" s="1530"/>
      <c r="Q22" s="1530"/>
      <c r="R22" s="1530"/>
      <c r="S22" s="1530"/>
      <c r="T22" s="1531"/>
      <c r="U22" s="1531"/>
      <c r="V22" s="1531"/>
      <c r="W22" s="1531"/>
      <c r="X22" s="1531"/>
      <c r="Y22" s="1531"/>
      <c r="Z22" s="1536"/>
      <c r="AA22" s="1537"/>
      <c r="AC22" s="1611"/>
      <c r="AD22" s="202">
        <v>19</v>
      </c>
    </row>
    <row r="23" spans="1:30" ht="15" customHeight="1">
      <c r="A23" s="1525">
        <v>3</v>
      </c>
      <c r="B23" s="1476"/>
      <c r="C23" s="1478"/>
      <c r="D23" s="1538" t="s">
        <v>959</v>
      </c>
      <c r="E23" s="1539"/>
      <c r="F23" s="1539"/>
      <c r="G23" s="1539"/>
      <c r="H23" s="1539"/>
      <c r="I23" s="1539"/>
      <c r="J23" s="1539"/>
      <c r="K23" s="1539"/>
      <c r="L23" s="1539"/>
      <c r="M23" s="1539"/>
      <c r="N23" s="1539"/>
      <c r="O23" s="1539"/>
      <c r="P23" s="1539"/>
      <c r="Q23" s="1539"/>
      <c r="R23" s="1539"/>
      <c r="S23" s="1539"/>
      <c r="T23" s="1539"/>
      <c r="U23" s="1539"/>
      <c r="V23" s="1539"/>
      <c r="W23" s="1539"/>
      <c r="X23" s="1539"/>
      <c r="Y23" s="1540"/>
      <c r="Z23" s="1532" t="e">
        <f>IF(W32&gt;=Q32,"○","×")</f>
        <v>#DIV/0!</v>
      </c>
      <c r="AA23" s="1533"/>
      <c r="AC23" s="1611"/>
      <c r="AD23" s="202">
        <v>20</v>
      </c>
    </row>
    <row r="24" spans="1:30" ht="15" customHeight="1">
      <c r="A24" s="1492"/>
      <c r="B24" s="1526"/>
      <c r="C24" s="1493"/>
      <c r="E24" s="1541" t="str">
        <f>"＜"&amp;【様式１】総括表・個票!I10&amp;"月分＞"</f>
        <v>＜月分＞</v>
      </c>
      <c r="F24" s="1541"/>
      <c r="G24" s="1541"/>
      <c r="H24" s="1541"/>
      <c r="I24" s="221"/>
      <c r="J24" s="221"/>
      <c r="K24" s="221"/>
      <c r="L24" s="221"/>
      <c r="M24" s="221"/>
      <c r="N24" s="221"/>
      <c r="O24" s="221"/>
      <c r="P24" s="221"/>
      <c r="Q24" s="221"/>
      <c r="R24" s="221"/>
      <c r="S24" s="221"/>
      <c r="T24" s="221"/>
      <c r="U24" s="221"/>
      <c r="V24" s="221"/>
      <c r="W24" s="221"/>
      <c r="X24" s="221"/>
      <c r="Y24" s="221"/>
      <c r="Z24" s="1534"/>
      <c r="AA24" s="1535"/>
      <c r="AC24" s="814" t="e">
        <f>Z23="○"</f>
        <v>#DIV/0!</v>
      </c>
      <c r="AD24" s="202">
        <v>21</v>
      </c>
    </row>
    <row r="25" spans="1:30" ht="15" customHeight="1">
      <c r="A25" s="1492"/>
      <c r="B25" s="1526"/>
      <c r="C25" s="1493"/>
      <c r="D25" s="221"/>
      <c r="E25" s="1225" t="e">
        <f>"【様式１】個票４の延べ利用子ども数"&amp;【様式１】総括表・個票!$I$10&amp;"月分の内訳（計"&amp;$AL$16&amp;"名）"</f>
        <v>#N/A</v>
      </c>
      <c r="F25" s="1226"/>
      <c r="G25" s="1226"/>
      <c r="H25" s="1226"/>
      <c r="I25" s="1226"/>
      <c r="J25" s="1226"/>
      <c r="K25" s="1226"/>
      <c r="L25" s="1226"/>
      <c r="M25" s="1227"/>
      <c r="N25" s="1086" t="s">
        <v>960</v>
      </c>
      <c r="O25" s="1087"/>
      <c r="P25" s="1122"/>
      <c r="Q25" s="1086" t="s">
        <v>961</v>
      </c>
      <c r="R25" s="1087"/>
      <c r="S25" s="1122"/>
      <c r="T25" s="1086" t="s">
        <v>962</v>
      </c>
      <c r="U25" s="1087"/>
      <c r="V25" s="1087"/>
      <c r="W25" s="1087"/>
      <c r="X25" s="1087"/>
      <c r="Y25" s="1122"/>
      <c r="Z25" s="908"/>
      <c r="AA25" s="909"/>
      <c r="AD25" s="202">
        <v>22</v>
      </c>
    </row>
    <row r="26" spans="1:30" ht="15" customHeight="1">
      <c r="A26" s="1492"/>
      <c r="B26" s="1526"/>
      <c r="C26" s="1493"/>
      <c r="D26" s="221"/>
      <c r="E26" s="1542"/>
      <c r="F26" s="1543"/>
      <c r="G26" s="1543"/>
      <c r="H26" s="1543"/>
      <c r="I26" s="1543"/>
      <c r="J26" s="1543"/>
      <c r="K26" s="1543"/>
      <c r="L26" s="1543"/>
      <c r="M26" s="1544"/>
      <c r="N26" s="1088"/>
      <c r="O26" s="1089"/>
      <c r="P26" s="1545"/>
      <c r="Q26" s="1088"/>
      <c r="R26" s="1089"/>
      <c r="S26" s="1545"/>
      <c r="T26" s="1088"/>
      <c r="U26" s="1089"/>
      <c r="V26" s="1089"/>
      <c r="W26" s="1089"/>
      <c r="X26" s="1089"/>
      <c r="Y26" s="1545"/>
      <c r="Z26" s="921"/>
      <c r="AA26" s="919"/>
      <c r="AD26" s="202">
        <v>23</v>
      </c>
    </row>
    <row r="27" spans="1:30" ht="15" customHeight="1">
      <c r="A27" s="1492"/>
      <c r="B27" s="1526"/>
      <c r="C27" s="1493"/>
      <c r="D27" s="221"/>
      <c r="E27" s="1228"/>
      <c r="F27" s="1229"/>
      <c r="G27" s="1229"/>
      <c r="H27" s="1229"/>
      <c r="I27" s="1229"/>
      <c r="J27" s="1229"/>
      <c r="K27" s="1229"/>
      <c r="L27" s="1229"/>
      <c r="M27" s="1230"/>
      <c r="N27" s="1197"/>
      <c r="O27" s="1198"/>
      <c r="P27" s="1546"/>
      <c r="Q27" s="1197"/>
      <c r="R27" s="1198"/>
      <c r="S27" s="1546"/>
      <c r="T27" s="1197"/>
      <c r="U27" s="1198"/>
      <c r="V27" s="1198"/>
      <c r="W27" s="1198"/>
      <c r="X27" s="1198"/>
      <c r="Y27" s="1546"/>
      <c r="Z27" s="921"/>
      <c r="AA27" s="919"/>
    </row>
    <row r="28" spans="1:30" ht="15" customHeight="1">
      <c r="A28" s="1492"/>
      <c r="B28" s="1526"/>
      <c r="C28" s="1493"/>
      <c r="D28" s="221"/>
      <c r="E28" s="1547" t="s">
        <v>110</v>
      </c>
      <c r="F28" s="1548"/>
      <c r="G28" s="1548"/>
      <c r="H28" s="1549"/>
      <c r="I28" s="1550"/>
      <c r="J28" s="1551"/>
      <c r="K28" s="1551"/>
      <c r="L28" s="1551"/>
      <c r="M28" s="639" t="s">
        <v>111</v>
      </c>
      <c r="N28" s="1552" t="s">
        <v>963</v>
      </c>
      <c r="O28" s="1553"/>
      <c r="P28" s="1554"/>
      <c r="Q28" s="1555">
        <f>ROUNDDOWN(I28/3/25,2)</f>
        <v>0</v>
      </c>
      <c r="R28" s="1556"/>
      <c r="S28" s="923" t="s">
        <v>18</v>
      </c>
      <c r="T28" s="1557" t="s">
        <v>964</v>
      </c>
      <c r="U28" s="1558"/>
      <c r="V28" s="1558"/>
      <c r="W28" s="1561">
        <f>【様式５】職員数算出表!L102</f>
        <v>0</v>
      </c>
      <c r="X28" s="1561"/>
      <c r="Y28" s="1310" t="s">
        <v>18</v>
      </c>
      <c r="Z28" s="921"/>
      <c r="AA28" s="919"/>
    </row>
    <row r="29" spans="1:30" ht="15" customHeight="1">
      <c r="A29" s="1492"/>
      <c r="B29" s="1526"/>
      <c r="C29" s="1493"/>
      <c r="E29" s="1502" t="s">
        <v>112</v>
      </c>
      <c r="F29" s="1503"/>
      <c r="G29" s="1503"/>
      <c r="H29" s="1504"/>
      <c r="I29" s="1505"/>
      <c r="J29" s="1506"/>
      <c r="K29" s="1506"/>
      <c r="L29" s="1506"/>
      <c r="M29" s="643" t="s">
        <v>111</v>
      </c>
      <c r="N29" s="1507" t="s">
        <v>965</v>
      </c>
      <c r="O29" s="1508"/>
      <c r="P29" s="1509"/>
      <c r="Q29" s="1510">
        <f>ROUNDDOWN(I29/6/25,2)</f>
        <v>0</v>
      </c>
      <c r="R29" s="1511"/>
      <c r="S29" s="643" t="s">
        <v>18</v>
      </c>
      <c r="T29" s="1559"/>
      <c r="U29" s="1560"/>
      <c r="V29" s="1560"/>
      <c r="W29" s="1562"/>
      <c r="X29" s="1562"/>
      <c r="Y29" s="1563"/>
      <c r="Z29" s="1492" t="s">
        <v>966</v>
      </c>
      <c r="AA29" s="1493"/>
    </row>
    <row r="30" spans="1:30" ht="15" customHeight="1">
      <c r="A30" s="1492"/>
      <c r="B30" s="1526"/>
      <c r="C30" s="1493"/>
      <c r="D30" s="221"/>
      <c r="E30" s="1502" t="s">
        <v>113</v>
      </c>
      <c r="F30" s="1503"/>
      <c r="G30" s="1503"/>
      <c r="H30" s="1504"/>
      <c r="I30" s="1505"/>
      <c r="J30" s="1506"/>
      <c r="K30" s="1506"/>
      <c r="L30" s="1506"/>
      <c r="M30" s="643" t="s">
        <v>111</v>
      </c>
      <c r="N30" s="1507" t="s">
        <v>967</v>
      </c>
      <c r="O30" s="1508"/>
      <c r="P30" s="1509"/>
      <c r="Q30" s="1510">
        <f>ROUNDDOWN(I30/20/25,2)</f>
        <v>0</v>
      </c>
      <c r="R30" s="1511"/>
      <c r="S30" s="643" t="s">
        <v>18</v>
      </c>
      <c r="T30" s="1353" t="s">
        <v>968</v>
      </c>
      <c r="U30" s="1354"/>
      <c r="V30" s="1354"/>
      <c r="W30" s="1512" t="e">
        <f>V54</f>
        <v>#DIV/0!</v>
      </c>
      <c r="X30" s="1512"/>
      <c r="Y30" s="1514" t="s">
        <v>18</v>
      </c>
      <c r="Z30" s="1492"/>
      <c r="AA30" s="1493"/>
    </row>
    <row r="31" spans="1:30" ht="15" customHeight="1">
      <c r="A31" s="1492"/>
      <c r="B31" s="1526"/>
      <c r="C31" s="1493"/>
      <c r="D31" s="221"/>
      <c r="E31" s="1516" t="s">
        <v>114</v>
      </c>
      <c r="F31" s="1223"/>
      <c r="G31" s="1223"/>
      <c r="H31" s="1517"/>
      <c r="I31" s="1518"/>
      <c r="J31" s="1519"/>
      <c r="K31" s="1519"/>
      <c r="L31" s="1519"/>
      <c r="M31" s="644" t="s">
        <v>111</v>
      </c>
      <c r="N31" s="1520" t="s">
        <v>969</v>
      </c>
      <c r="O31" s="1521"/>
      <c r="P31" s="1522"/>
      <c r="Q31" s="1523">
        <f>ROUNDDOWN(I31/30/25,2)</f>
        <v>0</v>
      </c>
      <c r="R31" s="1524"/>
      <c r="S31" s="644" t="s">
        <v>18</v>
      </c>
      <c r="T31" s="1356"/>
      <c r="U31" s="1357"/>
      <c r="V31" s="1357"/>
      <c r="W31" s="1513"/>
      <c r="X31" s="1513"/>
      <c r="Y31" s="1515"/>
      <c r="Z31" s="1492" t="s">
        <v>970</v>
      </c>
      <c r="AA31" s="1493"/>
    </row>
    <row r="32" spans="1:30" ht="15" customHeight="1">
      <c r="A32" s="1492"/>
      <c r="B32" s="1526"/>
      <c r="C32" s="1493"/>
      <c r="D32" s="221"/>
      <c r="E32" s="1064" t="s">
        <v>115</v>
      </c>
      <c r="F32" s="1065"/>
      <c r="G32" s="1065"/>
      <c r="H32" s="1066"/>
      <c r="I32" s="1064">
        <f>SUM(I28:L31)</f>
        <v>0</v>
      </c>
      <c r="J32" s="1065"/>
      <c r="K32" s="1065"/>
      <c r="L32" s="1065"/>
      <c r="M32" s="644" t="s">
        <v>111</v>
      </c>
      <c r="N32" s="1171"/>
      <c r="O32" s="1169"/>
      <c r="P32" s="1172"/>
      <c r="Q32" s="1494">
        <f>IF(ROUND(SUM(Q28:R31),1)&lt;0.5,0.5,ROUND(SUM(Q28:R31),1))</f>
        <v>0.5</v>
      </c>
      <c r="R32" s="1495"/>
      <c r="S32" s="634" t="s">
        <v>18</v>
      </c>
      <c r="T32" s="910"/>
      <c r="U32" s="709"/>
      <c r="V32" s="709"/>
      <c r="W32" s="1496" t="e">
        <f>SUM(W28:X31)</f>
        <v>#DIV/0!</v>
      </c>
      <c r="X32" s="1496"/>
      <c r="Y32" s="918" t="s">
        <v>18</v>
      </c>
      <c r="Z32" s="1492"/>
      <c r="AA32" s="1493"/>
    </row>
    <row r="33" spans="1:27" ht="15" customHeight="1">
      <c r="A33" s="1492"/>
      <c r="B33" s="1526"/>
      <c r="C33" s="1493"/>
      <c r="D33" s="221"/>
      <c r="E33" s="911" t="s">
        <v>971</v>
      </c>
      <c r="F33" s="911"/>
      <c r="G33" s="911"/>
      <c r="H33" s="911"/>
      <c r="I33" s="911"/>
      <c r="J33" s="911"/>
      <c r="K33" s="911"/>
      <c r="L33" s="911"/>
      <c r="M33" s="911"/>
      <c r="N33" s="911"/>
      <c r="O33" s="911"/>
      <c r="P33" s="911"/>
      <c r="Q33" s="911"/>
      <c r="R33" s="911"/>
      <c r="S33" s="911"/>
      <c r="T33" s="911"/>
      <c r="U33" s="911"/>
      <c r="V33" s="911"/>
      <c r="W33" s="911"/>
      <c r="X33" s="911"/>
      <c r="Y33" s="911"/>
      <c r="Z33" s="921"/>
      <c r="AA33" s="919"/>
    </row>
    <row r="34" spans="1:27" ht="15" customHeight="1">
      <c r="A34" s="1492"/>
      <c r="B34" s="1526"/>
      <c r="C34" s="1493"/>
      <c r="D34" s="221"/>
      <c r="E34" s="911" t="s">
        <v>972</v>
      </c>
      <c r="F34" s="911"/>
      <c r="G34" s="911"/>
      <c r="H34" s="911"/>
      <c r="I34" s="911"/>
      <c r="J34" s="911"/>
      <c r="K34" s="911"/>
      <c r="L34" s="911"/>
      <c r="M34" s="911"/>
      <c r="N34" s="911"/>
      <c r="O34" s="911"/>
      <c r="P34" s="911"/>
      <c r="Q34" s="911"/>
      <c r="R34" s="911"/>
      <c r="S34" s="911"/>
      <c r="T34" s="911"/>
      <c r="U34" s="911"/>
      <c r="V34" s="911"/>
      <c r="W34" s="911"/>
      <c r="X34" s="911"/>
      <c r="Y34" s="911"/>
      <c r="Z34" s="911"/>
      <c r="AA34" s="912"/>
    </row>
    <row r="35" spans="1:27" ht="15" customHeight="1">
      <c r="A35" s="1492"/>
      <c r="B35" s="1526"/>
      <c r="C35" s="1493"/>
      <c r="D35" s="221"/>
      <c r="E35" s="1497" t="s">
        <v>966</v>
      </c>
      <c r="F35" s="1498"/>
      <c r="G35" s="1499" t="s">
        <v>973</v>
      </c>
      <c r="H35" s="1498"/>
      <c r="I35" s="1498"/>
      <c r="J35" s="1498"/>
      <c r="K35" s="1498"/>
      <c r="L35" s="1498"/>
      <c r="M35" s="1498"/>
      <c r="N35" s="1498"/>
      <c r="O35" s="1498"/>
      <c r="P35" s="1498"/>
      <c r="Q35" s="1498"/>
      <c r="R35" s="1500"/>
      <c r="S35" s="1499" t="s">
        <v>974</v>
      </c>
      <c r="T35" s="1498"/>
      <c r="U35" s="1498"/>
      <c r="V35" s="1498"/>
      <c r="W35" s="1498"/>
      <c r="X35" s="1498"/>
      <c r="Y35" s="1501"/>
      <c r="Z35" s="911"/>
      <c r="AA35" s="912"/>
    </row>
    <row r="36" spans="1:27" ht="15" customHeight="1">
      <c r="A36" s="1492"/>
      <c r="B36" s="1526"/>
      <c r="C36" s="1493"/>
      <c r="D36" s="921"/>
      <c r="E36" s="920"/>
      <c r="F36" s="920"/>
      <c r="G36" s="920"/>
      <c r="H36" s="920"/>
      <c r="I36" s="920"/>
      <c r="J36" s="920"/>
      <c r="K36" s="920"/>
      <c r="L36" s="920"/>
      <c r="M36" s="920"/>
      <c r="N36" s="920"/>
      <c r="O36" s="920"/>
      <c r="P36" s="920"/>
      <c r="Q36" s="920"/>
      <c r="R36" s="920"/>
      <c r="S36" s="920"/>
      <c r="T36" s="920"/>
      <c r="U36" s="920"/>
      <c r="V36" s="920"/>
      <c r="W36" s="920"/>
      <c r="X36" s="920"/>
      <c r="Y36" s="920"/>
      <c r="Z36" s="921"/>
      <c r="AA36" s="919"/>
    </row>
    <row r="37" spans="1:27" ht="15" customHeight="1">
      <c r="A37" s="1492"/>
      <c r="B37" s="1526"/>
      <c r="C37" s="1493"/>
      <c r="D37" s="221"/>
      <c r="E37" s="1480" t="s">
        <v>970</v>
      </c>
      <c r="F37" s="1481"/>
      <c r="G37" s="1482" t="s">
        <v>975</v>
      </c>
      <c r="H37" s="1481"/>
      <c r="I37" s="1481"/>
      <c r="J37" s="1481"/>
      <c r="K37" s="1481"/>
      <c r="L37" s="1481"/>
      <c r="M37" s="1481"/>
      <c r="N37" s="1481"/>
      <c r="O37" s="1481"/>
      <c r="P37" s="1481"/>
      <c r="Q37" s="1481"/>
      <c r="R37" s="1483"/>
      <c r="S37" s="1482" t="s">
        <v>976</v>
      </c>
      <c r="T37" s="1481"/>
      <c r="U37" s="1481"/>
      <c r="V37" s="1481"/>
      <c r="W37" s="1481"/>
      <c r="X37" s="1481"/>
      <c r="Y37" s="1484"/>
      <c r="Z37" s="921"/>
      <c r="AA37" s="919"/>
    </row>
    <row r="38" spans="1:27" ht="15" customHeight="1">
      <c r="A38" s="1492"/>
      <c r="B38" s="1526"/>
      <c r="C38" s="1493"/>
      <c r="D38" s="221"/>
      <c r="E38" s="1485" t="s">
        <v>274</v>
      </c>
      <c r="F38" s="1486"/>
      <c r="G38" s="1487" t="s">
        <v>148</v>
      </c>
      <c r="H38" s="1488"/>
      <c r="I38" s="1488"/>
      <c r="J38" s="1488"/>
      <c r="K38" s="1487" t="s">
        <v>596</v>
      </c>
      <c r="L38" s="1488"/>
      <c r="M38" s="1488"/>
      <c r="N38" s="1488"/>
      <c r="O38" s="1488"/>
      <c r="P38" s="1488"/>
      <c r="Q38" s="1488"/>
      <c r="R38" s="1488"/>
      <c r="S38" s="1489" t="s">
        <v>144</v>
      </c>
      <c r="T38" s="1490"/>
      <c r="U38" s="1490"/>
      <c r="V38" s="1490"/>
      <c r="W38" s="1490"/>
      <c r="X38" s="1490"/>
      <c r="Y38" s="1491"/>
      <c r="Z38" s="921"/>
      <c r="AA38" s="919"/>
    </row>
    <row r="39" spans="1:27" ht="15" customHeight="1">
      <c r="A39" s="1492"/>
      <c r="B39" s="1526"/>
      <c r="C39" s="1493"/>
      <c r="D39" s="221"/>
      <c r="E39" s="1444">
        <v>1</v>
      </c>
      <c r="F39" s="1445"/>
      <c r="G39" s="1446"/>
      <c r="H39" s="1447"/>
      <c r="I39" s="1447"/>
      <c r="J39" s="1447"/>
      <c r="K39" s="1448"/>
      <c r="L39" s="1449"/>
      <c r="M39" s="1449"/>
      <c r="N39" s="1449"/>
      <c r="O39" s="1449"/>
      <c r="P39" s="1449"/>
      <c r="Q39" s="1449"/>
      <c r="R39" s="1450"/>
      <c r="S39" s="1449"/>
      <c r="T39" s="1449"/>
      <c r="U39" s="1449"/>
      <c r="V39" s="1449"/>
      <c r="W39" s="1449"/>
      <c r="X39" s="1449"/>
      <c r="Y39" s="1451"/>
      <c r="Z39" s="921"/>
      <c r="AA39" s="919"/>
    </row>
    <row r="40" spans="1:27" ht="15" customHeight="1">
      <c r="A40" s="1492"/>
      <c r="B40" s="1526"/>
      <c r="C40" s="1493"/>
      <c r="D40" s="221"/>
      <c r="E40" s="1444">
        <v>2</v>
      </c>
      <c r="F40" s="1445"/>
      <c r="G40" s="1446"/>
      <c r="H40" s="1447"/>
      <c r="I40" s="1447"/>
      <c r="J40" s="1447"/>
      <c r="K40" s="1448"/>
      <c r="L40" s="1449"/>
      <c r="M40" s="1449"/>
      <c r="N40" s="1449"/>
      <c r="O40" s="1449"/>
      <c r="P40" s="1449"/>
      <c r="Q40" s="1449"/>
      <c r="R40" s="1450"/>
      <c r="S40" s="1449"/>
      <c r="T40" s="1449"/>
      <c r="U40" s="1449"/>
      <c r="V40" s="1449"/>
      <c r="W40" s="1449"/>
      <c r="X40" s="1449"/>
      <c r="Y40" s="1451"/>
      <c r="Z40" s="921"/>
      <c r="AA40" s="919"/>
    </row>
    <row r="41" spans="1:27" ht="15" customHeight="1">
      <c r="A41" s="1492"/>
      <c r="B41" s="1526"/>
      <c r="C41" s="1493"/>
      <c r="D41" s="221"/>
      <c r="E41" s="1444">
        <v>3</v>
      </c>
      <c r="F41" s="1445"/>
      <c r="G41" s="1446"/>
      <c r="H41" s="1447"/>
      <c r="I41" s="1447"/>
      <c r="J41" s="1447"/>
      <c r="K41" s="1448"/>
      <c r="L41" s="1449"/>
      <c r="M41" s="1449"/>
      <c r="N41" s="1449"/>
      <c r="O41" s="1449"/>
      <c r="P41" s="1449"/>
      <c r="Q41" s="1449"/>
      <c r="R41" s="1450"/>
      <c r="S41" s="1449"/>
      <c r="T41" s="1449"/>
      <c r="U41" s="1449"/>
      <c r="V41" s="1449"/>
      <c r="W41" s="1449"/>
      <c r="X41" s="1449"/>
      <c r="Y41" s="1451"/>
      <c r="Z41" s="921"/>
      <c r="AA41" s="919"/>
    </row>
    <row r="42" spans="1:27" ht="15" customHeight="1">
      <c r="A42" s="1492"/>
      <c r="B42" s="1526"/>
      <c r="C42" s="1493"/>
      <c r="D42" s="221"/>
      <c r="E42" s="1444">
        <v>4</v>
      </c>
      <c r="F42" s="1445"/>
      <c r="G42" s="1446"/>
      <c r="H42" s="1447"/>
      <c r="I42" s="1447"/>
      <c r="J42" s="1447"/>
      <c r="K42" s="1448"/>
      <c r="L42" s="1449"/>
      <c r="M42" s="1449"/>
      <c r="N42" s="1449"/>
      <c r="O42" s="1449"/>
      <c r="P42" s="1449"/>
      <c r="Q42" s="1449"/>
      <c r="R42" s="1450"/>
      <c r="S42" s="1449"/>
      <c r="T42" s="1449"/>
      <c r="U42" s="1449"/>
      <c r="V42" s="1449"/>
      <c r="W42" s="1449"/>
      <c r="X42" s="1449"/>
      <c r="Y42" s="1451"/>
      <c r="Z42" s="921"/>
      <c r="AA42" s="919"/>
    </row>
    <row r="43" spans="1:27">
      <c r="A43" s="1492"/>
      <c r="B43" s="1526"/>
      <c r="C43" s="1493"/>
      <c r="D43" s="221"/>
      <c r="E43" s="1444">
        <v>5</v>
      </c>
      <c r="F43" s="1445"/>
      <c r="G43" s="1446"/>
      <c r="H43" s="1447"/>
      <c r="I43" s="1447"/>
      <c r="J43" s="1447"/>
      <c r="K43" s="1448"/>
      <c r="L43" s="1449"/>
      <c r="M43" s="1449"/>
      <c r="N43" s="1449"/>
      <c r="O43" s="1449"/>
      <c r="P43" s="1449"/>
      <c r="Q43" s="1449"/>
      <c r="R43" s="1450"/>
      <c r="S43" s="1449"/>
      <c r="T43" s="1449"/>
      <c r="U43" s="1449"/>
      <c r="V43" s="1449"/>
      <c r="W43" s="1449"/>
      <c r="X43" s="1449"/>
      <c r="Y43" s="1451"/>
      <c r="Z43" s="921"/>
      <c r="AA43" s="919"/>
    </row>
    <row r="44" spans="1:27">
      <c r="A44" s="1492"/>
      <c r="B44" s="1526"/>
      <c r="C44" s="1493"/>
      <c r="D44" s="221"/>
      <c r="E44" s="1444">
        <v>6</v>
      </c>
      <c r="F44" s="1445"/>
      <c r="G44" s="1446"/>
      <c r="H44" s="1447"/>
      <c r="I44" s="1447"/>
      <c r="J44" s="1447"/>
      <c r="K44" s="1448"/>
      <c r="L44" s="1449"/>
      <c r="M44" s="1449"/>
      <c r="N44" s="1449"/>
      <c r="O44" s="1449"/>
      <c r="P44" s="1449"/>
      <c r="Q44" s="1449"/>
      <c r="R44" s="1450"/>
      <c r="S44" s="1449"/>
      <c r="T44" s="1449"/>
      <c r="U44" s="1449"/>
      <c r="V44" s="1449"/>
      <c r="W44" s="1449"/>
      <c r="X44" s="1449"/>
      <c r="Y44" s="1451"/>
      <c r="Z44" s="921"/>
      <c r="AA44" s="919"/>
    </row>
    <row r="45" spans="1:27">
      <c r="A45" s="1492"/>
      <c r="B45" s="1526"/>
      <c r="C45" s="1493"/>
      <c r="D45" s="221"/>
      <c r="E45" s="1444">
        <v>7</v>
      </c>
      <c r="F45" s="1445"/>
      <c r="G45" s="1446"/>
      <c r="H45" s="1447"/>
      <c r="I45" s="1447"/>
      <c r="J45" s="1447"/>
      <c r="K45" s="1448"/>
      <c r="L45" s="1449"/>
      <c r="M45" s="1449"/>
      <c r="N45" s="1449"/>
      <c r="O45" s="1449"/>
      <c r="P45" s="1449"/>
      <c r="Q45" s="1449"/>
      <c r="R45" s="1450"/>
      <c r="S45" s="1449"/>
      <c r="T45" s="1449"/>
      <c r="U45" s="1449"/>
      <c r="V45" s="1449"/>
      <c r="W45" s="1449"/>
      <c r="X45" s="1449"/>
      <c r="Y45" s="1451"/>
      <c r="Z45" s="921"/>
      <c r="AA45" s="919"/>
    </row>
    <row r="46" spans="1:27">
      <c r="A46" s="1492"/>
      <c r="B46" s="1526"/>
      <c r="C46" s="1493"/>
      <c r="D46" s="221"/>
      <c r="E46" s="1444">
        <v>8</v>
      </c>
      <c r="F46" s="1445"/>
      <c r="G46" s="1446"/>
      <c r="H46" s="1447"/>
      <c r="I46" s="1447"/>
      <c r="J46" s="1447"/>
      <c r="K46" s="1448"/>
      <c r="L46" s="1449"/>
      <c r="M46" s="1449"/>
      <c r="N46" s="1449"/>
      <c r="O46" s="1449"/>
      <c r="P46" s="1449"/>
      <c r="Q46" s="1449"/>
      <c r="R46" s="1450"/>
      <c r="S46" s="1449"/>
      <c r="T46" s="1449"/>
      <c r="U46" s="1449"/>
      <c r="V46" s="1449"/>
      <c r="W46" s="1449"/>
      <c r="X46" s="1449"/>
      <c r="Y46" s="1451"/>
      <c r="Z46" s="921"/>
      <c r="AA46" s="919"/>
    </row>
    <row r="47" spans="1:27">
      <c r="A47" s="1492"/>
      <c r="B47" s="1526"/>
      <c r="C47" s="1493"/>
      <c r="D47" s="221"/>
      <c r="E47" s="1444">
        <v>9</v>
      </c>
      <c r="F47" s="1445"/>
      <c r="G47" s="1446"/>
      <c r="H47" s="1447"/>
      <c r="I47" s="1447"/>
      <c r="J47" s="1447"/>
      <c r="K47" s="1448"/>
      <c r="L47" s="1449"/>
      <c r="M47" s="1449"/>
      <c r="N47" s="1449"/>
      <c r="O47" s="1449"/>
      <c r="P47" s="1449"/>
      <c r="Q47" s="1449"/>
      <c r="R47" s="1450"/>
      <c r="S47" s="1449"/>
      <c r="T47" s="1449"/>
      <c r="U47" s="1449"/>
      <c r="V47" s="1449"/>
      <c r="W47" s="1449"/>
      <c r="X47" s="1449"/>
      <c r="Y47" s="1451"/>
      <c r="Z47" s="921"/>
      <c r="AA47" s="919"/>
    </row>
    <row r="48" spans="1:27">
      <c r="A48" s="1492"/>
      <c r="B48" s="1526"/>
      <c r="C48" s="1493"/>
      <c r="D48" s="221"/>
      <c r="E48" s="1444">
        <v>10</v>
      </c>
      <c r="F48" s="1445"/>
      <c r="G48" s="1446"/>
      <c r="H48" s="1447"/>
      <c r="I48" s="1447"/>
      <c r="J48" s="1447"/>
      <c r="K48" s="1448"/>
      <c r="L48" s="1449"/>
      <c r="M48" s="1449"/>
      <c r="N48" s="1449"/>
      <c r="O48" s="1449"/>
      <c r="P48" s="1449"/>
      <c r="Q48" s="1449"/>
      <c r="R48" s="1450"/>
      <c r="S48" s="1449"/>
      <c r="T48" s="1449"/>
      <c r="U48" s="1449"/>
      <c r="V48" s="1449"/>
      <c r="W48" s="1449"/>
      <c r="X48" s="1449"/>
      <c r="Y48" s="1451"/>
      <c r="Z48" s="921"/>
      <c r="AA48" s="919"/>
    </row>
    <row r="49" spans="1:27">
      <c r="A49" s="1492"/>
      <c r="B49" s="1526"/>
      <c r="C49" s="1493"/>
      <c r="D49" s="221"/>
      <c r="E49" s="1444">
        <v>11</v>
      </c>
      <c r="F49" s="1445"/>
      <c r="G49" s="1446"/>
      <c r="H49" s="1447"/>
      <c r="I49" s="1447"/>
      <c r="J49" s="1447"/>
      <c r="K49" s="1448"/>
      <c r="L49" s="1449"/>
      <c r="M49" s="1449"/>
      <c r="N49" s="1449"/>
      <c r="O49" s="1449"/>
      <c r="P49" s="1449"/>
      <c r="Q49" s="1449"/>
      <c r="R49" s="1450"/>
      <c r="S49" s="1449"/>
      <c r="T49" s="1449"/>
      <c r="U49" s="1449"/>
      <c r="V49" s="1449"/>
      <c r="W49" s="1449"/>
      <c r="X49" s="1449"/>
      <c r="Y49" s="1451"/>
      <c r="Z49" s="921"/>
      <c r="AA49" s="919"/>
    </row>
    <row r="50" spans="1:27">
      <c r="A50" s="1492"/>
      <c r="B50" s="1526"/>
      <c r="C50" s="1493"/>
      <c r="D50" s="221"/>
      <c r="E50" s="1444">
        <v>12</v>
      </c>
      <c r="F50" s="1445"/>
      <c r="G50" s="1446"/>
      <c r="H50" s="1447"/>
      <c r="I50" s="1447"/>
      <c r="J50" s="1447"/>
      <c r="K50" s="1448"/>
      <c r="L50" s="1449"/>
      <c r="M50" s="1449"/>
      <c r="N50" s="1449"/>
      <c r="O50" s="1449"/>
      <c r="P50" s="1449"/>
      <c r="Q50" s="1449"/>
      <c r="R50" s="1450"/>
      <c r="S50" s="1449"/>
      <c r="T50" s="1449"/>
      <c r="U50" s="1449"/>
      <c r="V50" s="1449"/>
      <c r="W50" s="1449"/>
      <c r="X50" s="1449"/>
      <c r="Y50" s="1451"/>
      <c r="Z50" s="921"/>
      <c r="AA50" s="919"/>
    </row>
    <row r="51" spans="1:27">
      <c r="A51" s="1492"/>
      <c r="B51" s="1526"/>
      <c r="C51" s="1493"/>
      <c r="D51" s="221"/>
      <c r="E51" s="1444">
        <v>13</v>
      </c>
      <c r="F51" s="1445"/>
      <c r="G51" s="1446"/>
      <c r="H51" s="1447"/>
      <c r="I51" s="1447"/>
      <c r="J51" s="1447"/>
      <c r="K51" s="1448"/>
      <c r="L51" s="1449"/>
      <c r="M51" s="1449"/>
      <c r="N51" s="1449"/>
      <c r="O51" s="1449"/>
      <c r="P51" s="1449"/>
      <c r="Q51" s="1449"/>
      <c r="R51" s="1450"/>
      <c r="S51" s="1449"/>
      <c r="T51" s="1449"/>
      <c r="U51" s="1449"/>
      <c r="V51" s="1449"/>
      <c r="W51" s="1449"/>
      <c r="X51" s="1449"/>
      <c r="Y51" s="1451"/>
      <c r="Z51" s="921"/>
      <c r="AA51" s="919"/>
    </row>
    <row r="52" spans="1:27">
      <c r="A52" s="1492"/>
      <c r="B52" s="1526"/>
      <c r="C52" s="1493"/>
      <c r="D52" s="221"/>
      <c r="E52" s="1444">
        <v>14</v>
      </c>
      <c r="F52" s="1445"/>
      <c r="G52" s="1446"/>
      <c r="H52" s="1447"/>
      <c r="I52" s="1447"/>
      <c r="J52" s="1447"/>
      <c r="K52" s="1448"/>
      <c r="L52" s="1449"/>
      <c r="M52" s="1449"/>
      <c r="N52" s="1449"/>
      <c r="O52" s="1449"/>
      <c r="P52" s="1449"/>
      <c r="Q52" s="1449"/>
      <c r="R52" s="1450"/>
      <c r="S52" s="1449"/>
      <c r="T52" s="1449"/>
      <c r="U52" s="1449"/>
      <c r="V52" s="1449"/>
      <c r="W52" s="1449"/>
      <c r="X52" s="1449"/>
      <c r="Y52" s="1451"/>
      <c r="Z52" s="921"/>
      <c r="AA52" s="919"/>
    </row>
    <row r="53" spans="1:27">
      <c r="A53" s="1492"/>
      <c r="B53" s="1526"/>
      <c r="C53" s="1493"/>
      <c r="D53" s="221"/>
      <c r="E53" s="1452">
        <v>15</v>
      </c>
      <c r="F53" s="1453"/>
      <c r="G53" s="1454"/>
      <c r="H53" s="1455"/>
      <c r="I53" s="1455"/>
      <c r="J53" s="1455"/>
      <c r="K53" s="1456"/>
      <c r="L53" s="1457"/>
      <c r="M53" s="1457"/>
      <c r="N53" s="1457"/>
      <c r="O53" s="1457"/>
      <c r="P53" s="1457"/>
      <c r="Q53" s="1457"/>
      <c r="R53" s="1458"/>
      <c r="S53" s="1457"/>
      <c r="T53" s="1457"/>
      <c r="U53" s="1457"/>
      <c r="V53" s="1457"/>
      <c r="W53" s="1457"/>
      <c r="X53" s="1457"/>
      <c r="Y53" s="1459"/>
      <c r="Z53" s="921"/>
      <c r="AA53" s="919"/>
    </row>
    <row r="54" spans="1:27">
      <c r="A54" s="1492"/>
      <c r="B54" s="1526"/>
      <c r="C54" s="1493"/>
      <c r="D54" s="221"/>
      <c r="E54" s="1460" t="s">
        <v>14</v>
      </c>
      <c r="F54" s="1460"/>
      <c r="G54" s="1460"/>
      <c r="H54" s="1460"/>
      <c r="I54" s="1460"/>
      <c r="J54" s="1461"/>
      <c r="K54" s="1464">
        <f>SUM(K39:R53)</f>
        <v>0</v>
      </c>
      <c r="L54" s="1465"/>
      <c r="M54" s="1465"/>
      <c r="N54" s="1465"/>
      <c r="O54" s="1465"/>
      <c r="P54" s="1465"/>
      <c r="Q54" s="1468" t="s">
        <v>314</v>
      </c>
      <c r="R54" s="1469"/>
      <c r="S54" s="1472" t="s">
        <v>977</v>
      </c>
      <c r="T54" s="1473"/>
      <c r="U54" s="1473"/>
      <c r="V54" s="1476" t="e">
        <f>K54/【様式2】職員名簿!F5</f>
        <v>#DIV/0!</v>
      </c>
      <c r="W54" s="1476"/>
      <c r="X54" s="1476"/>
      <c r="Y54" s="1478" t="s">
        <v>18</v>
      </c>
      <c r="Z54" s="921"/>
      <c r="AA54" s="919"/>
    </row>
    <row r="55" spans="1:27">
      <c r="A55" s="1492"/>
      <c r="B55" s="1526"/>
      <c r="C55" s="1493"/>
      <c r="D55" s="910"/>
      <c r="E55" s="1462"/>
      <c r="F55" s="1462"/>
      <c r="G55" s="1462"/>
      <c r="H55" s="1462"/>
      <c r="I55" s="1462"/>
      <c r="J55" s="1463"/>
      <c r="K55" s="1466"/>
      <c r="L55" s="1467"/>
      <c r="M55" s="1467"/>
      <c r="N55" s="1467"/>
      <c r="O55" s="1467"/>
      <c r="P55" s="1467"/>
      <c r="Q55" s="1470"/>
      <c r="R55" s="1471"/>
      <c r="S55" s="1474"/>
      <c r="T55" s="1475"/>
      <c r="U55" s="1475"/>
      <c r="V55" s="1477"/>
      <c r="W55" s="1477"/>
      <c r="X55" s="1477"/>
      <c r="Y55" s="1479"/>
      <c r="Z55" s="921"/>
      <c r="AA55" s="919"/>
    </row>
  </sheetData>
  <sheetProtection algorithmName="SHA-512" hashValue="/kQp6cEf226dSxpvFmxhrfzmEfy+2glIv1LXmUGB2u/rNBqedYU+rtp8VEbV0rtkf1f8s+VHgWpyouFKHG0AFw==" saltValue="m3fbzZFbcMk3aFCZZ/n2vw==" spinCount="100000" sheet="1" objects="1" scenarios="1"/>
  <mergeCells count="185">
    <mergeCell ref="AC21:AC23"/>
    <mergeCell ref="AC15:AC16"/>
    <mergeCell ref="AC13:AC14"/>
    <mergeCell ref="AC11:AC12"/>
    <mergeCell ref="AC9:AC10"/>
    <mergeCell ref="AC7:AC8"/>
    <mergeCell ref="R1:Z1"/>
    <mergeCell ref="A2:Z2"/>
    <mergeCell ref="A3:Z3"/>
    <mergeCell ref="A4:AA4"/>
    <mergeCell ref="A5:C5"/>
    <mergeCell ref="D5:K5"/>
    <mergeCell ref="L5:Y5"/>
    <mergeCell ref="Z5:AA5"/>
    <mergeCell ref="A6:C6"/>
    <mergeCell ref="D6:K6"/>
    <mergeCell ref="L6:Y6"/>
    <mergeCell ref="Z6:AA6"/>
    <mergeCell ref="A7:C8"/>
    <mergeCell ref="D7:G8"/>
    <mergeCell ref="H7:K7"/>
    <mergeCell ref="L7:M7"/>
    <mergeCell ref="O7:P7"/>
    <mergeCell ref="R7:S7"/>
    <mergeCell ref="T7:U7"/>
    <mergeCell ref="W7:X7"/>
    <mergeCell ref="Z7:AA8"/>
    <mergeCell ref="H8:K8"/>
    <mergeCell ref="L8:M8"/>
    <mergeCell ref="O8:P8"/>
    <mergeCell ref="R8:S8"/>
    <mergeCell ref="T8:U8"/>
    <mergeCell ref="W8:X8"/>
    <mergeCell ref="A9:C9"/>
    <mergeCell ref="D9:K9"/>
    <mergeCell ref="L9:R9"/>
    <mergeCell ref="S9:X9"/>
    <mergeCell ref="Z9:AA9"/>
    <mergeCell ref="A10:C11"/>
    <mergeCell ref="D10:G11"/>
    <mergeCell ref="H10:K10"/>
    <mergeCell ref="L10:X10"/>
    <mergeCell ref="Z10:AA11"/>
    <mergeCell ref="H11:K11"/>
    <mergeCell ref="L11:X11"/>
    <mergeCell ref="A12:C13"/>
    <mergeCell ref="D12:G13"/>
    <mergeCell ref="H12:K12"/>
    <mergeCell ref="L12:X12"/>
    <mergeCell ref="Z12:AA13"/>
    <mergeCell ref="H13:K13"/>
    <mergeCell ref="L13:X13"/>
    <mergeCell ref="A14:C15"/>
    <mergeCell ref="D14:G15"/>
    <mergeCell ref="H14:K14"/>
    <mergeCell ref="L14:X14"/>
    <mergeCell ref="Z14:AA15"/>
    <mergeCell ref="H15:K15"/>
    <mergeCell ref="L15:X15"/>
    <mergeCell ref="A17:AA17"/>
    <mergeCell ref="A18:C18"/>
    <mergeCell ref="D18:S18"/>
    <mergeCell ref="T18:Y18"/>
    <mergeCell ref="Z18:AA18"/>
    <mergeCell ref="A19:C19"/>
    <mergeCell ref="D19:S19"/>
    <mergeCell ref="T19:Y19"/>
    <mergeCell ref="Z19:AA19"/>
    <mergeCell ref="A20:C22"/>
    <mergeCell ref="D20:S22"/>
    <mergeCell ref="T20:Y22"/>
    <mergeCell ref="Z20:AA22"/>
    <mergeCell ref="A23:C55"/>
    <mergeCell ref="D23:Y23"/>
    <mergeCell ref="Z23:AA24"/>
    <mergeCell ref="E24:H24"/>
    <mergeCell ref="E25:M27"/>
    <mergeCell ref="N25:P27"/>
    <mergeCell ref="Q25:S27"/>
    <mergeCell ref="T25:Y27"/>
    <mergeCell ref="E28:H28"/>
    <mergeCell ref="I28:L28"/>
    <mergeCell ref="N28:P28"/>
    <mergeCell ref="Q28:R28"/>
    <mergeCell ref="T28:V29"/>
    <mergeCell ref="W28:X29"/>
    <mergeCell ref="Y28:Y29"/>
    <mergeCell ref="E29:H29"/>
    <mergeCell ref="I29:L29"/>
    <mergeCell ref="N29:P29"/>
    <mergeCell ref="Q29:R29"/>
    <mergeCell ref="Z29:AA30"/>
    <mergeCell ref="E30:H30"/>
    <mergeCell ref="I30:L30"/>
    <mergeCell ref="N30:P30"/>
    <mergeCell ref="Q30:R30"/>
    <mergeCell ref="T30:V31"/>
    <mergeCell ref="W30:X31"/>
    <mergeCell ref="Y30:Y31"/>
    <mergeCell ref="E31:H31"/>
    <mergeCell ref="I31:L31"/>
    <mergeCell ref="N31:P31"/>
    <mergeCell ref="Q31:R31"/>
    <mergeCell ref="Z31:AA32"/>
    <mergeCell ref="E32:H32"/>
    <mergeCell ref="I32:L32"/>
    <mergeCell ref="N32:P32"/>
    <mergeCell ref="Q32:R32"/>
    <mergeCell ref="W32:X32"/>
    <mergeCell ref="E35:F35"/>
    <mergeCell ref="G35:R35"/>
    <mergeCell ref="S35:Y35"/>
    <mergeCell ref="E37:F37"/>
    <mergeCell ref="G37:R37"/>
    <mergeCell ref="S37:Y37"/>
    <mergeCell ref="E38:F38"/>
    <mergeCell ref="G38:J38"/>
    <mergeCell ref="K38:R38"/>
    <mergeCell ref="S38:Y38"/>
    <mergeCell ref="E39:F39"/>
    <mergeCell ref="G39:J39"/>
    <mergeCell ref="K39:R39"/>
    <mergeCell ref="S39:Y39"/>
    <mergeCell ref="E40:F40"/>
    <mergeCell ref="G40:J40"/>
    <mergeCell ref="K40:R40"/>
    <mergeCell ref="S40:Y40"/>
    <mergeCell ref="E41:F41"/>
    <mergeCell ref="G41:J41"/>
    <mergeCell ref="K41:R41"/>
    <mergeCell ref="S41:Y41"/>
    <mergeCell ref="E42:F42"/>
    <mergeCell ref="G42:J42"/>
    <mergeCell ref="K42:R42"/>
    <mergeCell ref="S42:Y42"/>
    <mergeCell ref="E43:F43"/>
    <mergeCell ref="G43:J43"/>
    <mergeCell ref="K43:R43"/>
    <mergeCell ref="S43:Y43"/>
    <mergeCell ref="E44:F44"/>
    <mergeCell ref="G44:J44"/>
    <mergeCell ref="K44:R44"/>
    <mergeCell ref="S44:Y44"/>
    <mergeCell ref="E45:F45"/>
    <mergeCell ref="G45:J45"/>
    <mergeCell ref="K45:R45"/>
    <mergeCell ref="S45:Y45"/>
    <mergeCell ref="E46:F46"/>
    <mergeCell ref="G46:J46"/>
    <mergeCell ref="K46:R46"/>
    <mergeCell ref="S46:Y46"/>
    <mergeCell ref="E47:F47"/>
    <mergeCell ref="G47:J47"/>
    <mergeCell ref="K47:R47"/>
    <mergeCell ref="S47:Y47"/>
    <mergeCell ref="E48:F48"/>
    <mergeCell ref="G48:J48"/>
    <mergeCell ref="K48:R48"/>
    <mergeCell ref="S48:Y48"/>
    <mergeCell ref="E49:F49"/>
    <mergeCell ref="G49:J49"/>
    <mergeCell ref="K49:R49"/>
    <mergeCell ref="S49:Y49"/>
    <mergeCell ref="E50:F50"/>
    <mergeCell ref="G50:J50"/>
    <mergeCell ref="K50:R50"/>
    <mergeCell ref="S50:Y50"/>
    <mergeCell ref="E51:F51"/>
    <mergeCell ref="G51:J51"/>
    <mergeCell ref="K51:R51"/>
    <mergeCell ref="S51:Y51"/>
    <mergeCell ref="E52:F52"/>
    <mergeCell ref="G52:J52"/>
    <mergeCell ref="K52:R52"/>
    <mergeCell ref="S52:Y52"/>
    <mergeCell ref="E53:F53"/>
    <mergeCell ref="G53:J53"/>
    <mergeCell ref="K53:R53"/>
    <mergeCell ref="S53:Y53"/>
    <mergeCell ref="E54:J55"/>
    <mergeCell ref="K54:P55"/>
    <mergeCell ref="Q54:R55"/>
    <mergeCell ref="S54:U55"/>
    <mergeCell ref="V54:X55"/>
    <mergeCell ref="Y54:Y55"/>
  </mergeCells>
  <phoneticPr fontId="1"/>
  <conditionalFormatting sqref="Z6:Z7 Z9:Z10 Z12 Z14 Z19:Z20 Z23 D36:Y36 Z26:AA28 Z29 Z33:AA33 Z36:AA55">
    <cfRule type="containsText" dxfId="56" priority="3" operator="containsText" text="×">
      <formula>NOT(ISERROR(SEARCH("×",D6)))</formula>
    </cfRule>
  </conditionalFormatting>
  <conditionalFormatting sqref="Z31">
    <cfRule type="containsText" dxfId="55" priority="2" operator="containsText" text="×">
      <formula>NOT(ISERROR(SEARCH("×",Z31)))</formula>
    </cfRule>
  </conditionalFormatting>
  <conditionalFormatting sqref="G39:Y53">
    <cfRule type="expression" dxfId="54" priority="248">
      <formula>$L$15=$AI$3</formula>
    </cfRule>
  </conditionalFormatting>
  <conditionalFormatting sqref="I32:L32">
    <cfRule type="cellIs" dxfId="53" priority="249" operator="notEqual">
      <formula>$AL$16</formula>
    </cfRule>
  </conditionalFormatting>
  <conditionalFormatting sqref="E33">
    <cfRule type="expression" dxfId="52" priority="250">
      <formula>$I$32=$AL$16</formula>
    </cfRule>
  </conditionalFormatting>
  <dataValidations count="10">
    <dataValidation type="whole" operator="greaterThanOrEqual" allowBlank="1" showInputMessage="1" showErrorMessage="1" sqref="L11" xr:uid="{00000000-0002-0000-0700-000000000000}">
      <formula1>0</formula1>
    </dataValidation>
    <dataValidation type="list" allowBlank="1" showInputMessage="1" showErrorMessage="1" sqref="L16:X16" xr:uid="{00000000-0002-0000-0700-000001000000}">
      <formula1>#REF!</formula1>
    </dataValidation>
    <dataValidation type="list" allowBlank="1" showInputMessage="1" showErrorMessage="1" sqref="L7:M7 T7:T8 L8" xr:uid="{00000000-0002-0000-0700-000002000000}">
      <formula1>$AD$2:$AD$26</formula1>
    </dataValidation>
    <dataValidation type="list" errorStyle="warning" allowBlank="1" showInputMessage="1" showErrorMessage="1" sqref="O7:O8 W7:W8" xr:uid="{00000000-0002-0000-0700-000003000000}">
      <formula1>$AE$2:$AE$6</formula1>
    </dataValidation>
    <dataValidation type="list" allowBlank="1" showInputMessage="1" showErrorMessage="1" sqref="L10:X10" xr:uid="{00000000-0002-0000-0700-000004000000}">
      <formula1>$AF$2:$AF$4</formula1>
    </dataValidation>
    <dataValidation type="list" allowBlank="1" showInputMessage="1" sqref="L12" xr:uid="{00000000-0002-0000-0700-000005000000}">
      <formula1>$AG$2:$AG$6</formula1>
    </dataValidation>
    <dataValidation type="list" allowBlank="1" showInputMessage="1" showErrorMessage="1" sqref="L15:X15" xr:uid="{00000000-0002-0000-0700-000006000000}">
      <formula1>$AI$2:$AI$5</formula1>
    </dataValidation>
    <dataValidation type="list" allowBlank="1" showInputMessage="1" showErrorMessage="1" sqref="L14" xr:uid="{00000000-0002-0000-0700-000007000000}">
      <formula1>$AH$2:$AH$4</formula1>
    </dataValidation>
    <dataValidation type="list" allowBlank="1" showInputMessage="1" showErrorMessage="1" sqref="T19:Y22" xr:uid="{00000000-0002-0000-0700-000008000000}">
      <formula1>$AK$2:$AK$4</formula1>
    </dataValidation>
    <dataValidation type="list" allowBlank="1" showInputMessage="1" showErrorMessage="1" sqref="G39:J53" xr:uid="{00000000-0002-0000-0700-000009000000}">
      <formula1>$AJ$2:$AJ$4</formula1>
    </dataValidation>
  </dataValidations>
  <pageMargins left="0.7" right="0.7" top="0.75" bottom="0.75" header="0.3" footer="0.3"/>
  <pageSetup paperSize="9" scale="9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sheetPr>
  <dimension ref="A1:AD83"/>
  <sheetViews>
    <sheetView view="pageBreakPreview" zoomScale="70" zoomScaleNormal="100" zoomScaleSheetLayoutView="70" workbookViewId="0">
      <selection activeCell="L2" sqref="L2:P2"/>
    </sheetView>
  </sheetViews>
  <sheetFormatPr defaultColWidth="9" defaultRowHeight="13.5" outlineLevelCol="1"/>
  <cols>
    <col min="1" max="16" width="7.625" style="200" customWidth="1"/>
    <col min="17" max="17" width="53" style="200" customWidth="1"/>
    <col min="18" max="29" width="9" style="200" hidden="1" customWidth="1" outlineLevel="1"/>
    <col min="30" max="30" width="9" style="200" collapsed="1"/>
    <col min="31" max="16384" width="9" style="200"/>
  </cols>
  <sheetData>
    <row r="1" spans="1:20" ht="23.1" customHeight="1">
      <c r="A1" s="198" t="s">
        <v>912</v>
      </c>
      <c r="B1" s="199"/>
      <c r="C1" s="199"/>
      <c r="D1" s="199"/>
      <c r="E1" s="199"/>
      <c r="F1" s="199"/>
      <c r="G1" s="199"/>
      <c r="H1" s="199"/>
      <c r="I1" s="199"/>
      <c r="J1" s="199"/>
      <c r="K1" s="199"/>
      <c r="L1" s="1632" t="e">
        <f>$R$2&amp;"別紙6-1"&amp;$R$3</f>
        <v>#N/A</v>
      </c>
      <c r="M1" s="1632"/>
      <c r="N1" s="1632"/>
      <c r="O1" s="1632"/>
      <c r="P1" s="1632"/>
      <c r="R1" s="74" t="s">
        <v>475</v>
      </c>
      <c r="S1" s="201" t="s">
        <v>66</v>
      </c>
      <c r="T1" s="201" t="s">
        <v>916</v>
      </c>
    </row>
    <row r="2" spans="1:20" ht="23.1" customHeight="1">
      <c r="A2" s="199"/>
      <c r="B2" s="199"/>
      <c r="C2" s="199"/>
      <c r="D2" s="199"/>
      <c r="E2" s="199"/>
      <c r="F2" s="199"/>
      <c r="G2" s="199"/>
      <c r="H2" s="199"/>
      <c r="I2" s="199"/>
      <c r="J2" s="199"/>
      <c r="K2" s="199"/>
      <c r="L2" s="1642" t="e">
        <f>DATE(【様式１】総括表・個票!S210,【様式１】総括表・個票!X210,【様式１】総括表・個票!AA210)</f>
        <v>#NUM!</v>
      </c>
      <c r="M2" s="1642"/>
      <c r="N2" s="1642"/>
      <c r="O2" s="1642"/>
      <c r="P2" s="1642"/>
      <c r="R2" s="75" t="str">
        <f>【様式１】総括表・個票!$AI$2</f>
        <v>加-23_月申-</v>
      </c>
      <c r="S2" s="74"/>
      <c r="T2" s="201">
        <f>【様式１】総括表・個票!AJ2</f>
        <v>2023</v>
      </c>
    </row>
    <row r="3" spans="1:20" ht="23.1" customHeight="1">
      <c r="A3" s="199"/>
      <c r="B3" s="199"/>
      <c r="C3" s="199"/>
      <c r="D3" s="199"/>
      <c r="E3" s="199"/>
      <c r="F3" s="199"/>
      <c r="G3" s="199"/>
      <c r="H3" s="199"/>
      <c r="I3" s="199"/>
      <c r="J3" s="199"/>
      <c r="K3" s="199"/>
      <c r="L3" s="199"/>
      <c r="M3" s="199"/>
      <c r="N3" s="199"/>
      <c r="O3" s="199"/>
      <c r="P3" s="199"/>
      <c r="R3" s="74" t="e">
        <f>【様式１】総括表・個票!$AI$3</f>
        <v>#N/A</v>
      </c>
      <c r="S3" s="74">
        <v>4</v>
      </c>
    </row>
    <row r="4" spans="1:20" ht="23.1" customHeight="1">
      <c r="A4" s="199"/>
      <c r="B4" s="199" t="s">
        <v>936</v>
      </c>
      <c r="C4" s="199"/>
      <c r="D4" s="199"/>
      <c r="E4" s="199"/>
      <c r="F4" s="199"/>
      <c r="G4" s="199"/>
      <c r="H4" s="199"/>
      <c r="I4" s="199"/>
      <c r="J4" s="199"/>
      <c r="K4" s="199"/>
      <c r="L4" s="199"/>
      <c r="M4" s="199"/>
      <c r="N4" s="199"/>
      <c r="O4" s="199"/>
      <c r="P4" s="199"/>
      <c r="S4" s="74">
        <v>5</v>
      </c>
    </row>
    <row r="5" spans="1:20" ht="23.1" customHeight="1">
      <c r="A5" s="199"/>
      <c r="B5" s="199"/>
      <c r="C5" s="199"/>
      <c r="D5" s="199"/>
      <c r="E5" s="199"/>
      <c r="F5" s="199"/>
      <c r="G5" s="199"/>
      <c r="H5" s="199"/>
      <c r="I5" s="199"/>
      <c r="J5" s="199"/>
      <c r="K5" s="199"/>
      <c r="L5" s="199"/>
      <c r="M5" s="199"/>
      <c r="N5" s="199"/>
      <c r="O5" s="199"/>
      <c r="P5" s="199"/>
      <c r="S5" s="74">
        <v>6</v>
      </c>
    </row>
    <row r="6" spans="1:20" ht="23.1" customHeight="1">
      <c r="A6" s="199"/>
      <c r="B6" s="199"/>
      <c r="C6" s="199"/>
      <c r="D6" s="199"/>
      <c r="E6" s="199"/>
      <c r="F6" s="199"/>
      <c r="G6" s="199"/>
      <c r="H6" s="199"/>
      <c r="I6" s="1631" t="s">
        <v>597</v>
      </c>
      <c r="J6" s="199" t="s">
        <v>598</v>
      </c>
      <c r="K6" s="1634" t="str">
        <f>CONCATENATE(【様式１】総括表・個票!S6)</f>
        <v/>
      </c>
      <c r="L6" s="1634"/>
      <c r="M6" s="1634"/>
      <c r="N6" s="1634"/>
      <c r="O6" s="1634"/>
      <c r="P6" s="199"/>
      <c r="S6" s="74">
        <v>7</v>
      </c>
    </row>
    <row r="7" spans="1:20" ht="23.1" customHeight="1">
      <c r="A7" s="199"/>
      <c r="B7" s="199"/>
      <c r="C7" s="199"/>
      <c r="D7" s="199"/>
      <c r="E7" s="199"/>
      <c r="F7" s="199"/>
      <c r="G7" s="199"/>
      <c r="H7" s="199"/>
      <c r="I7" s="1631"/>
      <c r="J7" s="199" t="s">
        <v>599</v>
      </c>
      <c r="K7" s="1625" t="str">
        <f>CONCATENATE(【様式１】総括表・個票!S7)</f>
        <v/>
      </c>
      <c r="L7" s="1625"/>
      <c r="M7" s="1625"/>
      <c r="N7" s="1625"/>
      <c r="O7" s="1625"/>
      <c r="P7" s="199"/>
      <c r="S7" s="74">
        <v>8</v>
      </c>
    </row>
    <row r="8" spans="1:20" ht="23.1" customHeight="1">
      <c r="A8" s="199"/>
      <c r="B8" s="199"/>
      <c r="C8" s="199"/>
      <c r="D8" s="199"/>
      <c r="E8" s="199"/>
      <c r="F8" s="199"/>
      <c r="G8" s="199"/>
      <c r="H8" s="199"/>
      <c r="I8" s="199"/>
      <c r="J8" s="199"/>
      <c r="K8" s="199"/>
      <c r="L8" s="199"/>
      <c r="M8" s="199"/>
      <c r="N8" s="199"/>
      <c r="O8" s="786"/>
      <c r="P8" s="199"/>
      <c r="S8" s="74">
        <v>9</v>
      </c>
    </row>
    <row r="9" spans="1:20" ht="23.1" customHeight="1">
      <c r="A9" s="199"/>
      <c r="B9" s="199"/>
      <c r="C9" s="199"/>
      <c r="D9" s="199"/>
      <c r="E9" s="199"/>
      <c r="F9" s="199"/>
      <c r="G9" s="199"/>
      <c r="H9" s="199"/>
      <c r="I9" s="199"/>
      <c r="J9" s="199"/>
      <c r="K9" s="199"/>
      <c r="L9" s="199"/>
      <c r="M9" s="199"/>
      <c r="N9" s="199"/>
      <c r="O9" s="199"/>
      <c r="P9" s="199"/>
      <c r="S9" s="74">
        <v>10</v>
      </c>
    </row>
    <row r="10" spans="1:20" ht="23.1" customHeight="1">
      <c r="A10" s="199"/>
      <c r="B10" s="199"/>
      <c r="C10" s="199"/>
      <c r="D10" s="1641" t="s">
        <v>934</v>
      </c>
      <c r="E10" s="1641"/>
      <c r="F10" s="1641"/>
      <c r="G10" s="1641"/>
      <c r="H10" s="1641"/>
      <c r="I10" s="1641"/>
      <c r="J10" s="1641"/>
      <c r="K10" s="1641"/>
      <c r="L10" s="1641"/>
      <c r="M10" s="1641"/>
      <c r="N10" s="199"/>
      <c r="O10" s="199"/>
      <c r="P10" s="199"/>
      <c r="S10" s="74">
        <v>11</v>
      </c>
    </row>
    <row r="11" spans="1:20" ht="23.1" customHeight="1">
      <c r="A11" s="199"/>
      <c r="B11" s="199"/>
      <c r="C11" s="199"/>
      <c r="D11" s="199"/>
      <c r="E11" s="199"/>
      <c r="F11" s="199"/>
      <c r="G11" s="199"/>
      <c r="H11" s="199"/>
      <c r="I11" s="199"/>
      <c r="J11" s="199"/>
      <c r="K11" s="199"/>
      <c r="L11" s="199"/>
      <c r="M11" s="199"/>
      <c r="N11" s="199"/>
      <c r="O11" s="199"/>
      <c r="P11" s="199"/>
      <c r="S11" s="74">
        <v>1</v>
      </c>
    </row>
    <row r="12" spans="1:20" ht="23.1" customHeight="1">
      <c r="A12" s="1627" t="str">
        <f>"　保育の提供について、５年度間常に２・３号認定こどもの利用定員を超えており、かつ、年間平均在所率が120%以上の状態にありましたが、"&amp;【様式１】総括表・個票!AJ2&amp;"年度についてはこの状態を解消できる見込みであるため、下記のとおり申し出いたします。"</f>
        <v>　保育の提供について、５年度間常に２・３号認定こどもの利用定員を超えており、かつ、年間平均在所率が120%以上の状態にありましたが、2023年度についてはこの状態を解消できる見込みであるため、下記のとおり申し出いたします。</v>
      </c>
      <c r="B12" s="1627"/>
      <c r="C12" s="1627"/>
      <c r="D12" s="1627"/>
      <c r="E12" s="1627"/>
      <c r="F12" s="1627"/>
      <c r="G12" s="1627"/>
      <c r="H12" s="1627"/>
      <c r="I12" s="1627"/>
      <c r="J12" s="1627"/>
      <c r="K12" s="1627"/>
      <c r="L12" s="1627"/>
      <c r="M12" s="1627"/>
      <c r="N12" s="1627"/>
      <c r="O12" s="1627"/>
      <c r="P12" s="1627"/>
      <c r="S12" s="74">
        <v>2</v>
      </c>
    </row>
    <row r="13" spans="1:20" ht="23.1" customHeight="1">
      <c r="A13" s="1627"/>
      <c r="B13" s="1627"/>
      <c r="C13" s="1627"/>
      <c r="D13" s="1627"/>
      <c r="E13" s="1627"/>
      <c r="F13" s="1627"/>
      <c r="G13" s="1627"/>
      <c r="H13" s="1627"/>
      <c r="I13" s="1627"/>
      <c r="J13" s="1627"/>
      <c r="K13" s="1627"/>
      <c r="L13" s="1627"/>
      <c r="M13" s="1627"/>
      <c r="N13" s="1627"/>
      <c r="O13" s="1627"/>
      <c r="P13" s="1627"/>
      <c r="S13" s="74">
        <v>3</v>
      </c>
    </row>
    <row r="14" spans="1:20" ht="23.1" customHeight="1">
      <c r="A14" s="1627"/>
      <c r="B14" s="1627"/>
      <c r="C14" s="1627"/>
      <c r="D14" s="1627"/>
      <c r="E14" s="1627"/>
      <c r="F14" s="1627"/>
      <c r="G14" s="1627"/>
      <c r="H14" s="1627"/>
      <c r="I14" s="1627"/>
      <c r="J14" s="1627"/>
      <c r="K14" s="1627"/>
      <c r="L14" s="1627"/>
      <c r="M14" s="1627"/>
      <c r="N14" s="1627"/>
      <c r="O14" s="1627"/>
      <c r="P14" s="1627"/>
    </row>
    <row r="15" spans="1:20" ht="23.1" customHeight="1">
      <c r="A15" s="1627"/>
      <c r="B15" s="1627"/>
      <c r="C15" s="1627"/>
      <c r="D15" s="1627"/>
      <c r="E15" s="1627"/>
      <c r="F15" s="1627"/>
      <c r="G15" s="1627"/>
      <c r="H15" s="1627"/>
      <c r="I15" s="1627"/>
      <c r="J15" s="1627"/>
      <c r="K15" s="1627"/>
      <c r="L15" s="1627"/>
      <c r="M15" s="1627"/>
      <c r="N15" s="1627"/>
      <c r="O15" s="1627"/>
      <c r="P15" s="1627"/>
    </row>
    <row r="16" spans="1:20" ht="23.1" customHeight="1">
      <c r="A16" s="1644" t="s">
        <v>600</v>
      </c>
      <c r="B16" s="1644"/>
      <c r="C16" s="1644"/>
      <c r="D16" s="1644"/>
      <c r="E16" s="1644"/>
      <c r="F16" s="1644"/>
      <c r="G16" s="1644"/>
      <c r="H16" s="1644"/>
      <c r="I16" s="1644"/>
      <c r="J16" s="1644"/>
      <c r="K16" s="1644"/>
      <c r="L16" s="1644"/>
      <c r="M16" s="1644"/>
      <c r="N16" s="1644"/>
      <c r="O16" s="1644"/>
      <c r="P16" s="1644"/>
    </row>
    <row r="17" spans="1:29" ht="23.1" customHeight="1">
      <c r="A17" s="199"/>
      <c r="B17" s="199"/>
      <c r="C17" s="199"/>
      <c r="D17" s="199"/>
      <c r="E17" s="199"/>
      <c r="F17" s="199"/>
      <c r="G17" s="199"/>
      <c r="H17" s="199"/>
      <c r="I17" s="199"/>
      <c r="J17" s="199"/>
      <c r="K17" s="199"/>
      <c r="L17" s="199"/>
      <c r="M17" s="199"/>
      <c r="N17" s="199"/>
      <c r="O17" s="199"/>
      <c r="P17" s="199"/>
    </row>
    <row r="18" spans="1:29" ht="23.1" customHeight="1">
      <c r="A18" s="1628" t="s">
        <v>601</v>
      </c>
      <c r="B18" s="1628"/>
      <c r="C18" s="1628"/>
      <c r="D18" s="1628"/>
      <c r="E18" s="1628"/>
      <c r="F18" s="199"/>
      <c r="G18" s="199"/>
      <c r="H18" s="199"/>
      <c r="I18" s="199"/>
      <c r="J18" s="199"/>
      <c r="K18" s="199"/>
      <c r="L18" s="199"/>
      <c r="M18" s="199"/>
      <c r="N18" s="199"/>
      <c r="O18" s="199"/>
      <c r="P18" s="199"/>
    </row>
    <row r="19" spans="1:29" ht="23.1" customHeight="1">
      <c r="A19" s="199"/>
      <c r="B19" s="1629">
        <f>【様式１】総括表・個票!D13</f>
        <v>0</v>
      </c>
      <c r="C19" s="1629"/>
      <c r="D19" s="1629"/>
      <c r="E19" s="1629"/>
      <c r="F19" s="1629"/>
      <c r="G19" s="1629"/>
      <c r="H19" s="199"/>
      <c r="I19" s="199"/>
      <c r="J19" s="199"/>
      <c r="K19" s="199"/>
      <c r="L19" s="199"/>
      <c r="M19" s="199"/>
      <c r="N19" s="199"/>
      <c r="O19" s="199"/>
      <c r="P19" s="199"/>
    </row>
    <row r="20" spans="1:29" ht="23.1" customHeight="1">
      <c r="A20" s="199"/>
      <c r="B20" s="199"/>
      <c r="C20" s="199"/>
      <c r="D20" s="199"/>
      <c r="E20" s="199"/>
      <c r="F20" s="199"/>
      <c r="G20" s="199"/>
      <c r="H20" s="199"/>
      <c r="I20" s="199"/>
      <c r="J20" s="199"/>
      <c r="K20" s="199"/>
      <c r="L20" s="199"/>
      <c r="M20" s="199"/>
      <c r="N20" s="199"/>
      <c r="O20" s="199"/>
      <c r="P20" s="199"/>
    </row>
    <row r="21" spans="1:29" ht="23.1" customHeight="1">
      <c r="A21" s="1628" t="s">
        <v>913</v>
      </c>
      <c r="B21" s="1628"/>
      <c r="C21" s="1628"/>
      <c r="D21" s="1628"/>
      <c r="E21" s="1628"/>
      <c r="F21" s="199"/>
      <c r="G21" s="199"/>
      <c r="H21" s="199"/>
      <c r="I21" s="199"/>
      <c r="J21" s="199"/>
      <c r="K21" s="199"/>
      <c r="L21" s="199"/>
      <c r="M21" s="199"/>
      <c r="N21" s="199"/>
      <c r="O21" s="199"/>
      <c r="P21" s="199"/>
    </row>
    <row r="22" spans="1:29" ht="23.1" customHeight="1">
      <c r="A22" s="199"/>
      <c r="B22" s="1630" t="str">
        <f>CONCATENATE(【様式１】総括表・個票!S211)</f>
        <v/>
      </c>
      <c r="C22" s="1630"/>
      <c r="D22" s="1630"/>
      <c r="E22" s="1630"/>
      <c r="F22" s="1630"/>
      <c r="G22" s="1630"/>
      <c r="H22" s="199"/>
      <c r="I22" s="199"/>
      <c r="J22" s="199"/>
      <c r="K22" s="199"/>
      <c r="L22" s="199"/>
      <c r="M22" s="199"/>
      <c r="N22" s="199"/>
      <c r="O22" s="199"/>
      <c r="P22" s="199"/>
    </row>
    <row r="23" spans="1:29" ht="23.1" customHeight="1">
      <c r="A23" s="199"/>
      <c r="B23" s="199"/>
      <c r="C23" s="199"/>
      <c r="D23" s="199"/>
      <c r="E23" s="199"/>
      <c r="F23" s="199"/>
      <c r="G23" s="199"/>
      <c r="H23" s="199"/>
      <c r="I23" s="199"/>
      <c r="J23" s="199"/>
      <c r="K23" s="199"/>
      <c r="L23" s="199"/>
      <c r="M23" s="199"/>
      <c r="N23" s="199"/>
      <c r="O23" s="199"/>
      <c r="P23" s="199"/>
      <c r="R23" s="784" t="str">
        <f>IF(COUNTIF(B22,"*定員*")=1,"○","")</f>
        <v/>
      </c>
    </row>
    <row r="24" spans="1:29" ht="23.1" customHeight="1">
      <c r="A24" s="199"/>
      <c r="B24" s="199" t="s">
        <v>603</v>
      </c>
      <c r="C24" s="199"/>
      <c r="D24" s="199"/>
      <c r="E24" s="199"/>
      <c r="F24" s="199"/>
      <c r="G24" s="199"/>
      <c r="H24" s="199"/>
      <c r="I24" s="199"/>
      <c r="J24" s="199"/>
      <c r="K24" s="199"/>
      <c r="L24" s="199"/>
      <c r="M24" s="199"/>
      <c r="N24" s="199"/>
      <c r="O24" s="199"/>
      <c r="P24" s="199"/>
    </row>
    <row r="25" spans="1:29" ht="23.1" customHeight="1">
      <c r="A25" s="199"/>
      <c r="B25" s="1631" t="str">
        <f>IF($R$23="○","見直し前","定員")</f>
        <v>定員</v>
      </c>
      <c r="C25" s="1631"/>
      <c r="D25" s="1625">
        <f>SUM(【様式１】総括表・個票!R15)</f>
        <v>0</v>
      </c>
      <c r="E25" s="1625"/>
      <c r="F25" s="199" t="s">
        <v>583</v>
      </c>
      <c r="G25" s="199"/>
      <c r="H25" s="199"/>
      <c r="I25" s="199"/>
      <c r="J25" s="199"/>
      <c r="K25" s="199"/>
      <c r="L25" s="199"/>
      <c r="M25" s="199"/>
      <c r="N25" s="199"/>
      <c r="O25" s="199"/>
      <c r="P25" s="199"/>
    </row>
    <row r="26" spans="1:29" ht="23.1" customHeight="1">
      <c r="A26" s="199"/>
      <c r="B26" s="1631" t="str">
        <f>IF($R$23="○","見直し後","")</f>
        <v/>
      </c>
      <c r="C26" s="1631"/>
      <c r="D26" s="1639"/>
      <c r="E26" s="1639"/>
      <c r="F26" s="199" t="str">
        <f>IF($R$23="○","人","")</f>
        <v/>
      </c>
      <c r="G26" s="1631" t="str">
        <f>IF($R$23="○","（見直した月","")</f>
        <v/>
      </c>
      <c r="H26" s="1631"/>
      <c r="I26" s="1631"/>
      <c r="J26" s="1643"/>
      <c r="K26" s="1643"/>
      <c r="L26" s="199" t="str">
        <f>IF($R$23="○","月）","")</f>
        <v/>
      </c>
      <c r="M26" s="199"/>
      <c r="N26" s="199"/>
      <c r="O26" s="199"/>
      <c r="P26" s="199"/>
      <c r="R26" s="201">
        <f>D25</f>
        <v>0</v>
      </c>
    </row>
    <row r="27" spans="1:29" ht="23.1" customHeight="1">
      <c r="A27" s="199"/>
      <c r="B27" s="199"/>
      <c r="C27" s="199"/>
      <c r="D27" s="199"/>
      <c r="E27" s="199"/>
      <c r="F27" s="199"/>
      <c r="G27" s="199"/>
      <c r="H27" s="199"/>
      <c r="I27" s="199"/>
      <c r="J27" s="199"/>
      <c r="K27" s="199"/>
      <c r="L27" s="199"/>
      <c r="M27" s="199"/>
      <c r="N27" s="199"/>
      <c r="O27" s="199"/>
      <c r="P27" s="199"/>
      <c r="R27" s="201">
        <f>IF(D26="",R26,D26)</f>
        <v>0</v>
      </c>
      <c r="S27" s="202">
        <f>IF(OR(J26="",J26=0),12,IF(J26&gt;=4,J26-3,J26+9))</f>
        <v>12</v>
      </c>
    </row>
    <row r="28" spans="1:29" ht="23.1" customHeight="1">
      <c r="A28" s="199"/>
      <c r="B28" s="199" t="s">
        <v>604</v>
      </c>
      <c r="C28" s="199"/>
      <c r="D28" s="199"/>
      <c r="E28" s="199"/>
      <c r="F28" s="199"/>
      <c r="G28" s="199"/>
      <c r="H28" s="199"/>
      <c r="I28" s="199"/>
      <c r="J28" s="199"/>
      <c r="K28" s="199"/>
      <c r="L28" s="199"/>
      <c r="M28" s="199"/>
      <c r="N28" s="199"/>
      <c r="O28" s="199"/>
      <c r="P28" s="199"/>
    </row>
    <row r="29" spans="1:29" ht="23.1" customHeight="1">
      <c r="A29" s="199"/>
      <c r="B29" s="199" t="s">
        <v>931</v>
      </c>
      <c r="C29" s="199"/>
      <c r="D29" s="199"/>
      <c r="E29" s="199"/>
      <c r="F29" s="199"/>
      <c r="G29" s="199"/>
      <c r="H29" s="199"/>
      <c r="I29" s="199"/>
      <c r="J29" s="199"/>
      <c r="K29" s="199"/>
      <c r="L29" s="199"/>
      <c r="M29" s="199"/>
      <c r="N29" s="199"/>
      <c r="O29" s="199"/>
      <c r="P29" s="199"/>
    </row>
    <row r="30" spans="1:29" ht="23.1" customHeight="1" thickBot="1">
      <c r="A30" s="199"/>
      <c r="B30" s="199" t="s">
        <v>914</v>
      </c>
      <c r="C30" s="199"/>
      <c r="D30" s="199"/>
      <c r="E30" s="199"/>
      <c r="F30" s="199"/>
      <c r="G30" s="199"/>
      <c r="H30" s="199"/>
      <c r="I30" s="199"/>
      <c r="J30" s="199"/>
      <c r="K30" s="199"/>
      <c r="L30" s="199"/>
      <c r="M30" s="199"/>
      <c r="N30" s="199"/>
      <c r="O30" s="199"/>
      <c r="P30" s="199"/>
    </row>
    <row r="31" spans="1:29" ht="23.1" customHeight="1">
      <c r="A31" s="199"/>
      <c r="B31" s="1618" t="s">
        <v>5</v>
      </c>
      <c r="C31" s="1618"/>
      <c r="D31" s="203" t="s">
        <v>36</v>
      </c>
      <c r="E31" s="204" t="s">
        <v>37</v>
      </c>
      <c r="F31" s="204" t="s">
        <v>38</v>
      </c>
      <c r="G31" s="204" t="s">
        <v>39</v>
      </c>
      <c r="H31" s="204" t="s">
        <v>40</v>
      </c>
      <c r="I31" s="204" t="s">
        <v>41</v>
      </c>
      <c r="J31" s="204" t="s">
        <v>42</v>
      </c>
      <c r="K31" s="204" t="s">
        <v>43</v>
      </c>
      <c r="L31" s="204" t="s">
        <v>44</v>
      </c>
      <c r="M31" s="204" t="s">
        <v>45</v>
      </c>
      <c r="N31" s="204" t="s">
        <v>46</v>
      </c>
      <c r="O31" s="205" t="s">
        <v>47</v>
      </c>
      <c r="P31" s="206" t="s">
        <v>14</v>
      </c>
      <c r="R31" s="785" t="s">
        <v>36</v>
      </c>
      <c r="S31" s="785" t="s">
        <v>37</v>
      </c>
      <c r="T31" s="785" t="s">
        <v>38</v>
      </c>
      <c r="U31" s="785" t="s">
        <v>39</v>
      </c>
      <c r="V31" s="785" t="s">
        <v>40</v>
      </c>
      <c r="W31" s="785" t="s">
        <v>41</v>
      </c>
      <c r="X31" s="785" t="s">
        <v>42</v>
      </c>
      <c r="Y31" s="785" t="s">
        <v>43</v>
      </c>
      <c r="Z31" s="785" t="s">
        <v>44</v>
      </c>
      <c r="AA31" s="785" t="s">
        <v>45</v>
      </c>
      <c r="AB31" s="785" t="s">
        <v>46</v>
      </c>
      <c r="AC31" s="785" t="s">
        <v>47</v>
      </c>
    </row>
    <row r="32" spans="1:29" ht="23.1" customHeight="1">
      <c r="A32" s="199"/>
      <c r="B32" s="1619" t="s">
        <v>605</v>
      </c>
      <c r="C32" s="1619"/>
      <c r="D32" s="207">
        <f>IF($S$27&gt;R32,$R$26,$R$27)</f>
        <v>0</v>
      </c>
      <c r="E32" s="208">
        <f t="shared" ref="E32:O32" si="0">IF($S$27&gt;S32,$R$26,$R$27)</f>
        <v>0</v>
      </c>
      <c r="F32" s="208">
        <f t="shared" si="0"/>
        <v>0</v>
      </c>
      <c r="G32" s="208">
        <f t="shared" si="0"/>
        <v>0</v>
      </c>
      <c r="H32" s="208">
        <f t="shared" si="0"/>
        <v>0</v>
      </c>
      <c r="I32" s="208">
        <f t="shared" si="0"/>
        <v>0</v>
      </c>
      <c r="J32" s="208">
        <f t="shared" si="0"/>
        <v>0</v>
      </c>
      <c r="K32" s="208">
        <f t="shared" si="0"/>
        <v>0</v>
      </c>
      <c r="L32" s="208">
        <f t="shared" si="0"/>
        <v>0</v>
      </c>
      <c r="M32" s="208">
        <f t="shared" si="0"/>
        <v>0</v>
      </c>
      <c r="N32" s="208">
        <f t="shared" si="0"/>
        <v>0</v>
      </c>
      <c r="O32" s="209">
        <f t="shared" si="0"/>
        <v>0</v>
      </c>
      <c r="P32" s="210">
        <f>SUM(D32:O32)</f>
        <v>0</v>
      </c>
      <c r="R32" s="201">
        <v>1</v>
      </c>
      <c r="S32" s="201">
        <v>2</v>
      </c>
      <c r="T32" s="201">
        <v>3</v>
      </c>
      <c r="U32" s="201">
        <v>4</v>
      </c>
      <c r="V32" s="201">
        <v>5</v>
      </c>
      <c r="W32" s="201">
        <v>6</v>
      </c>
      <c r="X32" s="201">
        <v>7</v>
      </c>
      <c r="Y32" s="201">
        <v>8</v>
      </c>
      <c r="Z32" s="201">
        <v>9</v>
      </c>
      <c r="AA32" s="201">
        <v>10</v>
      </c>
      <c r="AB32" s="201">
        <v>11</v>
      </c>
      <c r="AC32" s="201">
        <v>12</v>
      </c>
    </row>
    <row r="33" spans="1:29" ht="23.1" customHeight="1">
      <c r="A33" s="199"/>
      <c r="B33" s="1620" t="s">
        <v>606</v>
      </c>
      <c r="C33" s="1620"/>
      <c r="D33" s="211"/>
      <c r="E33" s="212"/>
      <c r="F33" s="212"/>
      <c r="G33" s="212"/>
      <c r="H33" s="212"/>
      <c r="I33" s="212"/>
      <c r="J33" s="212"/>
      <c r="K33" s="212"/>
      <c r="L33" s="212"/>
      <c r="M33" s="212"/>
      <c r="N33" s="212"/>
      <c r="O33" s="213"/>
      <c r="P33" s="214">
        <f>SUM(D33:O33)</f>
        <v>0</v>
      </c>
      <c r="R33" s="201" t="e">
        <f>ROUNDDOWN(SUM(D33:F33)/SUM(D32:F32),2)</f>
        <v>#DIV/0!</v>
      </c>
      <c r="S33" s="201" t="e">
        <f t="shared" ref="S33:Z33" si="1">ROUNDDOWN(SUM(E33:G33)/SUM(E32:G32),2)</f>
        <v>#DIV/0!</v>
      </c>
      <c r="T33" s="201" t="e">
        <f t="shared" si="1"/>
        <v>#DIV/0!</v>
      </c>
      <c r="U33" s="201" t="e">
        <f t="shared" si="1"/>
        <v>#DIV/0!</v>
      </c>
      <c r="V33" s="201" t="e">
        <f t="shared" si="1"/>
        <v>#DIV/0!</v>
      </c>
      <c r="W33" s="201" t="e">
        <f>ROUNDDOWN(SUM(I33:K33)/SUM(I32:K32),2)</f>
        <v>#DIV/0!</v>
      </c>
      <c r="X33" s="201" t="e">
        <f t="shared" si="1"/>
        <v>#DIV/0!</v>
      </c>
      <c r="Y33" s="201" t="e">
        <f t="shared" si="1"/>
        <v>#DIV/0!</v>
      </c>
      <c r="Z33" s="201" t="e">
        <f t="shared" si="1"/>
        <v>#DIV/0!</v>
      </c>
      <c r="AA33" s="201" t="e">
        <f>ROUNDDOWN(SUM(M33:O33)/SUM(M32:O32),2)</f>
        <v>#DIV/0!</v>
      </c>
      <c r="AB33" s="201" t="e">
        <f>ROUNDDOWN(SUM(N33:O33)/SUM(N32:O32),2)</f>
        <v>#DIV/0!</v>
      </c>
      <c r="AC33" s="201" t="e">
        <f>ROUNDDOWN(SUM(O33:O33)/SUM(O32:O32),2)</f>
        <v>#DIV/0!</v>
      </c>
    </row>
    <row r="34" spans="1:29" ht="23.1" customHeight="1" thickBot="1">
      <c r="A34" s="199"/>
      <c r="B34" s="1620" t="s">
        <v>607</v>
      </c>
      <c r="C34" s="1620"/>
      <c r="D34" s="215" t="str">
        <f>IF(D33="","未入力",IF(D33&gt;D32,"○","×"))</f>
        <v>未入力</v>
      </c>
      <c r="E34" s="216" t="str">
        <f t="shared" ref="E34:O34" si="2">IF(E33="","未入力",IF(E33&gt;E32,"○","×"))</f>
        <v>未入力</v>
      </c>
      <c r="F34" s="217" t="str">
        <f t="shared" si="2"/>
        <v>未入力</v>
      </c>
      <c r="G34" s="217" t="str">
        <f t="shared" si="2"/>
        <v>未入力</v>
      </c>
      <c r="H34" s="217" t="str">
        <f t="shared" si="2"/>
        <v>未入力</v>
      </c>
      <c r="I34" s="217" t="str">
        <f t="shared" si="2"/>
        <v>未入力</v>
      </c>
      <c r="J34" s="217" t="str">
        <f t="shared" si="2"/>
        <v>未入力</v>
      </c>
      <c r="K34" s="217" t="str">
        <f t="shared" si="2"/>
        <v>未入力</v>
      </c>
      <c r="L34" s="217" t="str">
        <f t="shared" si="2"/>
        <v>未入力</v>
      </c>
      <c r="M34" s="217" t="str">
        <f t="shared" si="2"/>
        <v>未入力</v>
      </c>
      <c r="N34" s="217" t="str">
        <f t="shared" si="2"/>
        <v>未入力</v>
      </c>
      <c r="O34" s="218" t="str">
        <f t="shared" si="2"/>
        <v>未入力</v>
      </c>
      <c r="P34" s="219" t="e">
        <f>SUM(R35:AC35)</f>
        <v>#DIV/0!</v>
      </c>
      <c r="R34" s="1616" t="s">
        <v>73</v>
      </c>
      <c r="S34" s="1616"/>
      <c r="T34" s="1616"/>
      <c r="U34" s="1616"/>
      <c r="V34" s="1616"/>
      <c r="W34" s="1616"/>
      <c r="X34" s="1616"/>
      <c r="Y34" s="1616"/>
      <c r="Z34" s="1616"/>
      <c r="AA34" s="1616"/>
      <c r="AB34" s="1616"/>
      <c r="AC34" s="1616"/>
    </row>
    <row r="35" spans="1:29" ht="23.1" customHeight="1" thickBot="1">
      <c r="A35" s="199"/>
      <c r="B35" s="1621" t="s">
        <v>608</v>
      </c>
      <c r="C35" s="1622"/>
      <c r="D35" s="1623" t="e">
        <f>ROUNDDOWN(P33/P32,2)</f>
        <v>#DIV/0!</v>
      </c>
      <c r="E35" s="1624"/>
      <c r="F35" s="220" t="e">
        <f>IF(D35&gt;=1.2,"➡不適切な申出です","")</f>
        <v>#DIV/0!</v>
      </c>
      <c r="G35" s="199"/>
      <c r="H35" s="199"/>
      <c r="I35" s="199"/>
      <c r="J35" s="1635" t="str">
        <f>J26&amp;"月から"&amp;IF(J26=2,2,IF(J26=3,1,3))&amp;"か月間の平均在所率"</f>
        <v>月から3か月間の平均在所率</v>
      </c>
      <c r="K35" s="1636"/>
      <c r="L35" s="1623" t="e">
        <f>IFERROR(HLOOKUP($S$27,$R$32:$AC$33,2,FALSE),R33)</f>
        <v>#DIV/0!</v>
      </c>
      <c r="M35" s="1624"/>
      <c r="N35" s="1637" t="e">
        <f>IF(AND(T2&gt;=2022,L35&gt;=1.15),"➡不適切な申出です","")</f>
        <v>#DIV/0!</v>
      </c>
      <c r="O35" s="1638"/>
      <c r="P35" s="1638"/>
      <c r="R35" s="784" t="e">
        <f>IF($D$35&gt;=1.2,IF(COUNTIF($D34:D34,"○")=R32,1,0),0)</f>
        <v>#DIV/0!</v>
      </c>
      <c r="S35" s="784" t="e">
        <f>IF($D$35&gt;=1.2,IF(COUNTIF($D34:E34,"○")=S32,1,0),0)</f>
        <v>#DIV/0!</v>
      </c>
      <c r="T35" s="784" t="e">
        <f>IF($D$35&gt;=1.2,IF(COUNTIF($D34:F34,"○")=T32,1,0),0)</f>
        <v>#DIV/0!</v>
      </c>
      <c r="U35" s="784" t="e">
        <f>IF($D$35&gt;=1.2,IF(COUNTIF($D34:G34,"○")=U32,1,0),0)</f>
        <v>#DIV/0!</v>
      </c>
      <c r="V35" s="784" t="e">
        <f>IF($D$35&gt;=1.2,IF(COUNTIF($D34:H34,"○")=V32,1,0),0)</f>
        <v>#DIV/0!</v>
      </c>
      <c r="W35" s="784" t="e">
        <f>IF($D$35&gt;=1.2,IF(COUNTIF($D34:I34,"○")=W32,1,0),0)</f>
        <v>#DIV/0!</v>
      </c>
      <c r="X35" s="784" t="e">
        <f>IF($D$35&gt;=1.2,IF(COUNTIF($D34:J34,"○")=X32,1,0),0)</f>
        <v>#DIV/0!</v>
      </c>
      <c r="Y35" s="784" t="e">
        <f>IF($D$35&gt;=1.2,IF(COUNTIF($D34:K34,"○")=Y32,1,0),0)</f>
        <v>#DIV/0!</v>
      </c>
      <c r="Z35" s="784" t="e">
        <f>IF($D$35&gt;=1.2,IF(COUNTIF($D34:L34,"○")=Z32,1,0),0)</f>
        <v>#DIV/0!</v>
      </c>
      <c r="AA35" s="784" t="e">
        <f>IF($D$35&gt;=1.2,IF(COUNTIF($D34:M34,"○")=AA32,1,0),0)</f>
        <v>#DIV/0!</v>
      </c>
      <c r="AB35" s="784" t="e">
        <f>IF($D$35&gt;=1.2,IF(COUNTIF($D34:N34,"○")=AB32,1,0),0)</f>
        <v>#DIV/0!</v>
      </c>
      <c r="AC35" s="784" t="e">
        <f>IF($D$35&gt;=1.2,IF(COUNTIF($D34:O34,"○")=AC32,1,0),0)</f>
        <v>#DIV/0!</v>
      </c>
    </row>
    <row r="36" spans="1:29" ht="23.1" customHeight="1">
      <c r="A36" s="199"/>
      <c r="B36" s="199"/>
      <c r="C36" s="199"/>
      <c r="D36" s="199"/>
      <c r="E36" s="199"/>
      <c r="F36" s="199"/>
      <c r="G36" s="199"/>
      <c r="H36" s="199"/>
      <c r="I36" s="199"/>
      <c r="J36" s="199"/>
      <c r="K36" s="199"/>
      <c r="L36" s="199"/>
      <c r="M36" s="199"/>
      <c r="N36" s="199"/>
      <c r="O36" s="199"/>
      <c r="P36" s="199"/>
    </row>
    <row r="37" spans="1:29" ht="23.1" customHeight="1">
      <c r="A37" s="199"/>
      <c r="B37" s="1640" t="s">
        <v>915</v>
      </c>
      <c r="C37" s="1640"/>
      <c r="D37" s="1640" t="str">
        <f>IFERROR(IF(OR(D35&gt;=1.2,AND(T2&gt;=2022,L35&gt;=1.15),COUNTIF(D34:O34,"未入力")&gt;=1),"×","○"),"×")</f>
        <v>×</v>
      </c>
      <c r="E37" s="1640"/>
      <c r="F37" s="199"/>
      <c r="G37" s="199"/>
      <c r="H37" s="199"/>
      <c r="I37" s="199"/>
      <c r="J37" s="199"/>
      <c r="K37" s="199"/>
      <c r="L37" s="199"/>
      <c r="M37" s="199"/>
      <c r="N37" s="199"/>
      <c r="O37" s="199"/>
      <c r="P37" s="199"/>
    </row>
    <row r="38" spans="1:29" ht="23.1" customHeight="1">
      <c r="A38" s="199"/>
      <c r="B38" s="199"/>
      <c r="C38" s="199"/>
      <c r="D38" s="199"/>
      <c r="E38" s="199"/>
      <c r="F38" s="199"/>
      <c r="G38" s="199"/>
      <c r="H38" s="199"/>
      <c r="I38" s="199"/>
      <c r="J38" s="199"/>
      <c r="K38" s="199"/>
      <c r="L38" s="199"/>
      <c r="M38" s="199"/>
      <c r="N38" s="199"/>
      <c r="O38" s="199"/>
      <c r="P38" s="199"/>
    </row>
    <row r="39" spans="1:29" ht="23.1" customHeight="1">
      <c r="A39" s="199"/>
      <c r="B39" s="199"/>
      <c r="C39" s="199"/>
      <c r="D39" s="199"/>
      <c r="E39" s="199"/>
      <c r="F39" s="199"/>
      <c r="G39" s="199"/>
      <c r="H39" s="199"/>
      <c r="I39" s="199"/>
      <c r="J39" s="199"/>
      <c r="K39" s="199"/>
      <c r="L39" s="199"/>
      <c r="M39" s="199"/>
      <c r="N39" s="199"/>
      <c r="O39" s="199"/>
      <c r="P39" s="199"/>
    </row>
    <row r="40" spans="1:29" ht="23.1" customHeight="1">
      <c r="A40" s="199"/>
      <c r="B40" s="199"/>
      <c r="C40" s="199"/>
      <c r="D40" s="199"/>
      <c r="E40" s="199"/>
      <c r="F40" s="199"/>
      <c r="G40" s="199"/>
      <c r="H40" s="199"/>
      <c r="I40" s="199"/>
      <c r="J40" s="199"/>
      <c r="K40" s="199"/>
      <c r="L40" s="199"/>
      <c r="M40" s="199"/>
      <c r="N40" s="199"/>
      <c r="O40" s="199"/>
      <c r="P40" s="199"/>
    </row>
    <row r="41" spans="1:29" ht="23.1" customHeight="1">
      <c r="A41" s="199"/>
      <c r="B41" s="199"/>
      <c r="C41" s="199"/>
      <c r="D41" s="199"/>
      <c r="E41" s="199"/>
      <c r="F41" s="199"/>
      <c r="G41" s="199"/>
      <c r="H41" s="199"/>
      <c r="I41" s="199"/>
      <c r="J41" s="199"/>
      <c r="K41" s="199"/>
      <c r="L41" s="199"/>
      <c r="M41" s="199"/>
      <c r="N41" s="199"/>
      <c r="O41" s="199"/>
      <c r="P41" s="199"/>
    </row>
    <row r="42" spans="1:29" ht="23.1" customHeight="1">
      <c r="A42" s="199"/>
      <c r="B42" s="199"/>
      <c r="C42" s="199"/>
      <c r="D42" s="199"/>
      <c r="E42" s="199"/>
      <c r="F42" s="199"/>
      <c r="G42" s="199"/>
      <c r="H42" s="199"/>
      <c r="I42" s="199"/>
      <c r="J42" s="199"/>
      <c r="K42" s="199"/>
      <c r="L42" s="199"/>
      <c r="M42" s="199"/>
      <c r="N42" s="199"/>
      <c r="O42" s="199"/>
      <c r="P42" s="199"/>
    </row>
    <row r="43" spans="1:29" ht="23.1" customHeight="1">
      <c r="A43" s="198" t="s">
        <v>609</v>
      </c>
      <c r="B43" s="221"/>
      <c r="C43" s="221"/>
      <c r="D43" s="221"/>
      <c r="E43" s="221"/>
      <c r="F43" s="221"/>
      <c r="G43" s="221"/>
      <c r="H43" s="221"/>
      <c r="I43" s="221"/>
      <c r="J43" s="221"/>
      <c r="K43" s="221"/>
      <c r="L43" s="1632" t="e">
        <f>$R$2&amp;"別紙6-2"&amp;$R$3</f>
        <v>#N/A</v>
      </c>
      <c r="M43" s="1632"/>
      <c r="N43" s="1632"/>
      <c r="O43" s="1632"/>
      <c r="P43" s="1632"/>
    </row>
    <row r="44" spans="1:29" ht="23.1" customHeight="1">
      <c r="A44" s="199"/>
      <c r="B44" s="199"/>
      <c r="C44" s="199"/>
      <c r="D44" s="199"/>
      <c r="E44" s="199"/>
      <c r="F44" s="199"/>
      <c r="G44" s="199"/>
      <c r="H44" s="199"/>
      <c r="I44" s="199"/>
      <c r="J44" s="199"/>
      <c r="K44" s="199"/>
      <c r="L44" s="1633">
        <f>DATE(【様式１】総括表・個票!AJ2+1,3,1)</f>
        <v>45352</v>
      </c>
      <c r="M44" s="1633"/>
      <c r="N44" s="1633"/>
      <c r="O44" s="1633"/>
      <c r="P44" s="1633"/>
    </row>
    <row r="45" spans="1:29" ht="23.1" customHeight="1">
      <c r="A45" s="199"/>
      <c r="B45" s="199"/>
      <c r="C45" s="199"/>
      <c r="D45" s="199"/>
      <c r="E45" s="199"/>
      <c r="F45" s="199"/>
      <c r="G45" s="199"/>
      <c r="H45" s="199"/>
      <c r="I45" s="199"/>
      <c r="J45" s="199"/>
      <c r="K45" s="199"/>
      <c r="L45" s="787"/>
      <c r="M45" s="787"/>
      <c r="N45" s="787"/>
      <c r="O45" s="787"/>
      <c r="P45" s="787"/>
    </row>
    <row r="46" spans="1:29" ht="23.1" customHeight="1">
      <c r="A46" s="199"/>
      <c r="B46" s="199" t="s">
        <v>936</v>
      </c>
      <c r="C46" s="199"/>
      <c r="D46" s="199"/>
      <c r="E46" s="199"/>
      <c r="F46" s="199"/>
      <c r="G46" s="199"/>
      <c r="H46" s="199"/>
      <c r="I46" s="199"/>
      <c r="J46" s="199"/>
      <c r="K46" s="199"/>
      <c r="L46" s="199"/>
      <c r="M46" s="199"/>
      <c r="N46" s="199"/>
      <c r="O46" s="199"/>
      <c r="P46" s="199"/>
    </row>
    <row r="47" spans="1:29" ht="23.1" customHeight="1">
      <c r="A47" s="199"/>
      <c r="B47" s="199"/>
      <c r="C47" s="199"/>
      <c r="D47" s="199"/>
      <c r="E47" s="199"/>
      <c r="F47" s="199"/>
      <c r="G47" s="199"/>
      <c r="H47" s="199"/>
      <c r="I47" s="199"/>
      <c r="J47" s="199"/>
      <c r="K47" s="199"/>
      <c r="L47" s="199"/>
      <c r="M47" s="199"/>
      <c r="N47" s="199"/>
      <c r="O47" s="199"/>
      <c r="P47" s="199"/>
    </row>
    <row r="48" spans="1:29" ht="23.1" customHeight="1">
      <c r="A48" s="199"/>
      <c r="B48" s="199"/>
      <c r="C48" s="199"/>
      <c r="D48" s="199"/>
      <c r="E48" s="199"/>
      <c r="F48" s="199"/>
      <c r="G48" s="199"/>
      <c r="H48" s="199"/>
      <c r="I48" s="1631" t="s">
        <v>597</v>
      </c>
      <c r="J48" s="199" t="s">
        <v>598</v>
      </c>
      <c r="K48" s="1634" t="str">
        <f>CONCATENATE(【様式１】総括表・個票!S6)</f>
        <v/>
      </c>
      <c r="L48" s="1634"/>
      <c r="M48" s="1634"/>
      <c r="N48" s="1634"/>
      <c r="O48" s="1634"/>
      <c r="P48" s="199"/>
    </row>
    <row r="49" spans="1:16" ht="23.1" customHeight="1">
      <c r="A49" s="199"/>
      <c r="B49" s="199"/>
      <c r="C49" s="199"/>
      <c r="D49" s="199"/>
      <c r="E49" s="199"/>
      <c r="F49" s="199"/>
      <c r="G49" s="199"/>
      <c r="H49" s="199"/>
      <c r="I49" s="1631"/>
      <c r="J49" s="199" t="s">
        <v>599</v>
      </c>
      <c r="K49" s="1625" t="str">
        <f>CONCATENATE(【様式１】総括表・個票!S7)</f>
        <v/>
      </c>
      <c r="L49" s="1625"/>
      <c r="M49" s="1625"/>
      <c r="N49" s="1625"/>
      <c r="O49" s="1625"/>
      <c r="P49" s="199"/>
    </row>
    <row r="50" spans="1:16" ht="23.1" customHeight="1">
      <c r="A50" s="199"/>
      <c r="B50" s="199"/>
      <c r="C50" s="199"/>
      <c r="D50" s="199"/>
      <c r="E50" s="199"/>
      <c r="F50" s="199"/>
      <c r="G50" s="199"/>
      <c r="H50" s="199"/>
      <c r="I50" s="199"/>
      <c r="J50" s="199"/>
      <c r="K50" s="199"/>
      <c r="L50" s="199"/>
      <c r="M50" s="199"/>
      <c r="N50" s="199"/>
      <c r="O50" s="786"/>
      <c r="P50" s="199"/>
    </row>
    <row r="51" spans="1:16" ht="23.1" customHeight="1">
      <c r="A51" s="199"/>
      <c r="B51" s="199"/>
      <c r="C51" s="199"/>
      <c r="D51" s="199"/>
      <c r="E51" s="199"/>
      <c r="F51" s="199"/>
      <c r="G51" s="199"/>
      <c r="H51" s="199"/>
      <c r="I51" s="199"/>
      <c r="J51" s="199"/>
      <c r="K51" s="199"/>
      <c r="L51" s="199"/>
      <c r="M51" s="199"/>
      <c r="N51" s="199"/>
      <c r="O51" s="199"/>
      <c r="P51" s="199"/>
    </row>
    <row r="52" spans="1:16" ht="23.1" customHeight="1">
      <c r="A52" s="199"/>
      <c r="B52" s="199"/>
      <c r="C52" s="199"/>
      <c r="D52" s="1626" t="s">
        <v>935</v>
      </c>
      <c r="E52" s="1626"/>
      <c r="F52" s="1626"/>
      <c r="G52" s="1626"/>
      <c r="H52" s="1626"/>
      <c r="I52" s="1626"/>
      <c r="J52" s="1626"/>
      <c r="K52" s="1626"/>
      <c r="L52" s="1626"/>
      <c r="M52" s="1626"/>
      <c r="N52" s="199"/>
      <c r="O52" s="199"/>
      <c r="P52" s="199"/>
    </row>
    <row r="53" spans="1:16" ht="23.1" customHeight="1">
      <c r="A53" s="199"/>
      <c r="B53" s="199"/>
      <c r="C53" s="199"/>
      <c r="D53" s="199"/>
      <c r="E53" s="199"/>
      <c r="F53" s="199"/>
      <c r="G53" s="199"/>
      <c r="H53" s="199"/>
      <c r="I53" s="199"/>
      <c r="J53" s="199"/>
      <c r="K53" s="199"/>
      <c r="L53" s="199"/>
      <c r="M53" s="199"/>
      <c r="N53" s="199"/>
      <c r="O53" s="199"/>
      <c r="P53" s="199"/>
    </row>
    <row r="54" spans="1:16" ht="23.1" customHeight="1">
      <c r="A54" s="1627" t="str">
        <f>"　保育の提供について、５年度間常に２・３号認定こどもの利用定員を超えており、かつ、年間平均在所率が120%以上の状態にありましたが、"&amp;【様式１】総括表・個票!AJ2&amp;"年度の実績について下記のとおりとなっておりますので報告いたします。"</f>
        <v>　保育の提供について、５年度間常に２・３号認定こどもの利用定員を超えており、かつ、年間平均在所率が120%以上の状態にありましたが、2023年度の実績について下記のとおりとなっておりますので報告いたします。</v>
      </c>
      <c r="B54" s="1627"/>
      <c r="C54" s="1627"/>
      <c r="D54" s="1627"/>
      <c r="E54" s="1627"/>
      <c r="F54" s="1627"/>
      <c r="G54" s="1627"/>
      <c r="H54" s="1627"/>
      <c r="I54" s="1627"/>
      <c r="J54" s="1627"/>
      <c r="K54" s="1627"/>
      <c r="L54" s="1627"/>
      <c r="M54" s="1627"/>
      <c r="N54" s="1627"/>
      <c r="O54" s="1627"/>
      <c r="P54" s="1627"/>
    </row>
    <row r="55" spans="1:16" ht="23.1" customHeight="1">
      <c r="A55" s="1627"/>
      <c r="B55" s="1627"/>
      <c r="C55" s="1627"/>
      <c r="D55" s="1627"/>
      <c r="E55" s="1627"/>
      <c r="F55" s="1627"/>
      <c r="G55" s="1627"/>
      <c r="H55" s="1627"/>
      <c r="I55" s="1627"/>
      <c r="J55" s="1627"/>
      <c r="K55" s="1627"/>
      <c r="L55" s="1627"/>
      <c r="M55" s="1627"/>
      <c r="N55" s="1627"/>
      <c r="O55" s="1627"/>
      <c r="P55" s="1627"/>
    </row>
    <row r="56" spans="1:16" ht="23.1" customHeight="1">
      <c r="A56" s="1627"/>
      <c r="B56" s="1627"/>
      <c r="C56" s="1627"/>
      <c r="D56" s="1627"/>
      <c r="E56" s="1627"/>
      <c r="F56" s="1627"/>
      <c r="G56" s="1627"/>
      <c r="H56" s="1627"/>
      <c r="I56" s="1627"/>
      <c r="J56" s="1627"/>
      <c r="K56" s="1627"/>
      <c r="L56" s="1627"/>
      <c r="M56" s="1627"/>
      <c r="N56" s="1627"/>
      <c r="O56" s="1627"/>
      <c r="P56" s="1627"/>
    </row>
    <row r="57" spans="1:16" ht="23.1" customHeight="1">
      <c r="A57" s="1627"/>
      <c r="B57" s="1627"/>
      <c r="C57" s="1627"/>
      <c r="D57" s="1627"/>
      <c r="E57" s="1627"/>
      <c r="F57" s="1627"/>
      <c r="G57" s="1627"/>
      <c r="H57" s="1627"/>
      <c r="I57" s="1627"/>
      <c r="J57" s="1627"/>
      <c r="K57" s="1627"/>
      <c r="L57" s="1627"/>
      <c r="M57" s="1627"/>
      <c r="N57" s="1627"/>
      <c r="O57" s="1627"/>
      <c r="P57" s="1627"/>
    </row>
    <row r="58" spans="1:16" ht="23.1" customHeight="1">
      <c r="A58" s="199"/>
      <c r="B58" s="199"/>
      <c r="C58" s="199"/>
      <c r="D58" s="199"/>
      <c r="E58" s="199"/>
      <c r="F58" s="199"/>
      <c r="G58" s="199"/>
      <c r="H58" s="199"/>
      <c r="I58" s="199"/>
      <c r="J58" s="199"/>
      <c r="K58" s="199"/>
      <c r="L58" s="199"/>
      <c r="M58" s="199"/>
      <c r="N58" s="199"/>
      <c r="O58" s="199"/>
      <c r="P58" s="199"/>
    </row>
    <row r="59" spans="1:16" ht="23.1" customHeight="1">
      <c r="A59" s="1628" t="s">
        <v>601</v>
      </c>
      <c r="B59" s="1628"/>
      <c r="C59" s="1628"/>
      <c r="D59" s="1628"/>
      <c r="E59" s="1628"/>
      <c r="F59" s="199"/>
      <c r="G59" s="199"/>
      <c r="H59" s="199"/>
      <c r="I59" s="199"/>
      <c r="J59" s="199"/>
      <c r="K59" s="199"/>
      <c r="L59" s="199"/>
      <c r="M59" s="199"/>
      <c r="N59" s="199"/>
      <c r="O59" s="199"/>
      <c r="P59" s="199"/>
    </row>
    <row r="60" spans="1:16" ht="23.1" customHeight="1">
      <c r="A60" s="199"/>
      <c r="B60" s="1629">
        <f>B19</f>
        <v>0</v>
      </c>
      <c r="C60" s="1629"/>
      <c r="D60" s="1629"/>
      <c r="E60" s="1629"/>
      <c r="F60" s="1629"/>
      <c r="G60" s="1629"/>
      <c r="H60" s="199"/>
      <c r="I60" s="199"/>
      <c r="J60" s="199"/>
      <c r="K60" s="199"/>
      <c r="L60" s="199"/>
      <c r="M60" s="199"/>
      <c r="N60" s="199"/>
      <c r="O60" s="199"/>
      <c r="P60" s="199"/>
    </row>
    <row r="61" spans="1:16" ht="23.1" customHeight="1">
      <c r="A61" s="199"/>
      <c r="B61" s="199"/>
      <c r="C61" s="199"/>
      <c r="D61" s="199"/>
      <c r="E61" s="199"/>
      <c r="F61" s="199"/>
      <c r="G61" s="199"/>
      <c r="H61" s="199"/>
      <c r="I61" s="199"/>
      <c r="J61" s="199"/>
      <c r="K61" s="199"/>
      <c r="L61" s="199"/>
      <c r="M61" s="199"/>
      <c r="N61" s="199"/>
      <c r="O61" s="199"/>
      <c r="P61" s="199"/>
    </row>
    <row r="62" spans="1:16" ht="23.1" customHeight="1">
      <c r="A62" s="1628" t="s">
        <v>602</v>
      </c>
      <c r="B62" s="1628"/>
      <c r="C62" s="1628"/>
      <c r="D62" s="1628"/>
      <c r="E62" s="1628"/>
      <c r="F62" s="199"/>
      <c r="G62" s="199"/>
      <c r="H62" s="199"/>
      <c r="I62" s="199"/>
      <c r="J62" s="199"/>
      <c r="K62" s="199"/>
      <c r="L62" s="199"/>
      <c r="M62" s="199"/>
      <c r="N62" s="199"/>
      <c r="O62" s="199"/>
      <c r="P62" s="199"/>
    </row>
    <row r="63" spans="1:16" ht="23.1" customHeight="1">
      <c r="A63" s="199"/>
      <c r="B63" s="1630" t="str">
        <f>CONCATENATE(B22)</f>
        <v/>
      </c>
      <c r="C63" s="1630"/>
      <c r="D63" s="1630"/>
      <c r="E63" s="1630"/>
      <c r="F63" s="1630"/>
      <c r="G63" s="1630"/>
      <c r="H63" s="199"/>
      <c r="I63" s="199"/>
      <c r="J63" s="199"/>
      <c r="K63" s="199"/>
      <c r="L63" s="199"/>
      <c r="M63" s="199"/>
      <c r="N63" s="199"/>
      <c r="O63" s="199"/>
      <c r="P63" s="199"/>
    </row>
    <row r="64" spans="1:16" ht="23.1" customHeight="1">
      <c r="A64" s="199"/>
      <c r="B64" s="199"/>
      <c r="C64" s="199"/>
      <c r="D64" s="199"/>
      <c r="E64" s="199"/>
      <c r="F64" s="199"/>
      <c r="G64" s="199"/>
      <c r="H64" s="199"/>
      <c r="I64" s="199"/>
      <c r="J64" s="199"/>
      <c r="K64" s="199"/>
      <c r="L64" s="199"/>
      <c r="M64" s="199"/>
      <c r="N64" s="199"/>
      <c r="O64" s="199"/>
      <c r="P64" s="199"/>
    </row>
    <row r="65" spans="1:29" ht="23.1" customHeight="1">
      <c r="A65" s="199"/>
      <c r="B65" s="199" t="s">
        <v>603</v>
      </c>
      <c r="C65" s="199"/>
      <c r="D65" s="199"/>
      <c r="E65" s="199"/>
      <c r="F65" s="199"/>
      <c r="G65" s="199"/>
      <c r="H65" s="199"/>
      <c r="I65" s="199"/>
      <c r="J65" s="199"/>
      <c r="K65" s="199"/>
      <c r="L65" s="199"/>
      <c r="M65" s="199"/>
      <c r="N65" s="199"/>
      <c r="O65" s="199"/>
      <c r="P65" s="199"/>
      <c r="R65" s="784" t="str">
        <f>IF(COUNTIF(B63,"*定員*")=1,"○","")</f>
        <v/>
      </c>
    </row>
    <row r="66" spans="1:29" ht="23.1" customHeight="1">
      <c r="A66" s="199"/>
      <c r="B66" s="1631" t="str">
        <f>IF($R$65="○","見直し前","定員")</f>
        <v>定員</v>
      </c>
      <c r="C66" s="1631"/>
      <c r="D66" s="1625">
        <f>D25</f>
        <v>0</v>
      </c>
      <c r="E66" s="1625"/>
      <c r="F66" s="199" t="s">
        <v>583</v>
      </c>
      <c r="G66" s="199"/>
      <c r="H66" s="199"/>
      <c r="I66" s="199"/>
      <c r="J66" s="199"/>
      <c r="K66" s="199"/>
      <c r="L66" s="199"/>
      <c r="M66" s="199"/>
      <c r="N66" s="199"/>
      <c r="O66" s="199"/>
      <c r="P66" s="199"/>
    </row>
    <row r="67" spans="1:29" ht="23.1" customHeight="1">
      <c r="A67" s="199"/>
      <c r="B67" s="1631" t="str">
        <f>IF($R$65="○","見直し後","")</f>
        <v/>
      </c>
      <c r="C67" s="1631"/>
      <c r="D67" s="1625">
        <f>D26</f>
        <v>0</v>
      </c>
      <c r="E67" s="1625"/>
      <c r="F67" s="199" t="str">
        <f>IF($R$65="○","人","")</f>
        <v/>
      </c>
      <c r="G67" s="1631" t="str">
        <f>IF($R$65="○","（見直した月","")</f>
        <v/>
      </c>
      <c r="H67" s="1631"/>
      <c r="I67" s="1631"/>
      <c r="J67" s="1625">
        <f>J26</f>
        <v>0</v>
      </c>
      <c r="K67" s="1625"/>
      <c r="L67" s="199" t="str">
        <f>IF($R$65="○","月）","")</f>
        <v/>
      </c>
      <c r="M67" s="199"/>
      <c r="N67" s="199"/>
      <c r="O67" s="199"/>
      <c r="P67" s="199"/>
    </row>
    <row r="68" spans="1:29" ht="23.1" customHeight="1">
      <c r="A68" s="199"/>
      <c r="B68" s="199"/>
      <c r="C68" s="199"/>
      <c r="D68" s="199"/>
      <c r="E68" s="199"/>
      <c r="F68" s="199"/>
      <c r="G68" s="199"/>
      <c r="H68" s="199"/>
      <c r="I68" s="199"/>
      <c r="J68" s="199"/>
      <c r="K68" s="199"/>
      <c r="L68" s="199"/>
      <c r="M68" s="199"/>
      <c r="N68" s="199"/>
      <c r="O68" s="199"/>
      <c r="P68" s="199"/>
      <c r="R68" s="201">
        <f>D66</f>
        <v>0</v>
      </c>
    </row>
    <row r="69" spans="1:29" ht="23.1" customHeight="1">
      <c r="A69" s="199"/>
      <c r="B69" s="199" t="s">
        <v>610</v>
      </c>
      <c r="C69" s="199"/>
      <c r="D69" s="199"/>
      <c r="E69" s="199"/>
      <c r="F69" s="199"/>
      <c r="G69" s="199"/>
      <c r="H69" s="199"/>
      <c r="I69" s="199"/>
      <c r="J69" s="199"/>
      <c r="K69" s="199"/>
      <c r="L69" s="199"/>
      <c r="M69" s="199"/>
      <c r="N69" s="199"/>
      <c r="O69" s="199"/>
      <c r="P69" s="199"/>
      <c r="R69" s="201">
        <f>IF(D67="",R68,D67)</f>
        <v>0</v>
      </c>
      <c r="S69" s="202">
        <f>IF(OR(J67="",J67=0),12,IF(J67&gt;=4,J67-3,J67+9))</f>
        <v>12</v>
      </c>
    </row>
    <row r="70" spans="1:29" ht="23.1" customHeight="1">
      <c r="A70" s="199"/>
      <c r="B70" s="199" t="s">
        <v>611</v>
      </c>
      <c r="C70" s="199"/>
      <c r="D70" s="199"/>
      <c r="E70" s="199"/>
      <c r="F70" s="199"/>
      <c r="G70" s="199"/>
      <c r="H70" s="199"/>
      <c r="I70" s="199"/>
      <c r="J70" s="199"/>
      <c r="K70" s="199"/>
      <c r="L70" s="199"/>
      <c r="M70" s="199"/>
      <c r="N70" s="199"/>
      <c r="O70" s="199"/>
      <c r="P70" s="199"/>
    </row>
    <row r="71" spans="1:29" ht="23.1" customHeight="1" thickBot="1">
      <c r="A71" s="199"/>
      <c r="B71" s="199" t="e">
        <f>IF(AND($D$76&gt;1.2,$P$75&lt;&gt;0),"　また、年間平均在所率が120%以上であったため、減算適用いたします。","なお、年間平均在所率は120%以上ではありませんでした。")</f>
        <v>#DIV/0!</v>
      </c>
      <c r="C71" s="199"/>
      <c r="D71" s="199"/>
      <c r="E71" s="199"/>
      <c r="F71" s="199"/>
      <c r="G71" s="199"/>
      <c r="H71" s="199"/>
      <c r="I71" s="199"/>
      <c r="J71" s="199"/>
      <c r="K71" s="199"/>
      <c r="L71" s="199"/>
      <c r="M71" s="199"/>
      <c r="N71" s="199"/>
      <c r="O71" s="199"/>
      <c r="P71" s="199"/>
    </row>
    <row r="72" spans="1:29" ht="23.1" customHeight="1">
      <c r="A72" s="199"/>
      <c r="B72" s="1618" t="s">
        <v>5</v>
      </c>
      <c r="C72" s="1618"/>
      <c r="D72" s="203" t="s">
        <v>36</v>
      </c>
      <c r="E72" s="204" t="s">
        <v>37</v>
      </c>
      <c r="F72" s="204" t="s">
        <v>38</v>
      </c>
      <c r="G72" s="204" t="s">
        <v>39</v>
      </c>
      <c r="H72" s="204" t="s">
        <v>40</v>
      </c>
      <c r="I72" s="204" t="s">
        <v>41</v>
      </c>
      <c r="J72" s="204" t="s">
        <v>42</v>
      </c>
      <c r="K72" s="204" t="s">
        <v>43</v>
      </c>
      <c r="L72" s="204" t="s">
        <v>44</v>
      </c>
      <c r="M72" s="204" t="s">
        <v>45</v>
      </c>
      <c r="N72" s="204" t="s">
        <v>46</v>
      </c>
      <c r="O72" s="205" t="s">
        <v>47</v>
      </c>
      <c r="P72" s="206" t="s">
        <v>14</v>
      </c>
    </row>
    <row r="73" spans="1:29" ht="23.1" customHeight="1">
      <c r="A73" s="199"/>
      <c r="B73" s="1619" t="s">
        <v>605</v>
      </c>
      <c r="C73" s="1619"/>
      <c r="D73" s="207">
        <f>IF($S$69&gt;R74,$R$68,$R$69)</f>
        <v>0</v>
      </c>
      <c r="E73" s="208">
        <f t="shared" ref="E73:N73" si="3">IF($S$69&gt;S74,$R$68,$R$69)</f>
        <v>0</v>
      </c>
      <c r="F73" s="208">
        <f t="shared" si="3"/>
        <v>0</v>
      </c>
      <c r="G73" s="208">
        <f t="shared" si="3"/>
        <v>0</v>
      </c>
      <c r="H73" s="208">
        <f t="shared" si="3"/>
        <v>0</v>
      </c>
      <c r="I73" s="208">
        <f t="shared" si="3"/>
        <v>0</v>
      </c>
      <c r="J73" s="208">
        <f t="shared" si="3"/>
        <v>0</v>
      </c>
      <c r="K73" s="208">
        <f t="shared" si="3"/>
        <v>0</v>
      </c>
      <c r="L73" s="208">
        <f t="shared" si="3"/>
        <v>0</v>
      </c>
      <c r="M73" s="208">
        <f t="shared" si="3"/>
        <v>0</v>
      </c>
      <c r="N73" s="208">
        <f t="shared" si="3"/>
        <v>0</v>
      </c>
      <c r="O73" s="209">
        <f>IF($S$69&gt;AC74,$R$68,$R$69)</f>
        <v>0</v>
      </c>
      <c r="P73" s="210">
        <f>SUM(D73:O73)</f>
        <v>0</v>
      </c>
      <c r="R73" s="785" t="s">
        <v>36</v>
      </c>
      <c r="S73" s="785" t="s">
        <v>37</v>
      </c>
      <c r="T73" s="785" t="s">
        <v>38</v>
      </c>
      <c r="U73" s="785" t="s">
        <v>39</v>
      </c>
      <c r="V73" s="785" t="s">
        <v>40</v>
      </c>
      <c r="W73" s="785" t="s">
        <v>41</v>
      </c>
      <c r="X73" s="785" t="s">
        <v>42</v>
      </c>
      <c r="Y73" s="785" t="s">
        <v>43</v>
      </c>
      <c r="Z73" s="785" t="s">
        <v>44</v>
      </c>
      <c r="AA73" s="785" t="s">
        <v>45</v>
      </c>
      <c r="AB73" s="785" t="s">
        <v>46</v>
      </c>
      <c r="AC73" s="785" t="s">
        <v>47</v>
      </c>
    </row>
    <row r="74" spans="1:29" ht="23.1" customHeight="1">
      <c r="A74" s="199"/>
      <c r="B74" s="1620" t="s">
        <v>606</v>
      </c>
      <c r="C74" s="1620"/>
      <c r="D74" s="211"/>
      <c r="E74" s="212"/>
      <c r="F74" s="212"/>
      <c r="G74" s="212"/>
      <c r="H74" s="212"/>
      <c r="I74" s="212"/>
      <c r="J74" s="212"/>
      <c r="K74" s="212"/>
      <c r="L74" s="212"/>
      <c r="M74" s="212"/>
      <c r="N74" s="212"/>
      <c r="O74" s="213"/>
      <c r="P74" s="214">
        <f>SUM(D74:O74)</f>
        <v>0</v>
      </c>
      <c r="R74" s="201">
        <v>1</v>
      </c>
      <c r="S74" s="201">
        <v>2</v>
      </c>
      <c r="T74" s="201">
        <v>3</v>
      </c>
      <c r="U74" s="201">
        <v>4</v>
      </c>
      <c r="V74" s="201">
        <v>5</v>
      </c>
      <c r="W74" s="201">
        <v>6</v>
      </c>
      <c r="X74" s="201">
        <v>7</v>
      </c>
      <c r="Y74" s="201">
        <v>8</v>
      </c>
      <c r="Z74" s="201">
        <v>9</v>
      </c>
      <c r="AA74" s="201">
        <v>10</v>
      </c>
      <c r="AB74" s="201">
        <v>11</v>
      </c>
      <c r="AC74" s="201">
        <v>12</v>
      </c>
    </row>
    <row r="75" spans="1:29" ht="23.1" customHeight="1" thickBot="1">
      <c r="A75" s="199"/>
      <c r="B75" s="1620" t="s">
        <v>607</v>
      </c>
      <c r="C75" s="1620"/>
      <c r="D75" s="215" t="str">
        <f>IF(D74="","未入力",IF(D74&gt;D73,"○","×"))</f>
        <v>未入力</v>
      </c>
      <c r="E75" s="216" t="str">
        <f t="shared" ref="E75:O75" si="4">IF(E74="","未入力",IF(E74&gt;E73,"○","×"))</f>
        <v>未入力</v>
      </c>
      <c r="F75" s="217" t="str">
        <f t="shared" si="4"/>
        <v>未入力</v>
      </c>
      <c r="G75" s="217" t="str">
        <f t="shared" si="4"/>
        <v>未入力</v>
      </c>
      <c r="H75" s="217" t="str">
        <f t="shared" si="4"/>
        <v>未入力</v>
      </c>
      <c r="I75" s="217" t="str">
        <f t="shared" si="4"/>
        <v>未入力</v>
      </c>
      <c r="J75" s="217" t="str">
        <f t="shared" si="4"/>
        <v>未入力</v>
      </c>
      <c r="K75" s="217" t="str">
        <f t="shared" si="4"/>
        <v>未入力</v>
      </c>
      <c r="L75" s="217" t="str">
        <f t="shared" si="4"/>
        <v>未入力</v>
      </c>
      <c r="M75" s="217" t="str">
        <f t="shared" si="4"/>
        <v>未入力</v>
      </c>
      <c r="N75" s="217" t="str">
        <f t="shared" si="4"/>
        <v>未入力</v>
      </c>
      <c r="O75" s="218" t="str">
        <f t="shared" si="4"/>
        <v>未入力</v>
      </c>
      <c r="P75" s="219" t="e">
        <f>SUM(R77:AC77)</f>
        <v>#DIV/0!</v>
      </c>
    </row>
    <row r="76" spans="1:29" ht="23.1" customHeight="1" thickBot="1">
      <c r="A76" s="199"/>
      <c r="B76" s="1621" t="s">
        <v>608</v>
      </c>
      <c r="C76" s="1622"/>
      <c r="D76" s="1623" t="e">
        <f>ROUNDDOWN(P74/P73,2)</f>
        <v>#DIV/0!</v>
      </c>
      <c r="E76" s="1624"/>
      <c r="F76" s="199"/>
      <c r="G76" s="199"/>
      <c r="H76" s="199"/>
      <c r="I76" s="199"/>
      <c r="J76" s="199"/>
      <c r="K76" s="199"/>
      <c r="L76" s="199"/>
      <c r="M76" s="199"/>
      <c r="N76" s="199"/>
      <c r="O76" s="199"/>
      <c r="P76" s="199"/>
      <c r="R76" s="1616" t="s">
        <v>73</v>
      </c>
      <c r="S76" s="1616"/>
      <c r="T76" s="1616"/>
      <c r="U76" s="1616"/>
      <c r="V76" s="1616"/>
      <c r="W76" s="1616"/>
      <c r="X76" s="1616"/>
      <c r="Y76" s="1616"/>
      <c r="Z76" s="1616"/>
      <c r="AA76" s="1616"/>
      <c r="AB76" s="1616"/>
      <c r="AC76" s="1616"/>
    </row>
    <row r="77" spans="1:29" ht="23.1" customHeight="1">
      <c r="A77" s="199"/>
      <c r="B77" s="199"/>
      <c r="C77" s="199"/>
      <c r="D77" s="199"/>
      <c r="E77" s="199"/>
      <c r="F77" s="199"/>
      <c r="G77" s="199"/>
      <c r="H77" s="199"/>
      <c r="I77" s="199"/>
      <c r="J77" s="199"/>
      <c r="K77" s="199"/>
      <c r="L77" s="199"/>
      <c r="M77" s="199"/>
      <c r="N77" s="199"/>
      <c r="O77" s="199"/>
      <c r="P77" s="199"/>
      <c r="R77" s="784" t="e">
        <f>IF($D$76&gt;=1.2,IF(COUNTIF($D75:D75,"○")=R74,1,0),0)</f>
        <v>#DIV/0!</v>
      </c>
      <c r="S77" s="784" t="e">
        <f>IF($D$76&gt;=1.2,IF(COUNTIF($D75:E75,"○")=S74,1,0),0)</f>
        <v>#DIV/0!</v>
      </c>
      <c r="T77" s="784" t="e">
        <f>IF($D$76&gt;=1.2,IF(COUNTIF($D75:F75,"○")=T74,1,0),0)</f>
        <v>#DIV/0!</v>
      </c>
      <c r="U77" s="784" t="e">
        <f>IF($D$76&gt;=1.2,IF(COUNTIF($D75:G75,"○")=U74,1,0),0)</f>
        <v>#DIV/0!</v>
      </c>
      <c r="V77" s="784" t="e">
        <f>IF($D$76&gt;=1.2,IF(COUNTIF($D75:H75,"○")=V74,1,0),0)</f>
        <v>#DIV/0!</v>
      </c>
      <c r="W77" s="784" t="e">
        <f>IF($D$76&gt;=1.2,IF(COUNTIF($D75:I75,"○")=W74,1,0),0)</f>
        <v>#DIV/0!</v>
      </c>
      <c r="X77" s="784" t="e">
        <f>IF($D$76&gt;=1.2,IF(COUNTIF($D75:J75,"○")=X74,1,0),0)</f>
        <v>#DIV/0!</v>
      </c>
      <c r="Y77" s="784" t="e">
        <f>IF($D$76&gt;=1.2,IF(COUNTIF($D75:K75,"○")=Y74,1,0),0)</f>
        <v>#DIV/0!</v>
      </c>
      <c r="Z77" s="784" t="e">
        <f>IF($D$76&gt;=1.2,IF(COUNTIF($D75:L75,"○")=Z74,1,0),0)</f>
        <v>#DIV/0!</v>
      </c>
      <c r="AA77" s="784" t="e">
        <f>IF($D$76&gt;=1.2,IF(COUNTIF($D75:M75,"○")=AA74,1,0),0)</f>
        <v>#DIV/0!</v>
      </c>
      <c r="AB77" s="784" t="e">
        <f>IF($D$76&gt;=1.2,IF(COUNTIF($D75:N75,"○")=AB74,1,0),0)</f>
        <v>#DIV/0!</v>
      </c>
      <c r="AC77" s="784" t="e">
        <f>IF($D$76&gt;=1.2,IF(COUNTIF($D75:O75,"○")=AC74,1,0),0)</f>
        <v>#DIV/0!</v>
      </c>
    </row>
    <row r="78" spans="1:29" ht="23.1" customHeight="1">
      <c r="A78" s="199"/>
      <c r="B78" s="1617" t="e">
        <f>IF(AND($D$76&gt;=1.2,$P$75&lt;&gt;0),"　減算遡及適用：4　月　～　"&amp;IF(P75&gt;9,P75-9,P75+3)&amp;"　月","")</f>
        <v>#DIV/0!</v>
      </c>
      <c r="C78" s="1617"/>
      <c r="D78" s="1617"/>
      <c r="E78" s="1617"/>
      <c r="F78" s="1617"/>
      <c r="G78" s="1617"/>
      <c r="H78" s="1617"/>
      <c r="I78" s="1617"/>
      <c r="J78" s="199"/>
      <c r="K78" s="199"/>
      <c r="L78" s="199"/>
      <c r="M78" s="199"/>
      <c r="N78" s="199"/>
      <c r="O78" s="199"/>
      <c r="P78" s="199"/>
    </row>
    <row r="79" spans="1:29" ht="23.1" customHeight="1">
      <c r="A79" s="199"/>
      <c r="B79" s="221"/>
      <c r="C79" s="221"/>
      <c r="D79" s="221"/>
      <c r="E79" s="221"/>
      <c r="F79" s="221"/>
      <c r="G79" s="221"/>
      <c r="H79" s="221"/>
      <c r="I79" s="199"/>
      <c r="J79" s="199"/>
      <c r="K79" s="199"/>
      <c r="L79" s="199"/>
      <c r="M79" s="199"/>
      <c r="N79" s="199"/>
      <c r="O79" s="199"/>
      <c r="P79" s="199"/>
    </row>
    <row r="80" spans="1:29" ht="23.1" customHeight="1">
      <c r="A80" s="199"/>
      <c r="B80" s="199"/>
      <c r="C80" s="199"/>
      <c r="D80" s="199"/>
      <c r="E80" s="199"/>
      <c r="F80" s="199"/>
      <c r="G80" s="199"/>
      <c r="H80" s="199"/>
      <c r="I80" s="199"/>
      <c r="J80" s="199"/>
      <c r="K80" s="199"/>
      <c r="L80" s="199"/>
      <c r="M80" s="199"/>
      <c r="N80" s="199"/>
      <c r="O80" s="199"/>
      <c r="P80" s="199"/>
    </row>
    <row r="81" spans="1:16" ht="23.1" customHeight="1">
      <c r="A81" s="199"/>
      <c r="B81" s="199"/>
      <c r="C81" s="199"/>
      <c r="D81" s="199"/>
      <c r="E81" s="199"/>
      <c r="F81" s="199"/>
      <c r="G81" s="199"/>
      <c r="H81" s="199"/>
      <c r="I81" s="199"/>
      <c r="J81" s="199"/>
      <c r="K81" s="199"/>
      <c r="L81" s="199"/>
      <c r="M81" s="199"/>
      <c r="N81" s="199"/>
      <c r="O81" s="199"/>
      <c r="P81" s="199"/>
    </row>
    <row r="82" spans="1:16" ht="23.1" customHeight="1">
      <c r="A82" s="199"/>
      <c r="B82" s="199"/>
      <c r="C82" s="199"/>
      <c r="D82" s="199"/>
      <c r="E82" s="199"/>
      <c r="F82" s="199"/>
      <c r="G82" s="199"/>
      <c r="H82" s="199"/>
      <c r="I82" s="199"/>
      <c r="J82" s="199"/>
      <c r="K82" s="199"/>
      <c r="L82" s="199"/>
      <c r="M82" s="199"/>
      <c r="N82" s="199"/>
      <c r="O82" s="199"/>
      <c r="P82" s="199"/>
    </row>
    <row r="83" spans="1:16" ht="23.1" customHeight="1">
      <c r="A83" s="199"/>
      <c r="B83" s="199"/>
      <c r="C83" s="199"/>
      <c r="D83" s="199"/>
      <c r="E83" s="199"/>
      <c r="F83" s="199"/>
      <c r="G83" s="199"/>
      <c r="H83" s="199"/>
      <c r="I83" s="199"/>
      <c r="J83" s="199"/>
      <c r="K83" s="199"/>
      <c r="L83" s="199"/>
      <c r="M83" s="199"/>
      <c r="N83" s="199"/>
      <c r="O83" s="199"/>
      <c r="P83" s="199"/>
    </row>
  </sheetData>
  <sheetProtection algorithmName="SHA-512" hashValue="/KHEhgll9iKF8ojbshF+0q0z87Thm37CeDdjmaOUbWARm6kHRXSJ3DYh1xc0rDnCjdPiZoj59vGpzLn8VcxcWQ==" saltValue="s2EVewytlJeKCpvcdEn/+Q==" spinCount="100000" sheet="1" objects="1" scenarios="1"/>
  <mergeCells count="55">
    <mergeCell ref="B37:C37"/>
    <mergeCell ref="D37:E37"/>
    <mergeCell ref="D10:M10"/>
    <mergeCell ref="L1:P1"/>
    <mergeCell ref="L2:P2"/>
    <mergeCell ref="I6:I7"/>
    <mergeCell ref="K6:O6"/>
    <mergeCell ref="K7:O7"/>
    <mergeCell ref="G26:I26"/>
    <mergeCell ref="J26:K26"/>
    <mergeCell ref="A12:P15"/>
    <mergeCell ref="A16:P16"/>
    <mergeCell ref="A18:E18"/>
    <mergeCell ref="B19:G19"/>
    <mergeCell ref="A21:E21"/>
    <mergeCell ref="B22:G22"/>
    <mergeCell ref="B35:C35"/>
    <mergeCell ref="D35:E35"/>
    <mergeCell ref="B25:C25"/>
    <mergeCell ref="D25:E25"/>
    <mergeCell ref="B26:C26"/>
    <mergeCell ref="D26:E26"/>
    <mergeCell ref="B31:C31"/>
    <mergeCell ref="B32:C32"/>
    <mergeCell ref="B33:C33"/>
    <mergeCell ref="B34:C34"/>
    <mergeCell ref="R34:AC34"/>
    <mergeCell ref="L43:P43"/>
    <mergeCell ref="L44:P44"/>
    <mergeCell ref="I48:I49"/>
    <mergeCell ref="K48:O48"/>
    <mergeCell ref="K49:O49"/>
    <mergeCell ref="J35:K35"/>
    <mergeCell ref="L35:M35"/>
    <mergeCell ref="N35:P35"/>
    <mergeCell ref="J67:K67"/>
    <mergeCell ref="D52:M52"/>
    <mergeCell ref="A54:P57"/>
    <mergeCell ref="A59:E59"/>
    <mergeCell ref="B60:G60"/>
    <mergeCell ref="A62:E62"/>
    <mergeCell ref="B63:G63"/>
    <mergeCell ref="B66:C66"/>
    <mergeCell ref="D66:E66"/>
    <mergeCell ref="B67:C67"/>
    <mergeCell ref="D67:E67"/>
    <mergeCell ref="G67:I67"/>
    <mergeCell ref="R76:AC76"/>
    <mergeCell ref="B78:I78"/>
    <mergeCell ref="B72:C72"/>
    <mergeCell ref="B73:C73"/>
    <mergeCell ref="B74:C74"/>
    <mergeCell ref="B75:C75"/>
    <mergeCell ref="B76:C76"/>
    <mergeCell ref="D76:E76"/>
  </mergeCells>
  <phoneticPr fontId="1"/>
  <conditionalFormatting sqref="D34:O34">
    <cfRule type="containsText" dxfId="51" priority="7" operator="containsText" text="未入力">
      <formula>NOT(ISERROR(SEARCH("未入力",D34)))</formula>
    </cfRule>
  </conditionalFormatting>
  <conditionalFormatting sqref="D35:E35">
    <cfRule type="cellIs" dxfId="50" priority="6" operator="greaterThan">
      <formula>1.2</formula>
    </cfRule>
  </conditionalFormatting>
  <conditionalFormatting sqref="D75:O75">
    <cfRule type="containsText" dxfId="49" priority="5" operator="containsText" text="未入力">
      <formula>NOT(ISERROR(SEARCH("未入力",D75)))</formula>
    </cfRule>
  </conditionalFormatting>
  <conditionalFormatting sqref="P75">
    <cfRule type="containsText" dxfId="48" priority="4" operator="containsText" text="超過">
      <formula>NOT(ISERROR(SEARCH("超過",P75)))</formula>
    </cfRule>
  </conditionalFormatting>
  <conditionalFormatting sqref="D76:E76">
    <cfRule type="cellIs" dxfId="47" priority="3" operator="greaterThan">
      <formula>1.2</formula>
    </cfRule>
  </conditionalFormatting>
  <conditionalFormatting sqref="P34">
    <cfRule type="containsText" dxfId="46" priority="2" operator="containsText" text="超過">
      <formula>NOT(ISERROR(SEARCH("超過",P34)))</formula>
    </cfRule>
  </conditionalFormatting>
  <conditionalFormatting sqref="L35:M35">
    <cfRule type="cellIs" dxfId="45" priority="1" operator="greaterThanOrEqual">
      <formula>1.15</formula>
    </cfRule>
  </conditionalFormatting>
  <dataValidations count="1">
    <dataValidation type="list" allowBlank="1" showInputMessage="1" showErrorMessage="1" sqref="J26:K26 J67:K67" xr:uid="{00000000-0002-0000-0800-000000000000}">
      <formula1>$S$2:$S$13</formula1>
    </dataValidation>
  </dataValidations>
  <printOptions horizontalCentered="1"/>
  <pageMargins left="0.31496062992125984" right="0.31496062992125984" top="0.74803149606299213" bottom="0.74803149606299213" header="0.31496062992125984" footer="0.31496062992125984"/>
  <pageSetup paperSize="9" scale="73" orientation="portrait" r:id="rId1"/>
  <rowBreaks count="1" manualBreakCount="1">
    <brk id="42"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0000"/>
    <pageSetUpPr fitToPage="1"/>
  </sheetPr>
  <dimension ref="A1:AF155"/>
  <sheetViews>
    <sheetView view="pageBreakPreview" zoomScale="85" zoomScaleNormal="85" zoomScaleSheetLayoutView="85" workbookViewId="0">
      <selection activeCell="B28" sqref="B28"/>
    </sheetView>
  </sheetViews>
  <sheetFormatPr defaultColWidth="9" defaultRowHeight="13.5" outlineLevelCol="1"/>
  <cols>
    <col min="1" max="1" width="3" style="101" customWidth="1"/>
    <col min="2" max="2" width="18.125" style="101" customWidth="1"/>
    <col min="3" max="10" width="15.625" style="101" customWidth="1"/>
    <col min="11" max="11" width="61.875" style="101" customWidth="1"/>
    <col min="12" max="13" width="6.25" style="101" hidden="1" customWidth="1" outlineLevel="1"/>
    <col min="14" max="14" width="6.5" style="101" hidden="1" customWidth="1" outlineLevel="1"/>
    <col min="15" max="15" width="7.125" style="101" hidden="1" customWidth="1" outlineLevel="1"/>
    <col min="16" max="16" width="7.5" style="101" hidden="1" customWidth="1" outlineLevel="1"/>
    <col min="17" max="18" width="9" style="101" hidden="1" customWidth="1" outlineLevel="1"/>
    <col min="19" max="19" width="9" style="200" hidden="1" customWidth="1" outlineLevel="1"/>
    <col min="20" max="27" width="9" style="101" hidden="1" customWidth="1" outlineLevel="1"/>
    <col min="28" max="28" width="12.75" style="101" hidden="1" customWidth="1" outlineLevel="1"/>
    <col min="29" max="29" width="14.875" style="101" hidden="1" customWidth="1" outlineLevel="1"/>
    <col min="30" max="31" width="9" style="101" hidden="1" customWidth="1" outlineLevel="1"/>
    <col min="32" max="32" width="9" customWidth="1" collapsed="1"/>
    <col min="33" max="33" width="9" style="101" customWidth="1"/>
    <col min="34" max="16384" width="9" style="101"/>
  </cols>
  <sheetData>
    <row r="1" spans="1:19" ht="15" customHeight="1">
      <c r="A1" s="222" t="s">
        <v>433</v>
      </c>
      <c r="B1" s="223"/>
      <c r="C1" s="223"/>
      <c r="D1" s="223"/>
      <c r="E1" s="223"/>
      <c r="F1" s="223"/>
      <c r="G1" s="223"/>
      <c r="H1" s="1705" t="e">
        <f>L2&amp;"様式2"&amp;L3</f>
        <v>#N/A</v>
      </c>
      <c r="I1" s="1705"/>
      <c r="J1" s="1705"/>
      <c r="K1" s="114"/>
      <c r="L1" s="74" t="s">
        <v>475</v>
      </c>
    </row>
    <row r="2" spans="1:19" ht="15" customHeight="1">
      <c r="A2" s="1706" t="str">
        <f>【様式１】総括表・個票!AJ2&amp;"年度"</f>
        <v>2023年度</v>
      </c>
      <c r="B2" s="1706"/>
      <c r="C2" s="1706"/>
      <c r="D2" s="1706"/>
      <c r="E2" s="1707" t="s">
        <v>9</v>
      </c>
      <c r="F2" s="1707"/>
      <c r="G2" s="224" t="str">
        <f>+"【"&amp;【様式１】総括表・個票!I10&amp;"月分】"</f>
        <v>【月分】</v>
      </c>
      <c r="H2" s="222"/>
      <c r="I2" s="225"/>
      <c r="J2" s="225"/>
      <c r="K2" s="114"/>
      <c r="L2" s="75" t="str">
        <f>【様式１】総括表・個票!$AI$2</f>
        <v>加-23_月申-</v>
      </c>
    </row>
    <row r="3" spans="1:19" s="101" customFormat="1" ht="15" customHeight="1" thickBot="1">
      <c r="A3" s="226" t="s">
        <v>76</v>
      </c>
      <c r="B3" s="223"/>
      <c r="C3" s="223"/>
      <c r="D3" s="223"/>
      <c r="E3" s="223"/>
      <c r="F3" s="223"/>
      <c r="G3" s="223"/>
      <c r="H3" s="223"/>
      <c r="I3" s="223"/>
      <c r="J3" s="223"/>
      <c r="L3" s="74" t="e">
        <f>【様式１】総括表・個票!$AI$3</f>
        <v>#N/A</v>
      </c>
      <c r="S3" s="200"/>
    </row>
    <row r="4" spans="1:19" s="101" customFormat="1" ht="15" customHeight="1" thickBot="1">
      <c r="A4" s="222"/>
      <c r="B4" s="1708" t="s">
        <v>612</v>
      </c>
      <c r="C4" s="1709"/>
      <c r="D4" s="1709"/>
      <c r="E4" s="1709"/>
      <c r="F4" s="1709"/>
      <c r="G4" s="1709"/>
      <c r="H4" s="1709"/>
      <c r="I4" s="1709"/>
      <c r="J4" s="1710"/>
      <c r="Q4" s="200"/>
    </row>
    <row r="5" spans="1:19" s="101" customFormat="1" ht="15" customHeight="1">
      <c r="A5" s="227"/>
      <c r="B5" s="1711" t="s">
        <v>613</v>
      </c>
      <c r="C5" s="1712"/>
      <c r="D5" s="1713"/>
      <c r="E5" s="228" t="s">
        <v>614</v>
      </c>
      <c r="F5" s="1720"/>
      <c r="G5" s="1721"/>
      <c r="H5" s="1721"/>
      <c r="I5" s="1721"/>
      <c r="J5" s="822" t="s">
        <v>314</v>
      </c>
      <c r="Q5" s="200"/>
    </row>
    <row r="6" spans="1:19" s="101" customFormat="1" ht="15" customHeight="1">
      <c r="A6" s="227"/>
      <c r="B6" s="1714"/>
      <c r="C6" s="1715"/>
      <c r="D6" s="1716"/>
      <c r="E6" s="1722" t="str">
        <f>IF(AND(F5&lt;150,F5&gt;0),"根拠・理由","")</f>
        <v/>
      </c>
      <c r="F6" s="1724"/>
      <c r="G6" s="1725"/>
      <c r="H6" s="1725"/>
      <c r="I6" s="1725"/>
      <c r="J6" s="1726"/>
      <c r="Q6" s="200"/>
    </row>
    <row r="7" spans="1:19" s="101" customFormat="1" ht="15" customHeight="1" thickBot="1">
      <c r="A7" s="227"/>
      <c r="B7" s="1717"/>
      <c r="C7" s="1718"/>
      <c r="D7" s="1719"/>
      <c r="E7" s="1723"/>
      <c r="F7" s="1727"/>
      <c r="G7" s="1728"/>
      <c r="H7" s="1728"/>
      <c r="I7" s="1728"/>
      <c r="J7" s="1729"/>
      <c r="Q7" s="200"/>
    </row>
    <row r="8" spans="1:19" s="101" customFormat="1" ht="15" customHeight="1">
      <c r="A8" s="227"/>
      <c r="B8" s="1686" t="s">
        <v>79</v>
      </c>
      <c r="C8" s="1689" t="s">
        <v>615</v>
      </c>
      <c r="D8" s="1690"/>
      <c r="E8" s="1690"/>
      <c r="F8" s="1691"/>
      <c r="G8" s="1692" t="s">
        <v>616</v>
      </c>
      <c r="H8" s="1692"/>
      <c r="I8" s="1692"/>
      <c r="J8" s="1693"/>
    </row>
    <row r="9" spans="1:19" s="101" customFormat="1" ht="15" customHeight="1">
      <c r="A9" s="222"/>
      <c r="B9" s="1687"/>
      <c r="C9" s="1694" t="s">
        <v>7</v>
      </c>
      <c r="D9" s="1695"/>
      <c r="E9" s="1696"/>
      <c r="F9" s="1697" t="s">
        <v>617</v>
      </c>
      <c r="G9" s="729" t="s">
        <v>7</v>
      </c>
      <c r="H9" s="1699" t="s">
        <v>8</v>
      </c>
      <c r="I9" s="1700"/>
      <c r="J9" s="1701" t="s">
        <v>802</v>
      </c>
      <c r="O9" s="200"/>
    </row>
    <row r="10" spans="1:19" s="101" customFormat="1" ht="15" customHeight="1" thickBot="1">
      <c r="A10" s="222"/>
      <c r="B10" s="1688"/>
      <c r="C10" s="229" t="s">
        <v>124</v>
      </c>
      <c r="D10" s="230" t="s">
        <v>125</v>
      </c>
      <c r="E10" s="231" t="s">
        <v>6</v>
      </c>
      <c r="F10" s="1698"/>
      <c r="G10" s="730" t="s">
        <v>313</v>
      </c>
      <c r="H10" s="232" t="s">
        <v>618</v>
      </c>
      <c r="I10" s="231" t="s">
        <v>616</v>
      </c>
      <c r="J10" s="1702"/>
      <c r="O10" s="200"/>
    </row>
    <row r="11" spans="1:19" s="101" customFormat="1" ht="15" customHeight="1">
      <c r="A11" s="227"/>
      <c r="B11" s="233" t="s">
        <v>619</v>
      </c>
      <c r="C11" s="234">
        <f t="shared" ref="C11:D15" si="0">T138</f>
        <v>0</v>
      </c>
      <c r="D11" s="235">
        <f t="shared" si="0"/>
        <v>0</v>
      </c>
      <c r="E11" s="235">
        <f t="shared" ref="E11:E16" si="1">SUM(V138,W138)</f>
        <v>0</v>
      </c>
      <c r="F11" s="734">
        <f t="shared" ref="F11:F16" si="2">X138</f>
        <v>0</v>
      </c>
      <c r="G11" s="731">
        <f t="shared" ref="G11:H15" si="3">R138</f>
        <v>0</v>
      </c>
      <c r="H11" s="901">
        <f t="shared" si="3"/>
        <v>0</v>
      </c>
      <c r="I11" s="823">
        <f t="shared" ref="I11:I16" si="4">IFERROR(H11/$F$5,0)</f>
        <v>0</v>
      </c>
      <c r="J11" s="236">
        <f>SUM(G11,I11)</f>
        <v>0</v>
      </c>
      <c r="O11" s="200"/>
    </row>
    <row r="12" spans="1:19" s="101" customFormat="1" ht="15" customHeight="1">
      <c r="A12" s="227"/>
      <c r="B12" s="237" t="s">
        <v>620</v>
      </c>
      <c r="C12" s="238">
        <f t="shared" si="0"/>
        <v>0</v>
      </c>
      <c r="D12" s="239">
        <f t="shared" si="0"/>
        <v>0</v>
      </c>
      <c r="E12" s="239">
        <f t="shared" si="1"/>
        <v>0</v>
      </c>
      <c r="F12" s="735">
        <f t="shared" si="2"/>
        <v>0</v>
      </c>
      <c r="G12" s="732">
        <f t="shared" si="3"/>
        <v>0</v>
      </c>
      <c r="H12" s="902">
        <f t="shared" si="3"/>
        <v>0</v>
      </c>
      <c r="I12" s="824">
        <f t="shared" si="4"/>
        <v>0</v>
      </c>
      <c r="J12" s="240">
        <f>SUM(G12,I12)</f>
        <v>0</v>
      </c>
      <c r="O12" s="200"/>
    </row>
    <row r="13" spans="1:19" s="101" customFormat="1" ht="15" customHeight="1">
      <c r="A13" s="227"/>
      <c r="B13" s="237" t="s">
        <v>126</v>
      </c>
      <c r="C13" s="238">
        <f t="shared" si="0"/>
        <v>0</v>
      </c>
      <c r="D13" s="239">
        <f t="shared" si="0"/>
        <v>0</v>
      </c>
      <c r="E13" s="239">
        <f t="shared" si="1"/>
        <v>0</v>
      </c>
      <c r="F13" s="735">
        <f t="shared" si="2"/>
        <v>0</v>
      </c>
      <c r="G13" s="732">
        <f t="shared" si="3"/>
        <v>0</v>
      </c>
      <c r="H13" s="902">
        <f t="shared" si="3"/>
        <v>0</v>
      </c>
      <c r="I13" s="824">
        <f t="shared" si="4"/>
        <v>0</v>
      </c>
      <c r="J13" s="240">
        <f t="shared" ref="J13:J16" si="5">SUM(G13,I13)</f>
        <v>0</v>
      </c>
      <c r="O13" s="200"/>
    </row>
    <row r="14" spans="1:19" s="101" customFormat="1" ht="15" customHeight="1">
      <c r="A14" s="227"/>
      <c r="B14" s="237" t="s">
        <v>123</v>
      </c>
      <c r="C14" s="238">
        <f t="shared" si="0"/>
        <v>0</v>
      </c>
      <c r="D14" s="239">
        <f t="shared" si="0"/>
        <v>0</v>
      </c>
      <c r="E14" s="239">
        <f t="shared" si="1"/>
        <v>0</v>
      </c>
      <c r="F14" s="735">
        <f t="shared" si="2"/>
        <v>0</v>
      </c>
      <c r="G14" s="732">
        <f t="shared" si="3"/>
        <v>0</v>
      </c>
      <c r="H14" s="902">
        <f t="shared" si="3"/>
        <v>0</v>
      </c>
      <c r="I14" s="824">
        <f t="shared" si="4"/>
        <v>0</v>
      </c>
      <c r="J14" s="240">
        <f t="shared" si="5"/>
        <v>0</v>
      </c>
      <c r="O14" s="200"/>
    </row>
    <row r="15" spans="1:19" s="101" customFormat="1" ht="15" customHeight="1">
      <c r="A15" s="227"/>
      <c r="B15" s="237" t="s">
        <v>621</v>
      </c>
      <c r="C15" s="238">
        <f t="shared" si="0"/>
        <v>0</v>
      </c>
      <c r="D15" s="239">
        <f t="shared" si="0"/>
        <v>0</v>
      </c>
      <c r="E15" s="239">
        <f t="shared" si="1"/>
        <v>0</v>
      </c>
      <c r="F15" s="735">
        <f t="shared" si="2"/>
        <v>0</v>
      </c>
      <c r="G15" s="732">
        <f t="shared" si="3"/>
        <v>0</v>
      </c>
      <c r="H15" s="902">
        <f t="shared" si="3"/>
        <v>0</v>
      </c>
      <c r="I15" s="824">
        <f t="shared" si="4"/>
        <v>0</v>
      </c>
      <c r="J15" s="240">
        <f t="shared" si="5"/>
        <v>0</v>
      </c>
      <c r="O15" s="200"/>
    </row>
    <row r="16" spans="1:19" s="101" customFormat="1" ht="15" customHeight="1">
      <c r="A16" s="227"/>
      <c r="B16" s="241" t="s">
        <v>6</v>
      </c>
      <c r="C16" s="242">
        <f>T143</f>
        <v>0</v>
      </c>
      <c r="D16" s="243">
        <f>U143</f>
        <v>0</v>
      </c>
      <c r="E16" s="243">
        <f t="shared" si="1"/>
        <v>0</v>
      </c>
      <c r="F16" s="736">
        <f t="shared" si="2"/>
        <v>0</v>
      </c>
      <c r="G16" s="733">
        <f>R143</f>
        <v>0</v>
      </c>
      <c r="H16" s="903">
        <f>S143</f>
        <v>0</v>
      </c>
      <c r="I16" s="825">
        <f t="shared" si="4"/>
        <v>0</v>
      </c>
      <c r="J16" s="244">
        <f t="shared" si="5"/>
        <v>0</v>
      </c>
    </row>
    <row r="17" spans="1:31" s="101" customFormat="1" ht="15" customHeight="1">
      <c r="A17" s="227"/>
      <c r="B17" s="1703" t="s">
        <v>622</v>
      </c>
      <c r="C17" s="1703"/>
      <c r="D17" s="1703"/>
      <c r="E17" s="1703"/>
      <c r="F17" s="1703"/>
      <c r="G17" s="1703"/>
      <c r="H17" s="1703"/>
      <c r="I17" s="1703"/>
      <c r="J17" s="1703"/>
    </row>
    <row r="18" spans="1:31" s="101" customFormat="1" ht="15" customHeight="1">
      <c r="A18" s="226" t="s">
        <v>623</v>
      </c>
      <c r="B18" s="245"/>
      <c r="C18" s="246"/>
      <c r="D18" s="246"/>
      <c r="E18" s="246"/>
      <c r="F18" s="246"/>
      <c r="G18" s="246"/>
      <c r="H18" s="247"/>
      <c r="I18" s="247"/>
      <c r="J18" s="826"/>
      <c r="K18" s="248"/>
      <c r="L18" s="249"/>
      <c r="M18" s="249"/>
    </row>
    <row r="19" spans="1:31" s="101" customFormat="1" ht="15" customHeight="1">
      <c r="A19" s="1704" t="s">
        <v>624</v>
      </c>
      <c r="B19" s="1704"/>
      <c r="C19" s="1704"/>
      <c r="D19" s="1704"/>
      <c r="E19" s="1704"/>
      <c r="F19" s="1704"/>
      <c r="G19" s="1704"/>
      <c r="H19" s="1704"/>
      <c r="I19" s="1704"/>
      <c r="J19" s="1704"/>
      <c r="K19" s="250"/>
      <c r="L19" s="250"/>
      <c r="M19" s="250"/>
    </row>
    <row r="20" spans="1:31" s="101" customFormat="1" ht="15" customHeight="1">
      <c r="A20" s="1704" t="s">
        <v>625</v>
      </c>
      <c r="B20" s="1704"/>
      <c r="C20" s="1704"/>
      <c r="D20" s="1704"/>
      <c r="E20" s="1704"/>
      <c r="F20" s="1704"/>
      <c r="G20" s="1704"/>
      <c r="H20" s="1704"/>
      <c r="I20" s="1704"/>
      <c r="J20" s="1704"/>
      <c r="K20" s="250"/>
      <c r="L20" s="250"/>
      <c r="M20" s="250"/>
    </row>
    <row r="21" spans="1:31" s="101" customFormat="1" ht="15" customHeight="1">
      <c r="A21" s="1704" t="s">
        <v>626</v>
      </c>
      <c r="B21" s="1704"/>
      <c r="C21" s="1704"/>
      <c r="D21" s="1704"/>
      <c r="E21" s="1704"/>
      <c r="F21" s="1704"/>
      <c r="G21" s="1704"/>
      <c r="H21" s="1704"/>
      <c r="I21" s="1704"/>
      <c r="J21" s="1704"/>
      <c r="K21" s="250"/>
      <c r="L21" s="250"/>
      <c r="M21" s="250"/>
    </row>
    <row r="22" spans="1:31" s="101" customFormat="1" ht="15" customHeight="1" thickBot="1">
      <c r="A22" s="1704" t="s">
        <v>627</v>
      </c>
      <c r="B22" s="1704"/>
      <c r="C22" s="1704"/>
      <c r="D22" s="1704"/>
      <c r="E22" s="1704"/>
      <c r="F22" s="1704"/>
      <c r="G22" s="1704"/>
      <c r="H22" s="1704"/>
      <c r="I22" s="1704"/>
      <c r="J22" s="1704"/>
      <c r="K22" s="251"/>
      <c r="L22" s="251"/>
      <c r="M22" s="251"/>
    </row>
    <row r="23" spans="1:31" s="101" customFormat="1" ht="15" customHeight="1" thickBot="1">
      <c r="A23" s="227"/>
      <c r="B23" s="221" t="s">
        <v>628</v>
      </c>
      <c r="C23" s="246"/>
      <c r="D23" s="246"/>
      <c r="E23" s="246"/>
      <c r="F23" s="247"/>
      <c r="G23" s="247"/>
      <c r="H23" s="826"/>
      <c r="I23" s="252"/>
      <c r="J23" s="253"/>
      <c r="L23" s="1677" t="s">
        <v>629</v>
      </c>
      <c r="M23" s="1678"/>
      <c r="N23" s="1679"/>
      <c r="O23" s="1679" t="s">
        <v>630</v>
      </c>
      <c r="P23" s="1680"/>
      <c r="Q23" s="200"/>
      <c r="R23" s="1681" t="s">
        <v>631</v>
      </c>
      <c r="S23" s="1682"/>
      <c r="T23" s="1683" t="s">
        <v>334</v>
      </c>
      <c r="U23" s="1684"/>
      <c r="V23" s="1684"/>
      <c r="W23" s="1684"/>
      <c r="X23" s="1685"/>
      <c r="Z23" s="1674" t="s">
        <v>632</v>
      </c>
      <c r="AA23" s="1675"/>
      <c r="AB23" s="1675"/>
      <c r="AC23" s="1675"/>
      <c r="AD23" s="1675"/>
      <c r="AE23" s="1676"/>
    </row>
    <row r="24" spans="1:31" s="101" customFormat="1" ht="15" customHeight="1" thickTop="1" thickBot="1">
      <c r="A24" s="159"/>
      <c r="B24" s="154" t="s">
        <v>633</v>
      </c>
      <c r="C24" s="154"/>
      <c r="D24" s="154"/>
      <c r="E24" s="154"/>
      <c r="F24" s="154"/>
      <c r="G24" s="154"/>
      <c r="H24" s="154"/>
      <c r="I24" s="154"/>
      <c r="J24" s="154"/>
      <c r="L24" s="424" t="s">
        <v>634</v>
      </c>
      <c r="M24" s="427" t="s">
        <v>635</v>
      </c>
      <c r="N24" s="425" t="s">
        <v>8</v>
      </c>
      <c r="O24" s="425" t="s">
        <v>512</v>
      </c>
      <c r="P24" s="789" t="s">
        <v>513</v>
      </c>
      <c r="Q24" s="200"/>
      <c r="R24" s="254"/>
      <c r="S24" s="789" t="s">
        <v>636</v>
      </c>
      <c r="T24" s="255"/>
      <c r="U24" s="256"/>
      <c r="V24" s="256"/>
      <c r="W24" s="256"/>
      <c r="X24" s="257"/>
      <c r="Z24" s="827" t="s">
        <v>637</v>
      </c>
      <c r="AA24" s="828" t="s">
        <v>638</v>
      </c>
      <c r="AB24" s="829" t="s">
        <v>148</v>
      </c>
      <c r="AC24" s="830" t="s">
        <v>7</v>
      </c>
      <c r="AD24" s="830" t="s">
        <v>8</v>
      </c>
      <c r="AE24" s="831" t="s">
        <v>639</v>
      </c>
    </row>
    <row r="25" spans="1:31" s="101" customFormat="1" ht="15" customHeight="1">
      <c r="A25" s="1660" t="s">
        <v>640</v>
      </c>
      <c r="B25" s="1661"/>
      <c r="C25" s="1662" t="s">
        <v>72</v>
      </c>
      <c r="D25" s="1661"/>
      <c r="E25" s="1662" t="s">
        <v>641</v>
      </c>
      <c r="F25" s="1663"/>
      <c r="G25" s="1661"/>
      <c r="H25" s="788" t="s">
        <v>642</v>
      </c>
      <c r="I25" s="1662" t="s">
        <v>643</v>
      </c>
      <c r="J25" s="1666" t="s">
        <v>644</v>
      </c>
      <c r="L25" s="258" t="str">
        <f>$AA26</f>
        <v>有給</v>
      </c>
      <c r="M25" s="259"/>
      <c r="N25" s="260" t="s">
        <v>636</v>
      </c>
      <c r="O25" s="260"/>
      <c r="P25" s="261" t="s">
        <v>636</v>
      </c>
      <c r="Q25" s="200"/>
      <c r="R25" s="262"/>
      <c r="S25" s="263"/>
      <c r="T25" s="264"/>
      <c r="U25" s="265"/>
      <c r="V25" s="265"/>
      <c r="W25" s="265"/>
      <c r="X25" s="266"/>
      <c r="Z25" s="267"/>
      <c r="AA25" s="268"/>
      <c r="AB25" s="268"/>
      <c r="AC25" s="269"/>
      <c r="AD25" s="269"/>
      <c r="AE25" s="270" t="s">
        <v>71</v>
      </c>
    </row>
    <row r="26" spans="1:31" s="101" customFormat="1" ht="15" customHeight="1">
      <c r="A26" s="1669" t="s">
        <v>572</v>
      </c>
      <c r="B26" s="1671" t="s">
        <v>645</v>
      </c>
      <c r="C26" s="1645" t="s">
        <v>312</v>
      </c>
      <c r="D26" s="1647" t="s">
        <v>646</v>
      </c>
      <c r="E26" s="1673" t="s">
        <v>636</v>
      </c>
      <c r="F26" s="1651" t="s">
        <v>647</v>
      </c>
      <c r="G26" s="1653" t="s">
        <v>648</v>
      </c>
      <c r="H26" s="1655" t="e">
        <f>"("&amp;TEXT($AE$26,"YYYY/M/D")&amp;"以前)"</f>
        <v>#VALUE!</v>
      </c>
      <c r="I26" s="1664"/>
      <c r="J26" s="1667"/>
      <c r="L26" s="271"/>
      <c r="M26" s="272"/>
      <c r="N26" s="184"/>
      <c r="O26" s="184"/>
      <c r="P26" s="273"/>
      <c r="Q26" s="200"/>
      <c r="R26" s="274"/>
      <c r="S26" s="273"/>
      <c r="T26" s="275"/>
      <c r="U26" s="276"/>
      <c r="V26" s="276"/>
      <c r="W26" s="276"/>
      <c r="X26" s="277"/>
      <c r="Z26" s="267" t="s">
        <v>619</v>
      </c>
      <c r="AA26" s="278" t="s">
        <v>74</v>
      </c>
      <c r="AB26" s="278" t="s">
        <v>7</v>
      </c>
      <c r="AC26" s="279" t="s">
        <v>124</v>
      </c>
      <c r="AD26" s="269" t="s">
        <v>649</v>
      </c>
      <c r="AE26" s="280" t="e">
        <f>DATE(【様式１】総括表・個票!D10,【様式１】総括表・個票!I10,1)</f>
        <v>#VALUE!</v>
      </c>
    </row>
    <row r="27" spans="1:31" ht="15" customHeight="1" thickBot="1">
      <c r="A27" s="1670"/>
      <c r="B27" s="1672"/>
      <c r="C27" s="1646"/>
      <c r="D27" s="1648"/>
      <c r="E27" s="1646"/>
      <c r="F27" s="1652"/>
      <c r="G27" s="1654"/>
      <c r="H27" s="1656"/>
      <c r="I27" s="1665"/>
      <c r="J27" s="1668"/>
      <c r="L27" s="281"/>
      <c r="M27" s="282"/>
      <c r="N27" s="283"/>
      <c r="O27" s="283"/>
      <c r="P27" s="284"/>
      <c r="Q27" s="200"/>
      <c r="R27" s="285"/>
      <c r="S27" s="284"/>
      <c r="T27" s="286"/>
      <c r="U27" s="287"/>
      <c r="V27" s="287"/>
      <c r="W27" s="287"/>
      <c r="X27" s="288"/>
      <c r="Z27" s="289" t="s">
        <v>650</v>
      </c>
      <c r="AA27" s="290" t="s">
        <v>651</v>
      </c>
      <c r="AB27" s="278" t="s">
        <v>8</v>
      </c>
      <c r="AC27" s="279" t="s">
        <v>125</v>
      </c>
      <c r="AD27" s="279" t="s">
        <v>652</v>
      </c>
      <c r="AE27" s="291"/>
    </row>
    <row r="28" spans="1:31" ht="15" customHeight="1">
      <c r="A28" s="292">
        <f>ROW()-ROW($A$27)</f>
        <v>1</v>
      </c>
      <c r="B28" s="293"/>
      <c r="C28" s="832" t="s">
        <v>650</v>
      </c>
      <c r="D28" s="294"/>
      <c r="E28" s="832" t="str">
        <f>IF($D28="有給","委託","")</f>
        <v/>
      </c>
      <c r="F28" s="833" t="str">
        <f>IF(G28&gt;0,"要添付書類➡","-")</f>
        <v>-</v>
      </c>
      <c r="G28" s="838"/>
      <c r="H28" s="295"/>
      <c r="I28" s="296"/>
      <c r="J28" s="657" t="str">
        <f t="shared" ref="J28:J32" si="6">IF(L28,IF(OR(P28,O28),"エラー",C28),"-")</f>
        <v>-</v>
      </c>
      <c r="L28" s="297" t="b">
        <f>$D28=$L$25</f>
        <v>0</v>
      </c>
      <c r="M28" s="298"/>
      <c r="N28" s="299">
        <f>IF($E28&lt;&gt;$N$25,0,COUNTIF($E28:E$28,$N$25))</f>
        <v>0</v>
      </c>
      <c r="O28" s="299" t="e">
        <f>$H28&gt;$H$26</f>
        <v>#VALUE!</v>
      </c>
      <c r="P28" s="300" t="b">
        <f>OR(B28=0,C28=0,E28=0,AND($E28=P$25,OR($G28=0,ISTEXT($G28))),$H28=0)</f>
        <v>1</v>
      </c>
      <c r="Q28" s="200"/>
      <c r="R28" s="301"/>
      <c r="S28" s="302">
        <f>IF($E28=S$24,$G28,0)</f>
        <v>0</v>
      </c>
      <c r="T28" s="301"/>
      <c r="U28" s="303"/>
      <c r="V28" s="303"/>
      <c r="W28" s="303"/>
      <c r="X28" s="304"/>
      <c r="Z28" s="289" t="s">
        <v>126</v>
      </c>
      <c r="AA28" s="290" t="s">
        <v>525</v>
      </c>
      <c r="AB28" s="278"/>
      <c r="AC28" s="279" t="s">
        <v>653</v>
      </c>
      <c r="AD28" s="279" t="s">
        <v>654</v>
      </c>
      <c r="AE28" s="291"/>
    </row>
    <row r="29" spans="1:31" ht="15" customHeight="1" thickBot="1">
      <c r="A29" s="305">
        <f>ROW()-ROW($A$27)</f>
        <v>2</v>
      </c>
      <c r="B29" s="306"/>
      <c r="C29" s="834" t="s">
        <v>655</v>
      </c>
      <c r="D29" s="307"/>
      <c r="E29" s="834" t="str">
        <f t="shared" ref="E29:E32" si="7">IF($D29="有給","委託","")</f>
        <v/>
      </c>
      <c r="F29" s="835" t="str">
        <f t="shared" ref="F29:F32" si="8">IF(G29&gt;0,"要添付書類➡","-")</f>
        <v>-</v>
      </c>
      <c r="G29" s="839"/>
      <c r="H29" s="125"/>
      <c r="I29" s="309"/>
      <c r="J29" s="373" t="str">
        <f t="shared" si="6"/>
        <v>-</v>
      </c>
      <c r="L29" s="310" t="b">
        <f>$D29=$L$25</f>
        <v>0</v>
      </c>
      <c r="M29" s="311"/>
      <c r="N29" s="312">
        <f>IF($E29&lt;&gt;$N$25,0,COUNTIF($E$28:E29,$N$25))</f>
        <v>0</v>
      </c>
      <c r="O29" s="312" t="e">
        <f>$H29&gt;$H$26</f>
        <v>#VALUE!</v>
      </c>
      <c r="P29" s="313" t="b">
        <f>OR(B29=0,C29=0,E29=0,AND($E29=P$25,OR($G29=0,ISTEXT($G29))),$H29=0)</f>
        <v>1</v>
      </c>
      <c r="Q29" s="200"/>
      <c r="R29" s="314"/>
      <c r="S29" s="315">
        <f>IF($E29=S$34,$G29,0)</f>
        <v>0</v>
      </c>
      <c r="T29" s="314"/>
      <c r="U29" s="316"/>
      <c r="V29" s="316"/>
      <c r="W29" s="317"/>
      <c r="X29" s="318"/>
      <c r="Z29" s="289" t="s">
        <v>123</v>
      </c>
      <c r="AA29" s="115" t="s">
        <v>75</v>
      </c>
      <c r="AB29" s="156"/>
      <c r="AC29" s="319" t="s">
        <v>656</v>
      </c>
      <c r="AD29" s="319" t="s">
        <v>656</v>
      </c>
      <c r="AE29" s="291"/>
    </row>
    <row r="30" spans="1:31" ht="15" customHeight="1" thickTop="1">
      <c r="A30" s="305">
        <f>ROW()-ROW($A$27)</f>
        <v>3</v>
      </c>
      <c r="B30" s="306"/>
      <c r="C30" s="834" t="s">
        <v>657</v>
      </c>
      <c r="D30" s="307"/>
      <c r="E30" s="834" t="str">
        <f t="shared" si="7"/>
        <v/>
      </c>
      <c r="F30" s="835" t="str">
        <f t="shared" si="8"/>
        <v>-</v>
      </c>
      <c r="G30" s="839"/>
      <c r="H30" s="125"/>
      <c r="I30" s="309"/>
      <c r="J30" s="373" t="str">
        <f t="shared" si="6"/>
        <v>-</v>
      </c>
      <c r="L30" s="310" t="b">
        <f>$D30=$L$25</f>
        <v>0</v>
      </c>
      <c r="M30" s="311"/>
      <c r="N30" s="312">
        <f>IF($E30&lt;&gt;$N$25,0,COUNTIF($E$28:E30,$N$25))</f>
        <v>0</v>
      </c>
      <c r="O30" s="312" t="e">
        <f>$H30&gt;$H$26</f>
        <v>#VALUE!</v>
      </c>
      <c r="P30" s="313" t="b">
        <f>OR(B30=0,C30=0,E30=0,AND($E30=P$25,OR($G30=0,ISTEXT($G30))),$H30=0)</f>
        <v>1</v>
      </c>
      <c r="Q30" s="200"/>
      <c r="R30" s="314"/>
      <c r="S30" s="315">
        <f>IF($E30=S$34,$G30,0)</f>
        <v>0</v>
      </c>
      <c r="T30" s="314"/>
      <c r="U30" s="316"/>
      <c r="V30" s="316"/>
      <c r="W30" s="317"/>
      <c r="X30" s="318"/>
      <c r="Z30" s="289" t="s">
        <v>309</v>
      </c>
      <c r="AA30" s="115"/>
      <c r="AB30" s="156"/>
      <c r="AC30" s="1657" t="s">
        <v>658</v>
      </c>
      <c r="AD30" s="1657"/>
      <c r="AE30" s="291"/>
    </row>
    <row r="31" spans="1:31" ht="15" customHeight="1">
      <c r="A31" s="305">
        <f>ROW()-ROW($A$27)</f>
        <v>4</v>
      </c>
      <c r="B31" s="306"/>
      <c r="C31" s="834" t="s">
        <v>659</v>
      </c>
      <c r="D31" s="307"/>
      <c r="E31" s="834" t="str">
        <f t="shared" si="7"/>
        <v/>
      </c>
      <c r="F31" s="835" t="str">
        <f t="shared" si="8"/>
        <v>-</v>
      </c>
      <c r="G31" s="839"/>
      <c r="H31" s="125"/>
      <c r="I31" s="309"/>
      <c r="J31" s="373" t="str">
        <f t="shared" si="6"/>
        <v>-</v>
      </c>
      <c r="L31" s="310" t="b">
        <f>$D31=$L$25</f>
        <v>0</v>
      </c>
      <c r="M31" s="311"/>
      <c r="N31" s="312">
        <f>IF($E31&lt;&gt;$N$25,0,COUNTIF($E$28:E31,$N$25))</f>
        <v>0</v>
      </c>
      <c r="O31" s="312" t="e">
        <f>$H31&gt;$H$26</f>
        <v>#VALUE!</v>
      </c>
      <c r="P31" s="313" t="b">
        <f>OR(B31=0,C31=0,E31=0,AND($E31=P$25,OR($G31=0,ISTEXT($G31))),$H31=0)</f>
        <v>1</v>
      </c>
      <c r="Q31" s="200"/>
      <c r="R31" s="314"/>
      <c r="S31" s="315">
        <f>IF($E31=S$34,$G31,0)</f>
        <v>0</v>
      </c>
      <c r="T31" s="314"/>
      <c r="U31" s="316"/>
      <c r="V31" s="316"/>
      <c r="W31" s="317"/>
      <c r="X31" s="318"/>
      <c r="Z31" s="320" t="s">
        <v>6</v>
      </c>
      <c r="AA31" s="115"/>
      <c r="AB31" s="156"/>
      <c r="AC31" s="1658"/>
      <c r="AD31" s="1658"/>
      <c r="AE31" s="291"/>
    </row>
    <row r="32" spans="1:31" ht="15" customHeight="1" thickBot="1">
      <c r="A32" s="321">
        <f>ROW()-ROW($A$27)</f>
        <v>5</v>
      </c>
      <c r="B32" s="322"/>
      <c r="C32" s="836" t="s">
        <v>660</v>
      </c>
      <c r="D32" s="323"/>
      <c r="E32" s="836" t="str">
        <f t="shared" si="7"/>
        <v/>
      </c>
      <c r="F32" s="837" t="str">
        <f t="shared" si="8"/>
        <v>-</v>
      </c>
      <c r="G32" s="840"/>
      <c r="H32" s="325"/>
      <c r="I32" s="326"/>
      <c r="J32" s="381" t="str">
        <f t="shared" si="6"/>
        <v>-</v>
      </c>
      <c r="L32" s="327" t="b">
        <f>$D32=$L$25</f>
        <v>0</v>
      </c>
      <c r="M32" s="328"/>
      <c r="N32" s="329">
        <f>IF($E32&lt;&gt;$N$25,0,COUNTIF($E$28:E32,$N$25))</f>
        <v>0</v>
      </c>
      <c r="O32" s="329" t="e">
        <f>$H32&gt;$H$26</f>
        <v>#VALUE!</v>
      </c>
      <c r="P32" s="330" t="b">
        <f>OR(B32=0,C32=0,E32=0,AND($E32=P$25,OR($G32=0,ISTEXT($G32))),$H32=0)</f>
        <v>1</v>
      </c>
      <c r="Q32" s="200"/>
      <c r="R32" s="331"/>
      <c r="S32" s="332">
        <f>IF($E32=S$34,$G32,0)</f>
        <v>0</v>
      </c>
      <c r="T32" s="331"/>
      <c r="U32" s="333"/>
      <c r="V32" s="333"/>
      <c r="W32" s="334"/>
      <c r="X32" s="335"/>
      <c r="Z32" s="336" t="s">
        <v>661</v>
      </c>
      <c r="AA32" s="156"/>
      <c r="AB32" s="156"/>
      <c r="AC32" s="1658"/>
      <c r="AD32" s="1658"/>
      <c r="AE32" s="291"/>
    </row>
    <row r="33" spans="1:31" ht="15" customHeight="1" thickBot="1">
      <c r="A33" s="154"/>
      <c r="B33" s="737" t="s">
        <v>662</v>
      </c>
      <c r="C33" s="154"/>
      <c r="D33" s="154"/>
      <c r="E33" s="154"/>
      <c r="F33" s="154"/>
      <c r="G33" s="154"/>
      <c r="H33" s="154"/>
      <c r="I33" s="154"/>
      <c r="J33" s="154"/>
      <c r="K33" s="337"/>
      <c r="S33" s="101"/>
      <c r="Z33" s="338"/>
      <c r="AA33" s="163"/>
      <c r="AB33" s="339"/>
      <c r="AC33" s="1659"/>
      <c r="AD33" s="1659"/>
      <c r="AE33" s="340"/>
    </row>
    <row r="34" spans="1:31" ht="15" customHeight="1" thickBot="1">
      <c r="A34" s="154"/>
      <c r="B34" s="341" t="s">
        <v>917</v>
      </c>
      <c r="C34" s="341"/>
      <c r="D34" s="341"/>
      <c r="E34" s="341"/>
      <c r="F34" s="341"/>
      <c r="G34" s="341"/>
      <c r="H34" s="341"/>
      <c r="I34" s="341"/>
      <c r="J34" s="341"/>
      <c r="K34" s="337"/>
      <c r="L34" s="424" t="s">
        <v>634</v>
      </c>
      <c r="M34" s="427" t="s">
        <v>635</v>
      </c>
      <c r="N34" s="425" t="s">
        <v>8</v>
      </c>
      <c r="O34" s="425" t="s">
        <v>512</v>
      </c>
      <c r="P34" s="789" t="s">
        <v>513</v>
      </c>
      <c r="Q34" s="200"/>
      <c r="R34" s="342" t="str">
        <f>AB26</f>
        <v>常勤</v>
      </c>
      <c r="S34" s="343" t="str">
        <f>AB27</f>
        <v>非常勤</v>
      </c>
      <c r="T34" s="344" t="str">
        <f>AB26</f>
        <v>常勤</v>
      </c>
      <c r="U34" s="345" t="str">
        <f>T34</f>
        <v>常勤</v>
      </c>
      <c r="V34" s="345" t="str">
        <f>U34</f>
        <v>常勤</v>
      </c>
      <c r="W34" s="345" t="str">
        <f>V34</f>
        <v>常勤</v>
      </c>
      <c r="X34" s="346" t="str">
        <f>AB27</f>
        <v>非常勤</v>
      </c>
    </row>
    <row r="35" spans="1:31" ht="15" customHeight="1">
      <c r="A35" s="1660" t="s">
        <v>456</v>
      </c>
      <c r="B35" s="1661"/>
      <c r="C35" s="1662" t="s">
        <v>72</v>
      </c>
      <c r="D35" s="1661"/>
      <c r="E35" s="1662" t="s">
        <v>641</v>
      </c>
      <c r="F35" s="1663"/>
      <c r="G35" s="1661"/>
      <c r="H35" s="788" t="s">
        <v>663</v>
      </c>
      <c r="I35" s="1662" t="s">
        <v>643</v>
      </c>
      <c r="J35" s="1666" t="s">
        <v>644</v>
      </c>
      <c r="K35" s="337"/>
      <c r="L35" s="258" t="str">
        <f>$AA26</f>
        <v>有給</v>
      </c>
      <c r="M35" s="259" t="b">
        <f>TRUE()</f>
        <v>1</v>
      </c>
      <c r="N35" s="260" t="str">
        <f>$AB$27</f>
        <v>非常勤</v>
      </c>
      <c r="O35" s="260"/>
      <c r="P35" s="261" t="str">
        <f>$AB$27</f>
        <v>非常勤</v>
      </c>
      <c r="Q35" s="200"/>
      <c r="R35" s="347"/>
      <c r="S35" s="263"/>
      <c r="T35" s="348" t="str">
        <f>AC26</f>
        <v>正職</v>
      </c>
      <c r="U35" s="349" t="str">
        <f>AC27</f>
        <v>臨職</v>
      </c>
      <c r="V35" s="349" t="str">
        <f>AC28</f>
        <v>派遣契約</v>
      </c>
      <c r="W35" s="349" t="str">
        <f>AC29</f>
        <v>嘱託契約</v>
      </c>
      <c r="X35" s="350"/>
    </row>
    <row r="36" spans="1:31" ht="15" customHeight="1">
      <c r="A36" s="1669" t="s">
        <v>664</v>
      </c>
      <c r="B36" s="1671">
        <f>COUNTA(B38:B137)</f>
        <v>0</v>
      </c>
      <c r="C36" s="1645" t="s">
        <v>312</v>
      </c>
      <c r="D36" s="1647" t="s">
        <v>77</v>
      </c>
      <c r="E36" s="1649" t="s">
        <v>665</v>
      </c>
      <c r="F36" s="1651" t="s">
        <v>666</v>
      </c>
      <c r="G36" s="1653" t="str">
        <f>IF(SUM($G$38:$G$137)&lt;&gt;【様式３】シフト表!$AK$107,"エラー：シフト表と不一致","非常勤の勤務時間/月")</f>
        <v>非常勤の勤務時間/月</v>
      </c>
      <c r="H36" s="1655" t="e">
        <f>"("&amp;TEXT($AE$26,"YYYY/M/D")&amp;"以前)"</f>
        <v>#VALUE!</v>
      </c>
      <c r="I36" s="1664"/>
      <c r="J36" s="1667"/>
      <c r="K36" s="337"/>
      <c r="L36" s="271"/>
      <c r="M36" s="272" t="str">
        <f>Z32</f>
        <v>看護師・保健師</v>
      </c>
      <c r="N36" s="351"/>
      <c r="O36" s="184"/>
      <c r="P36" s="273"/>
      <c r="Q36" s="200"/>
      <c r="R36" s="271"/>
      <c r="S36" s="273"/>
      <c r="T36" s="352"/>
      <c r="U36" s="290"/>
      <c r="V36" s="290"/>
      <c r="W36" s="290"/>
      <c r="X36" s="353"/>
    </row>
    <row r="37" spans="1:31" ht="15" customHeight="1" thickBot="1">
      <c r="A37" s="1670"/>
      <c r="B37" s="1672"/>
      <c r="C37" s="1646"/>
      <c r="D37" s="1648"/>
      <c r="E37" s="1650"/>
      <c r="F37" s="1652"/>
      <c r="G37" s="1654"/>
      <c r="H37" s="1656"/>
      <c r="I37" s="1665"/>
      <c r="J37" s="1668"/>
      <c r="K37" s="337"/>
      <c r="L37" s="281"/>
      <c r="M37" s="282"/>
      <c r="N37" s="283"/>
      <c r="O37" s="283"/>
      <c r="P37" s="284"/>
      <c r="Q37" s="200"/>
      <c r="R37" s="281"/>
      <c r="S37" s="284"/>
      <c r="T37" s="354"/>
      <c r="U37" s="355"/>
      <c r="V37" s="355"/>
      <c r="W37" s="355"/>
      <c r="X37" s="356"/>
    </row>
    <row r="38" spans="1:31" ht="15" customHeight="1">
      <c r="A38" s="357">
        <f>ROW()-ROW($A$37)</f>
        <v>1</v>
      </c>
      <c r="B38" s="358"/>
      <c r="C38" s="359"/>
      <c r="D38" s="360"/>
      <c r="E38" s="359"/>
      <c r="F38" s="361"/>
      <c r="G38" s="362">
        <f>IFERROR(INDEX(【様式３】シフト表!$AK$7:$AK$106,MATCH($N38,【様式３】シフト表!$B$7:$B$106,0),1),0)</f>
        <v>0</v>
      </c>
      <c r="H38" s="363"/>
      <c r="I38" s="364"/>
      <c r="J38" s="365" t="str">
        <f>IF(L38,IF(OR(P38,O38),"エラー",IF(C38=$Z$32,IF(M38,$Z$27,$Z$31),C38)),"-")</f>
        <v>-</v>
      </c>
      <c r="K38" s="150"/>
      <c r="L38" s="297" t="b">
        <f>$D38=$L$35</f>
        <v>0</v>
      </c>
      <c r="M38" s="366" t="b">
        <f>AND($M$35,C38=$M$36,L38,COUNTIF($M$37:$M37,TRUE)=0)</f>
        <v>0</v>
      </c>
      <c r="N38" s="299">
        <f>IF($E38&lt;&gt;$N$35,0,COUNTIF($E$38:E38,$N$35))</f>
        <v>0</v>
      </c>
      <c r="O38" s="299" t="e">
        <f t="shared" ref="O38:O101" si="9">OR($H38&gt;$H$36,AND($E38=$AB$26,$F38&lt;&gt;$AC$26,$F38&lt;&gt;$AC$27,$F38&lt;&gt;$AC$28,$F38&lt;&gt;$AC$29),AND($E38=$AB$27,$F38&lt;&gt;$AD$26,$F38&lt;&gt;$AD$27,$F38&lt;&gt;$AD$28,$F38&lt;&gt;$AD$29))</f>
        <v>#VALUE!</v>
      </c>
      <c r="P38" s="300" t="b">
        <f>OR($B38=0,$C38=0,$E38=0,AND($E38&lt;&gt;0,$F38=0),AND($E38=P$35,$G38=0),$H38=0)</f>
        <v>1</v>
      </c>
      <c r="Q38" s="200"/>
      <c r="R38" s="367">
        <f t="shared" ref="R38:R101" si="10">IF($E38=R$34,1,0)</f>
        <v>0</v>
      </c>
      <c r="S38" s="302">
        <f t="shared" ref="S38:S101" si="11">IF($E38=S$34,$G38,0)</f>
        <v>0</v>
      </c>
      <c r="T38" s="367">
        <f>IF(AND($E38=T$34,$F38=T$35),$J38,0)</f>
        <v>0</v>
      </c>
      <c r="U38" s="368">
        <f>IF(AND($E38=U$34,$F38=U$35),$J38,0)</f>
        <v>0</v>
      </c>
      <c r="V38" s="368">
        <f t="shared" ref="T38:W57" si="12">IF(AND($E38=V$34,$F38=V$35),$J38,0)</f>
        <v>0</v>
      </c>
      <c r="W38" s="369">
        <f>IF(AND($E38=W$34,$F38=W$35),$J38,0)</f>
        <v>0</v>
      </c>
      <c r="X38" s="302">
        <f>IF($E38=X$34,$J38,0)</f>
        <v>0</v>
      </c>
    </row>
    <row r="39" spans="1:31" ht="15" customHeight="1">
      <c r="A39" s="370">
        <f>A38+1</f>
        <v>2</v>
      </c>
      <c r="B39" s="306"/>
      <c r="C39" s="371"/>
      <c r="D39" s="307"/>
      <c r="E39" s="371"/>
      <c r="F39" s="308"/>
      <c r="G39" s="372">
        <f>IFERROR(INDEX(【様式３】シフト表!$AK$7:$AK$106,MATCH($N39,【様式３】シフト表!$B$7:$B$106,0),1),0)</f>
        <v>0</v>
      </c>
      <c r="H39" s="125"/>
      <c r="I39" s="309"/>
      <c r="J39" s="373" t="str">
        <f t="shared" ref="J39:J102" si="13">IF(L39,IF(OR(P39,O39),"エラー",IF(C39=$Z$32,IF(M39,$Z$27,$Z$31),C39)),"-")</f>
        <v>-</v>
      </c>
      <c r="K39" s="150"/>
      <c r="L39" s="310" t="b">
        <f t="shared" ref="L39:L102" si="14">$D39=$L$35</f>
        <v>0</v>
      </c>
      <c r="M39" s="374" t="b">
        <f>AND($M$35,C39=$M$36,L39,COUNTIF($M$37:$M38,TRUE)=0)</f>
        <v>0</v>
      </c>
      <c r="N39" s="312">
        <f>IF($E39&lt;&gt;$N$35,0,COUNTIF($E$38:E39,$N$35))</f>
        <v>0</v>
      </c>
      <c r="O39" s="312" t="e">
        <f t="shared" si="9"/>
        <v>#VALUE!</v>
      </c>
      <c r="P39" s="313" t="b">
        <f t="shared" ref="P39:P102" si="15">OR($B39=0,$C39=0,$E39=0,AND($E39&lt;&gt;0,$F39=0),AND($E39=P$35,$G39=0),$H39=0)</f>
        <v>1</v>
      </c>
      <c r="Q39" s="200"/>
      <c r="R39" s="375">
        <f t="shared" si="10"/>
        <v>0</v>
      </c>
      <c r="S39" s="315">
        <f t="shared" si="11"/>
        <v>0</v>
      </c>
      <c r="T39" s="375">
        <f t="shared" si="12"/>
        <v>0</v>
      </c>
      <c r="U39" s="315">
        <f t="shared" si="12"/>
        <v>0</v>
      </c>
      <c r="V39" s="315">
        <f t="shared" si="12"/>
        <v>0</v>
      </c>
      <c r="W39" s="376">
        <f t="shared" si="12"/>
        <v>0</v>
      </c>
      <c r="X39" s="377">
        <f t="shared" ref="X39:X102" si="16">IF($E39=X$34,$J39,0)</f>
        <v>0</v>
      </c>
    </row>
    <row r="40" spans="1:31" ht="15" customHeight="1">
      <c r="A40" s="370">
        <f t="shared" ref="A40:A103" si="17">A39+1</f>
        <v>3</v>
      </c>
      <c r="B40" s="306"/>
      <c r="C40" s="371"/>
      <c r="D40" s="307"/>
      <c r="E40" s="371"/>
      <c r="F40" s="308"/>
      <c r="G40" s="372">
        <f>IFERROR(INDEX(【様式３】シフト表!$AK$7:$AK$106,MATCH($N40,【様式３】シフト表!$B$7:$B$106,0),1),0)</f>
        <v>0</v>
      </c>
      <c r="H40" s="125"/>
      <c r="I40" s="309"/>
      <c r="J40" s="373" t="str">
        <f t="shared" si="13"/>
        <v>-</v>
      </c>
      <c r="K40" s="150"/>
      <c r="L40" s="310" t="b">
        <f t="shared" si="14"/>
        <v>0</v>
      </c>
      <c r="M40" s="374" t="b">
        <f>AND($M$35,C40=$M$36,L40,COUNTIF($M$37:$M39,TRUE)=0)</f>
        <v>0</v>
      </c>
      <c r="N40" s="312">
        <f>IF($E40&lt;&gt;$N$35,0,COUNTIF($E$38:E40,$N$35))</f>
        <v>0</v>
      </c>
      <c r="O40" s="312" t="e">
        <f t="shared" si="9"/>
        <v>#VALUE!</v>
      </c>
      <c r="P40" s="313" t="b">
        <f t="shared" si="15"/>
        <v>1</v>
      </c>
      <c r="Q40" s="200"/>
      <c r="R40" s="375">
        <f t="shared" si="10"/>
        <v>0</v>
      </c>
      <c r="S40" s="315">
        <f t="shared" si="11"/>
        <v>0</v>
      </c>
      <c r="T40" s="375">
        <f t="shared" si="12"/>
        <v>0</v>
      </c>
      <c r="U40" s="315">
        <f t="shared" si="12"/>
        <v>0</v>
      </c>
      <c r="V40" s="315">
        <f t="shared" si="12"/>
        <v>0</v>
      </c>
      <c r="W40" s="376">
        <f t="shared" si="12"/>
        <v>0</v>
      </c>
      <c r="X40" s="377">
        <f t="shared" si="16"/>
        <v>0</v>
      </c>
    </row>
    <row r="41" spans="1:31" ht="15" customHeight="1">
      <c r="A41" s="370">
        <f t="shared" si="17"/>
        <v>4</v>
      </c>
      <c r="B41" s="306"/>
      <c r="C41" s="371"/>
      <c r="D41" s="307"/>
      <c r="E41" s="371"/>
      <c r="F41" s="308"/>
      <c r="G41" s="372">
        <f>IFERROR(INDEX(【様式３】シフト表!$AK$7:$AK$106,MATCH($N41,【様式３】シフト表!$B$7:$B$106,0),1),0)</f>
        <v>0</v>
      </c>
      <c r="H41" s="125"/>
      <c r="I41" s="309"/>
      <c r="J41" s="373" t="str">
        <f t="shared" si="13"/>
        <v>-</v>
      </c>
      <c r="K41" s="150"/>
      <c r="L41" s="310" t="b">
        <f t="shared" si="14"/>
        <v>0</v>
      </c>
      <c r="M41" s="374" t="b">
        <f>AND($M$35,C41=$M$36,L41,COUNTIF($M$37:$M40,TRUE)=0)</f>
        <v>0</v>
      </c>
      <c r="N41" s="312">
        <f>IF($E41&lt;&gt;$N$35,0,COUNTIF($E$38:E41,$N$35))</f>
        <v>0</v>
      </c>
      <c r="O41" s="312" t="e">
        <f t="shared" si="9"/>
        <v>#VALUE!</v>
      </c>
      <c r="P41" s="313" t="b">
        <f t="shared" si="15"/>
        <v>1</v>
      </c>
      <c r="Q41" s="200"/>
      <c r="R41" s="375">
        <f t="shared" si="10"/>
        <v>0</v>
      </c>
      <c r="S41" s="315">
        <f t="shared" si="11"/>
        <v>0</v>
      </c>
      <c r="T41" s="375">
        <f t="shared" si="12"/>
        <v>0</v>
      </c>
      <c r="U41" s="315">
        <f t="shared" si="12"/>
        <v>0</v>
      </c>
      <c r="V41" s="315">
        <f t="shared" si="12"/>
        <v>0</v>
      </c>
      <c r="W41" s="376">
        <f t="shared" si="12"/>
        <v>0</v>
      </c>
      <c r="X41" s="377">
        <f t="shared" si="16"/>
        <v>0</v>
      </c>
    </row>
    <row r="42" spans="1:31" ht="15" customHeight="1">
      <c r="A42" s="370">
        <f t="shared" si="17"/>
        <v>5</v>
      </c>
      <c r="B42" s="306"/>
      <c r="C42" s="371"/>
      <c r="D42" s="307"/>
      <c r="E42" s="371"/>
      <c r="F42" s="308"/>
      <c r="G42" s="372">
        <f>IFERROR(INDEX(【様式３】シフト表!$AK$7:$AK$106,MATCH($N42,【様式３】シフト表!$B$7:$B$106,0),1),0)</f>
        <v>0</v>
      </c>
      <c r="H42" s="125"/>
      <c r="I42" s="309"/>
      <c r="J42" s="373" t="str">
        <f t="shared" si="13"/>
        <v>-</v>
      </c>
      <c r="K42" s="150"/>
      <c r="L42" s="310" t="b">
        <f t="shared" si="14"/>
        <v>0</v>
      </c>
      <c r="M42" s="374" t="b">
        <f>AND($M$35,C42=$M$36,L42,COUNTIF($M$37:$M41,TRUE)=0)</f>
        <v>0</v>
      </c>
      <c r="N42" s="312">
        <f>IF($E42&lt;&gt;$N$35,0,COUNTIF($E$38:E42,$N$35))</f>
        <v>0</v>
      </c>
      <c r="O42" s="312" t="e">
        <f t="shared" si="9"/>
        <v>#VALUE!</v>
      </c>
      <c r="P42" s="313" t="b">
        <f t="shared" si="15"/>
        <v>1</v>
      </c>
      <c r="Q42" s="200"/>
      <c r="R42" s="375">
        <f t="shared" si="10"/>
        <v>0</v>
      </c>
      <c r="S42" s="315">
        <f t="shared" si="11"/>
        <v>0</v>
      </c>
      <c r="T42" s="375">
        <f t="shared" si="12"/>
        <v>0</v>
      </c>
      <c r="U42" s="315">
        <f t="shared" si="12"/>
        <v>0</v>
      </c>
      <c r="V42" s="315">
        <f t="shared" si="12"/>
        <v>0</v>
      </c>
      <c r="W42" s="376">
        <f t="shared" si="12"/>
        <v>0</v>
      </c>
      <c r="X42" s="377">
        <f>IF($E42=X$34,$J42,0)</f>
        <v>0</v>
      </c>
    </row>
    <row r="43" spans="1:31" ht="15" customHeight="1">
      <c r="A43" s="370">
        <f t="shared" si="17"/>
        <v>6</v>
      </c>
      <c r="B43" s="306"/>
      <c r="C43" s="371"/>
      <c r="D43" s="307"/>
      <c r="E43" s="371"/>
      <c r="F43" s="308"/>
      <c r="G43" s="372">
        <f>IFERROR(INDEX(【様式３】シフト表!$AK$7:$AK$106,MATCH($N43,【様式３】シフト表!$B$7:$B$106,0),1),0)</f>
        <v>0</v>
      </c>
      <c r="H43" s="125"/>
      <c r="I43" s="309"/>
      <c r="J43" s="373" t="str">
        <f t="shared" si="13"/>
        <v>-</v>
      </c>
      <c r="K43" s="150"/>
      <c r="L43" s="310" t="b">
        <f t="shared" si="14"/>
        <v>0</v>
      </c>
      <c r="M43" s="374" t="b">
        <f>AND($M$35,C43=$M$36,L43,COUNTIF($M$37:$M42,TRUE)=0)</f>
        <v>0</v>
      </c>
      <c r="N43" s="312">
        <f>IF($E43&lt;&gt;$N$35,0,COUNTIF($E$38:E43,$N$35))</f>
        <v>0</v>
      </c>
      <c r="O43" s="312" t="e">
        <f t="shared" si="9"/>
        <v>#VALUE!</v>
      </c>
      <c r="P43" s="313" t="b">
        <f t="shared" si="15"/>
        <v>1</v>
      </c>
      <c r="Q43" s="200"/>
      <c r="R43" s="375">
        <f t="shared" si="10"/>
        <v>0</v>
      </c>
      <c r="S43" s="315">
        <f t="shared" si="11"/>
        <v>0</v>
      </c>
      <c r="T43" s="375">
        <f t="shared" si="12"/>
        <v>0</v>
      </c>
      <c r="U43" s="315">
        <f t="shared" si="12"/>
        <v>0</v>
      </c>
      <c r="V43" s="315">
        <f t="shared" si="12"/>
        <v>0</v>
      </c>
      <c r="W43" s="376">
        <f t="shared" si="12"/>
        <v>0</v>
      </c>
      <c r="X43" s="377">
        <f t="shared" si="16"/>
        <v>0</v>
      </c>
    </row>
    <row r="44" spans="1:31" ht="15" customHeight="1">
      <c r="A44" s="370">
        <f t="shared" si="17"/>
        <v>7</v>
      </c>
      <c r="B44" s="306"/>
      <c r="C44" s="371"/>
      <c r="D44" s="307"/>
      <c r="E44" s="371"/>
      <c r="F44" s="308"/>
      <c r="G44" s="372">
        <f>IFERROR(INDEX(【様式３】シフト表!$AK$7:$AK$106,MATCH($N44,【様式３】シフト表!$B$7:$B$106,0),1),0)</f>
        <v>0</v>
      </c>
      <c r="H44" s="125"/>
      <c r="I44" s="309"/>
      <c r="J44" s="373" t="str">
        <f t="shared" si="13"/>
        <v>-</v>
      </c>
      <c r="K44" s="150"/>
      <c r="L44" s="310" t="b">
        <f t="shared" si="14"/>
        <v>0</v>
      </c>
      <c r="M44" s="374" t="b">
        <f>AND($M$35,C44=$M$36,L44,COUNTIF($M$37:$M43,TRUE)=0)</f>
        <v>0</v>
      </c>
      <c r="N44" s="312">
        <f>IF($E44&lt;&gt;$N$35,0,COUNTIF($E$38:E44,$N$35))</f>
        <v>0</v>
      </c>
      <c r="O44" s="312" t="e">
        <f t="shared" si="9"/>
        <v>#VALUE!</v>
      </c>
      <c r="P44" s="313" t="b">
        <f t="shared" si="15"/>
        <v>1</v>
      </c>
      <c r="Q44" s="200"/>
      <c r="R44" s="375">
        <f t="shared" si="10"/>
        <v>0</v>
      </c>
      <c r="S44" s="315">
        <f t="shared" si="11"/>
        <v>0</v>
      </c>
      <c r="T44" s="375">
        <f t="shared" si="12"/>
        <v>0</v>
      </c>
      <c r="U44" s="315">
        <f t="shared" si="12"/>
        <v>0</v>
      </c>
      <c r="V44" s="315">
        <f t="shared" si="12"/>
        <v>0</v>
      </c>
      <c r="W44" s="376">
        <f t="shared" si="12"/>
        <v>0</v>
      </c>
      <c r="X44" s="377">
        <f t="shared" si="16"/>
        <v>0</v>
      </c>
    </row>
    <row r="45" spans="1:31" ht="15" customHeight="1">
      <c r="A45" s="370">
        <f t="shared" si="17"/>
        <v>8</v>
      </c>
      <c r="B45" s="306"/>
      <c r="C45" s="371"/>
      <c r="D45" s="307"/>
      <c r="E45" s="371"/>
      <c r="F45" s="308"/>
      <c r="G45" s="372">
        <f>IFERROR(INDEX(【様式３】シフト表!$AK$7:$AK$106,MATCH($N45,【様式３】シフト表!$B$7:$B$106,0),1),0)</f>
        <v>0</v>
      </c>
      <c r="H45" s="125"/>
      <c r="I45" s="309"/>
      <c r="J45" s="373" t="str">
        <f t="shared" si="13"/>
        <v>-</v>
      </c>
      <c r="K45" s="150"/>
      <c r="L45" s="310" t="b">
        <f t="shared" si="14"/>
        <v>0</v>
      </c>
      <c r="M45" s="374" t="b">
        <f>AND($M$35,C45=$M$36,L45,COUNTIF($M$37:$M44,TRUE)=0)</f>
        <v>0</v>
      </c>
      <c r="N45" s="312">
        <f>IF($E45&lt;&gt;$N$35,0,COUNTIF($E$38:E45,$N$35))</f>
        <v>0</v>
      </c>
      <c r="O45" s="312" t="e">
        <f t="shared" si="9"/>
        <v>#VALUE!</v>
      </c>
      <c r="P45" s="313" t="b">
        <f t="shared" si="15"/>
        <v>1</v>
      </c>
      <c r="Q45" s="200"/>
      <c r="R45" s="375">
        <f t="shared" si="10"/>
        <v>0</v>
      </c>
      <c r="S45" s="315">
        <f t="shared" si="11"/>
        <v>0</v>
      </c>
      <c r="T45" s="375">
        <f t="shared" si="12"/>
        <v>0</v>
      </c>
      <c r="U45" s="315">
        <f t="shared" si="12"/>
        <v>0</v>
      </c>
      <c r="V45" s="315">
        <f t="shared" si="12"/>
        <v>0</v>
      </c>
      <c r="W45" s="376">
        <f t="shared" si="12"/>
        <v>0</v>
      </c>
      <c r="X45" s="377">
        <f t="shared" si="16"/>
        <v>0</v>
      </c>
    </row>
    <row r="46" spans="1:31" ht="15" customHeight="1">
      <c r="A46" s="370">
        <f t="shared" si="17"/>
        <v>9</v>
      </c>
      <c r="B46" s="306"/>
      <c r="C46" s="371"/>
      <c r="D46" s="307"/>
      <c r="E46" s="371"/>
      <c r="F46" s="308"/>
      <c r="G46" s="372">
        <f>IFERROR(INDEX(【様式３】シフト表!$AK$7:$AK$106,MATCH($N46,【様式３】シフト表!$B$7:$B$106,0),1),0)</f>
        <v>0</v>
      </c>
      <c r="H46" s="125"/>
      <c r="I46" s="309"/>
      <c r="J46" s="373" t="str">
        <f t="shared" si="13"/>
        <v>-</v>
      </c>
      <c r="K46" s="150"/>
      <c r="L46" s="310" t="b">
        <f t="shared" si="14"/>
        <v>0</v>
      </c>
      <c r="M46" s="374" t="b">
        <f>AND($M$35,C46=$M$36,L46,COUNTIF($M$37:$M45,TRUE)=0)</f>
        <v>0</v>
      </c>
      <c r="N46" s="312">
        <f>IF($E46&lt;&gt;$N$35,0,COUNTIF($E$38:E46,$N$35))</f>
        <v>0</v>
      </c>
      <c r="O46" s="312" t="e">
        <f t="shared" si="9"/>
        <v>#VALUE!</v>
      </c>
      <c r="P46" s="313" t="b">
        <f t="shared" si="15"/>
        <v>1</v>
      </c>
      <c r="Q46" s="200"/>
      <c r="R46" s="375">
        <f t="shared" si="10"/>
        <v>0</v>
      </c>
      <c r="S46" s="315">
        <f t="shared" si="11"/>
        <v>0</v>
      </c>
      <c r="T46" s="375">
        <f t="shared" si="12"/>
        <v>0</v>
      </c>
      <c r="U46" s="315">
        <f t="shared" si="12"/>
        <v>0</v>
      </c>
      <c r="V46" s="315">
        <f t="shared" si="12"/>
        <v>0</v>
      </c>
      <c r="W46" s="376">
        <f t="shared" si="12"/>
        <v>0</v>
      </c>
      <c r="X46" s="377">
        <f t="shared" si="16"/>
        <v>0</v>
      </c>
    </row>
    <row r="47" spans="1:31" ht="15" customHeight="1">
      <c r="A47" s="370">
        <f t="shared" si="17"/>
        <v>10</v>
      </c>
      <c r="B47" s="306"/>
      <c r="C47" s="371"/>
      <c r="D47" s="307"/>
      <c r="E47" s="371"/>
      <c r="F47" s="308"/>
      <c r="G47" s="372">
        <f>IFERROR(INDEX(【様式３】シフト表!$AK$7:$AK$106,MATCH($N47,【様式３】シフト表!$B$7:$B$106,0),1),0)</f>
        <v>0</v>
      </c>
      <c r="H47" s="125"/>
      <c r="I47" s="309"/>
      <c r="J47" s="373" t="str">
        <f t="shared" si="13"/>
        <v>-</v>
      </c>
      <c r="K47" s="150"/>
      <c r="L47" s="310" t="b">
        <f t="shared" si="14"/>
        <v>0</v>
      </c>
      <c r="M47" s="374" t="b">
        <f>AND($M$35,C47=$M$36,L47,COUNTIF($M$37:$M46,TRUE)=0)</f>
        <v>0</v>
      </c>
      <c r="N47" s="312">
        <f>IF($E47&lt;&gt;$N$35,0,COUNTIF($E$38:E47,$N$35))</f>
        <v>0</v>
      </c>
      <c r="O47" s="312" t="e">
        <f t="shared" si="9"/>
        <v>#VALUE!</v>
      </c>
      <c r="P47" s="313" t="b">
        <f t="shared" si="15"/>
        <v>1</v>
      </c>
      <c r="Q47" s="200"/>
      <c r="R47" s="375">
        <f t="shared" si="10"/>
        <v>0</v>
      </c>
      <c r="S47" s="315">
        <f t="shared" si="11"/>
        <v>0</v>
      </c>
      <c r="T47" s="375">
        <f t="shared" si="12"/>
        <v>0</v>
      </c>
      <c r="U47" s="315">
        <f t="shared" si="12"/>
        <v>0</v>
      </c>
      <c r="V47" s="315">
        <f t="shared" si="12"/>
        <v>0</v>
      </c>
      <c r="W47" s="376">
        <f t="shared" si="12"/>
        <v>0</v>
      </c>
      <c r="X47" s="377">
        <f t="shared" si="16"/>
        <v>0</v>
      </c>
    </row>
    <row r="48" spans="1:31" ht="15" customHeight="1">
      <c r="A48" s="370">
        <f t="shared" si="17"/>
        <v>11</v>
      </c>
      <c r="B48" s="306"/>
      <c r="C48" s="371"/>
      <c r="D48" s="307"/>
      <c r="E48" s="371"/>
      <c r="F48" s="308"/>
      <c r="G48" s="372">
        <f>IFERROR(INDEX(【様式３】シフト表!$AK$7:$AK$106,MATCH($N48,【様式３】シフト表!$B$7:$B$106,0),1),0)</f>
        <v>0</v>
      </c>
      <c r="H48" s="125"/>
      <c r="I48" s="309"/>
      <c r="J48" s="373" t="str">
        <f t="shared" si="13"/>
        <v>-</v>
      </c>
      <c r="K48" s="150"/>
      <c r="L48" s="310" t="b">
        <f t="shared" si="14"/>
        <v>0</v>
      </c>
      <c r="M48" s="374" t="b">
        <f>AND($M$35,C48=$M$36,L48,COUNTIF($M$37:$M47,TRUE)=0)</f>
        <v>0</v>
      </c>
      <c r="N48" s="312">
        <f>IF($E48&lt;&gt;$N$35,0,COUNTIF($E$38:E48,$N$35))</f>
        <v>0</v>
      </c>
      <c r="O48" s="312" t="e">
        <f t="shared" si="9"/>
        <v>#VALUE!</v>
      </c>
      <c r="P48" s="313" t="b">
        <f t="shared" si="15"/>
        <v>1</v>
      </c>
      <c r="Q48" s="200"/>
      <c r="R48" s="375">
        <f t="shared" si="10"/>
        <v>0</v>
      </c>
      <c r="S48" s="315">
        <f t="shared" si="11"/>
        <v>0</v>
      </c>
      <c r="T48" s="375">
        <f t="shared" si="12"/>
        <v>0</v>
      </c>
      <c r="U48" s="315">
        <f t="shared" si="12"/>
        <v>0</v>
      </c>
      <c r="V48" s="315">
        <f t="shared" si="12"/>
        <v>0</v>
      </c>
      <c r="W48" s="376">
        <f t="shared" si="12"/>
        <v>0</v>
      </c>
      <c r="X48" s="377">
        <f t="shared" si="16"/>
        <v>0</v>
      </c>
    </row>
    <row r="49" spans="1:24" ht="15" customHeight="1">
      <c r="A49" s="370">
        <f t="shared" si="17"/>
        <v>12</v>
      </c>
      <c r="B49" s="306"/>
      <c r="C49" s="371"/>
      <c r="D49" s="307"/>
      <c r="E49" s="371"/>
      <c r="F49" s="308"/>
      <c r="G49" s="372">
        <f>IFERROR(INDEX(【様式３】シフト表!$AK$7:$AK$106,MATCH($N49,【様式３】シフト表!$B$7:$B$106,0),1),0)</f>
        <v>0</v>
      </c>
      <c r="H49" s="125"/>
      <c r="I49" s="309"/>
      <c r="J49" s="373" t="str">
        <f t="shared" si="13"/>
        <v>-</v>
      </c>
      <c r="K49" s="150"/>
      <c r="L49" s="310" t="b">
        <f t="shared" si="14"/>
        <v>0</v>
      </c>
      <c r="M49" s="374" t="b">
        <f>AND($M$35,C49=$M$36,L49,COUNTIF($M$37:$M48,TRUE)=0)</f>
        <v>0</v>
      </c>
      <c r="N49" s="312">
        <f>IF($E49&lt;&gt;$N$35,0,COUNTIF($E$38:E49,$N$35))</f>
        <v>0</v>
      </c>
      <c r="O49" s="312" t="e">
        <f t="shared" si="9"/>
        <v>#VALUE!</v>
      </c>
      <c r="P49" s="313" t="b">
        <f t="shared" si="15"/>
        <v>1</v>
      </c>
      <c r="Q49" s="200"/>
      <c r="R49" s="375">
        <f t="shared" si="10"/>
        <v>0</v>
      </c>
      <c r="S49" s="315">
        <f t="shared" si="11"/>
        <v>0</v>
      </c>
      <c r="T49" s="375">
        <f t="shared" si="12"/>
        <v>0</v>
      </c>
      <c r="U49" s="315">
        <f t="shared" si="12"/>
        <v>0</v>
      </c>
      <c r="V49" s="315">
        <f t="shared" si="12"/>
        <v>0</v>
      </c>
      <c r="W49" s="376">
        <f t="shared" si="12"/>
        <v>0</v>
      </c>
      <c r="X49" s="377">
        <f t="shared" si="16"/>
        <v>0</v>
      </c>
    </row>
    <row r="50" spans="1:24" ht="15" customHeight="1">
      <c r="A50" s="370">
        <f t="shared" si="17"/>
        <v>13</v>
      </c>
      <c r="B50" s="306"/>
      <c r="C50" s="371"/>
      <c r="D50" s="307"/>
      <c r="E50" s="371"/>
      <c r="F50" s="308"/>
      <c r="G50" s="372">
        <f>IFERROR(INDEX(【様式３】シフト表!$AK$7:$AK$106,MATCH($N50,【様式３】シフト表!$B$7:$B$106,0),1),0)</f>
        <v>0</v>
      </c>
      <c r="H50" s="125"/>
      <c r="I50" s="309"/>
      <c r="J50" s="373" t="str">
        <f t="shared" si="13"/>
        <v>-</v>
      </c>
      <c r="K50" s="150"/>
      <c r="L50" s="310" t="b">
        <f t="shared" si="14"/>
        <v>0</v>
      </c>
      <c r="M50" s="374" t="b">
        <f>AND($M$35,C50=$M$36,L50,COUNTIF($M$37:$M49,TRUE)=0)</f>
        <v>0</v>
      </c>
      <c r="N50" s="312">
        <f>IF($E50&lt;&gt;$N$35,0,COUNTIF($E$38:E50,$N$35))</f>
        <v>0</v>
      </c>
      <c r="O50" s="312" t="e">
        <f t="shared" si="9"/>
        <v>#VALUE!</v>
      </c>
      <c r="P50" s="313" t="b">
        <f t="shared" si="15"/>
        <v>1</v>
      </c>
      <c r="Q50" s="200"/>
      <c r="R50" s="375">
        <f t="shared" si="10"/>
        <v>0</v>
      </c>
      <c r="S50" s="315">
        <f t="shared" si="11"/>
        <v>0</v>
      </c>
      <c r="T50" s="375">
        <f t="shared" si="12"/>
        <v>0</v>
      </c>
      <c r="U50" s="315">
        <f t="shared" si="12"/>
        <v>0</v>
      </c>
      <c r="V50" s="315">
        <f t="shared" si="12"/>
        <v>0</v>
      </c>
      <c r="W50" s="376">
        <f t="shared" si="12"/>
        <v>0</v>
      </c>
      <c r="X50" s="377">
        <f t="shared" si="16"/>
        <v>0</v>
      </c>
    </row>
    <row r="51" spans="1:24" ht="15" customHeight="1">
      <c r="A51" s="370">
        <f t="shared" si="17"/>
        <v>14</v>
      </c>
      <c r="B51" s="306"/>
      <c r="C51" s="371"/>
      <c r="D51" s="307"/>
      <c r="E51" s="371"/>
      <c r="F51" s="308"/>
      <c r="G51" s="372">
        <f>IFERROR(INDEX(【様式３】シフト表!$AK$7:$AK$106,MATCH($N51,【様式３】シフト表!$B$7:$B$106,0),1),0)</f>
        <v>0</v>
      </c>
      <c r="H51" s="125"/>
      <c r="I51" s="309"/>
      <c r="J51" s="373" t="str">
        <f t="shared" si="13"/>
        <v>-</v>
      </c>
      <c r="K51" s="150"/>
      <c r="L51" s="310" t="b">
        <f t="shared" si="14"/>
        <v>0</v>
      </c>
      <c r="M51" s="374" t="b">
        <f>AND($M$35,C51=$M$36,L51,COUNTIF($M$37:$M50,TRUE)=0)</f>
        <v>0</v>
      </c>
      <c r="N51" s="312">
        <f>IF($E51&lt;&gt;$N$35,0,COUNTIF($E$38:E51,$N$35))</f>
        <v>0</v>
      </c>
      <c r="O51" s="312" t="e">
        <f t="shared" si="9"/>
        <v>#VALUE!</v>
      </c>
      <c r="P51" s="313" t="b">
        <f t="shared" si="15"/>
        <v>1</v>
      </c>
      <c r="Q51" s="200"/>
      <c r="R51" s="375">
        <f t="shared" si="10"/>
        <v>0</v>
      </c>
      <c r="S51" s="315">
        <f t="shared" si="11"/>
        <v>0</v>
      </c>
      <c r="T51" s="375">
        <f t="shared" si="12"/>
        <v>0</v>
      </c>
      <c r="U51" s="315">
        <f t="shared" si="12"/>
        <v>0</v>
      </c>
      <c r="V51" s="315">
        <f t="shared" si="12"/>
        <v>0</v>
      </c>
      <c r="W51" s="376">
        <f t="shared" si="12"/>
        <v>0</v>
      </c>
      <c r="X51" s="377">
        <f t="shared" si="16"/>
        <v>0</v>
      </c>
    </row>
    <row r="52" spans="1:24" ht="15" customHeight="1">
      <c r="A52" s="370">
        <f t="shared" si="17"/>
        <v>15</v>
      </c>
      <c r="B52" s="306"/>
      <c r="C52" s="371"/>
      <c r="D52" s="307"/>
      <c r="E52" s="371"/>
      <c r="F52" s="308"/>
      <c r="G52" s="372">
        <f>IFERROR(INDEX(【様式３】シフト表!$AK$7:$AK$106,MATCH($N52,【様式３】シフト表!$B$7:$B$106,0),1),0)</f>
        <v>0</v>
      </c>
      <c r="H52" s="125"/>
      <c r="I52" s="309"/>
      <c r="J52" s="373" t="str">
        <f t="shared" si="13"/>
        <v>-</v>
      </c>
      <c r="K52" s="150"/>
      <c r="L52" s="310" t="b">
        <f t="shared" si="14"/>
        <v>0</v>
      </c>
      <c r="M52" s="374" t="b">
        <f>AND($M$35,C52=$M$36,L52,COUNTIF($M$37:$M51,TRUE)=0)</f>
        <v>0</v>
      </c>
      <c r="N52" s="312">
        <f>IF($E52&lt;&gt;$N$35,0,COUNTIF($E$38:E52,$N$35))</f>
        <v>0</v>
      </c>
      <c r="O52" s="312" t="e">
        <f t="shared" si="9"/>
        <v>#VALUE!</v>
      </c>
      <c r="P52" s="313" t="b">
        <f t="shared" si="15"/>
        <v>1</v>
      </c>
      <c r="Q52" s="200"/>
      <c r="R52" s="375">
        <f t="shared" si="10"/>
        <v>0</v>
      </c>
      <c r="S52" s="315">
        <f t="shared" si="11"/>
        <v>0</v>
      </c>
      <c r="T52" s="375">
        <f t="shared" si="12"/>
        <v>0</v>
      </c>
      <c r="U52" s="315">
        <f t="shared" si="12"/>
        <v>0</v>
      </c>
      <c r="V52" s="315">
        <f t="shared" si="12"/>
        <v>0</v>
      </c>
      <c r="W52" s="376">
        <f t="shared" si="12"/>
        <v>0</v>
      </c>
      <c r="X52" s="377">
        <f t="shared" si="16"/>
        <v>0</v>
      </c>
    </row>
    <row r="53" spans="1:24" ht="15" customHeight="1">
      <c r="A53" s="370">
        <f t="shared" si="17"/>
        <v>16</v>
      </c>
      <c r="B53" s="306"/>
      <c r="C53" s="371"/>
      <c r="D53" s="307"/>
      <c r="E53" s="371"/>
      <c r="F53" s="308"/>
      <c r="G53" s="372">
        <f>IFERROR(INDEX(【様式３】シフト表!$AK$7:$AK$106,MATCH($N53,【様式３】シフト表!$B$7:$B$106,0),1),0)</f>
        <v>0</v>
      </c>
      <c r="H53" s="125"/>
      <c r="I53" s="309"/>
      <c r="J53" s="373" t="str">
        <f t="shared" si="13"/>
        <v>-</v>
      </c>
      <c r="K53" s="150"/>
      <c r="L53" s="310" t="b">
        <f t="shared" si="14"/>
        <v>0</v>
      </c>
      <c r="M53" s="374" t="b">
        <f>AND($M$35,C53=$M$36,L53,COUNTIF($M$37:$M52,TRUE)=0)</f>
        <v>0</v>
      </c>
      <c r="N53" s="312">
        <f>IF($E53&lt;&gt;$N$35,0,COUNTIF($E$38:E53,$N$35))</f>
        <v>0</v>
      </c>
      <c r="O53" s="312" t="e">
        <f t="shared" si="9"/>
        <v>#VALUE!</v>
      </c>
      <c r="P53" s="313" t="b">
        <f t="shared" si="15"/>
        <v>1</v>
      </c>
      <c r="Q53" s="200"/>
      <c r="R53" s="375">
        <f t="shared" si="10"/>
        <v>0</v>
      </c>
      <c r="S53" s="315">
        <f t="shared" si="11"/>
        <v>0</v>
      </c>
      <c r="T53" s="375">
        <f t="shared" si="12"/>
        <v>0</v>
      </c>
      <c r="U53" s="315">
        <f t="shared" si="12"/>
        <v>0</v>
      </c>
      <c r="V53" s="315">
        <f t="shared" si="12"/>
        <v>0</v>
      </c>
      <c r="W53" s="376">
        <f t="shared" si="12"/>
        <v>0</v>
      </c>
      <c r="X53" s="377">
        <f t="shared" si="16"/>
        <v>0</v>
      </c>
    </row>
    <row r="54" spans="1:24" ht="15" customHeight="1">
      <c r="A54" s="370">
        <f t="shared" si="17"/>
        <v>17</v>
      </c>
      <c r="B54" s="306"/>
      <c r="C54" s="371"/>
      <c r="D54" s="307"/>
      <c r="E54" s="371"/>
      <c r="F54" s="308"/>
      <c r="G54" s="372">
        <f>IFERROR(INDEX(【様式３】シフト表!$AK$7:$AK$106,MATCH($N54,【様式３】シフト表!$B$7:$B$106,0),1),0)</f>
        <v>0</v>
      </c>
      <c r="H54" s="125"/>
      <c r="I54" s="309"/>
      <c r="J54" s="373" t="str">
        <f t="shared" si="13"/>
        <v>-</v>
      </c>
      <c r="K54" s="150"/>
      <c r="L54" s="310" t="b">
        <f t="shared" si="14"/>
        <v>0</v>
      </c>
      <c r="M54" s="374" t="b">
        <f>AND($M$35,C54=$M$36,L54,COUNTIF($M$37:$M53,TRUE)=0)</f>
        <v>0</v>
      </c>
      <c r="N54" s="312">
        <f>IF($E54&lt;&gt;$N$35,0,COUNTIF($E$38:E54,$N$35))</f>
        <v>0</v>
      </c>
      <c r="O54" s="312" t="e">
        <f t="shared" si="9"/>
        <v>#VALUE!</v>
      </c>
      <c r="P54" s="313" t="b">
        <f t="shared" si="15"/>
        <v>1</v>
      </c>
      <c r="Q54" s="200"/>
      <c r="R54" s="375">
        <f t="shared" si="10"/>
        <v>0</v>
      </c>
      <c r="S54" s="315">
        <f t="shared" si="11"/>
        <v>0</v>
      </c>
      <c r="T54" s="375">
        <f t="shared" si="12"/>
        <v>0</v>
      </c>
      <c r="U54" s="315">
        <f t="shared" si="12"/>
        <v>0</v>
      </c>
      <c r="V54" s="315">
        <f t="shared" si="12"/>
        <v>0</v>
      </c>
      <c r="W54" s="376">
        <f t="shared" si="12"/>
        <v>0</v>
      </c>
      <c r="X54" s="377">
        <f t="shared" si="16"/>
        <v>0</v>
      </c>
    </row>
    <row r="55" spans="1:24" ht="15" customHeight="1">
      <c r="A55" s="370">
        <f t="shared" si="17"/>
        <v>18</v>
      </c>
      <c r="B55" s="306"/>
      <c r="C55" s="371"/>
      <c r="D55" s="307"/>
      <c r="E55" s="371"/>
      <c r="F55" s="308"/>
      <c r="G55" s="372">
        <f>IFERROR(INDEX(【様式３】シフト表!$AK$7:$AK$106,MATCH($N55,【様式３】シフト表!$B$7:$B$106,0),1),0)</f>
        <v>0</v>
      </c>
      <c r="H55" s="125"/>
      <c r="I55" s="309"/>
      <c r="J55" s="373" t="str">
        <f t="shared" si="13"/>
        <v>-</v>
      </c>
      <c r="K55" s="150"/>
      <c r="L55" s="310" t="b">
        <f t="shared" si="14"/>
        <v>0</v>
      </c>
      <c r="M55" s="374" t="b">
        <f>AND($M$35,C55=$M$36,L55,COUNTIF($M$37:$M54,TRUE)=0)</f>
        <v>0</v>
      </c>
      <c r="N55" s="312">
        <f>IF($E55&lt;&gt;$N$35,0,COUNTIF($E$38:E55,$N$35))</f>
        <v>0</v>
      </c>
      <c r="O55" s="312" t="e">
        <f t="shared" si="9"/>
        <v>#VALUE!</v>
      </c>
      <c r="P55" s="313" t="b">
        <f t="shared" si="15"/>
        <v>1</v>
      </c>
      <c r="Q55" s="200"/>
      <c r="R55" s="375">
        <f t="shared" si="10"/>
        <v>0</v>
      </c>
      <c r="S55" s="315">
        <f t="shared" si="11"/>
        <v>0</v>
      </c>
      <c r="T55" s="375">
        <f t="shared" si="12"/>
        <v>0</v>
      </c>
      <c r="U55" s="315">
        <f t="shared" si="12"/>
        <v>0</v>
      </c>
      <c r="V55" s="315">
        <f t="shared" si="12"/>
        <v>0</v>
      </c>
      <c r="W55" s="376">
        <f t="shared" si="12"/>
        <v>0</v>
      </c>
      <c r="X55" s="377">
        <f t="shared" si="16"/>
        <v>0</v>
      </c>
    </row>
    <row r="56" spans="1:24" ht="15" customHeight="1">
      <c r="A56" s="370">
        <f t="shared" si="17"/>
        <v>19</v>
      </c>
      <c r="B56" s="306"/>
      <c r="C56" s="371"/>
      <c r="D56" s="307"/>
      <c r="E56" s="371"/>
      <c r="F56" s="308"/>
      <c r="G56" s="372">
        <f>IFERROR(INDEX(【様式３】シフト表!$AK$7:$AK$106,MATCH($N56,【様式３】シフト表!$B$7:$B$106,0),1),0)</f>
        <v>0</v>
      </c>
      <c r="H56" s="125"/>
      <c r="I56" s="309"/>
      <c r="J56" s="373" t="str">
        <f t="shared" si="13"/>
        <v>-</v>
      </c>
      <c r="K56" s="150"/>
      <c r="L56" s="310" t="b">
        <f t="shared" si="14"/>
        <v>0</v>
      </c>
      <c r="M56" s="374" t="b">
        <f>AND($M$35,C56=$M$36,L56,COUNTIF($M$37:$M55,TRUE)=0)</f>
        <v>0</v>
      </c>
      <c r="N56" s="312">
        <f>IF($E56&lt;&gt;$N$35,0,COUNTIF($E$38:E56,$N$35))</f>
        <v>0</v>
      </c>
      <c r="O56" s="312" t="e">
        <f t="shared" si="9"/>
        <v>#VALUE!</v>
      </c>
      <c r="P56" s="313" t="b">
        <f t="shared" si="15"/>
        <v>1</v>
      </c>
      <c r="Q56" s="200"/>
      <c r="R56" s="375">
        <f t="shared" si="10"/>
        <v>0</v>
      </c>
      <c r="S56" s="315">
        <f t="shared" si="11"/>
        <v>0</v>
      </c>
      <c r="T56" s="375">
        <f t="shared" si="12"/>
        <v>0</v>
      </c>
      <c r="U56" s="315">
        <f t="shared" si="12"/>
        <v>0</v>
      </c>
      <c r="V56" s="315">
        <f t="shared" si="12"/>
        <v>0</v>
      </c>
      <c r="W56" s="376">
        <f t="shared" si="12"/>
        <v>0</v>
      </c>
      <c r="X56" s="377">
        <f t="shared" si="16"/>
        <v>0</v>
      </c>
    </row>
    <row r="57" spans="1:24" ht="15" customHeight="1">
      <c r="A57" s="370">
        <f t="shared" si="17"/>
        <v>20</v>
      </c>
      <c r="B57" s="306"/>
      <c r="C57" s="371"/>
      <c r="D57" s="307"/>
      <c r="E57" s="371"/>
      <c r="F57" s="308"/>
      <c r="G57" s="372">
        <f>IFERROR(INDEX(【様式３】シフト表!$AK$7:$AK$106,MATCH($N57,【様式３】シフト表!$B$7:$B$106,0),1),0)</f>
        <v>0</v>
      </c>
      <c r="H57" s="125"/>
      <c r="I57" s="309"/>
      <c r="J57" s="373" t="str">
        <f t="shared" si="13"/>
        <v>-</v>
      </c>
      <c r="K57" s="150"/>
      <c r="L57" s="310" t="b">
        <f t="shared" si="14"/>
        <v>0</v>
      </c>
      <c r="M57" s="374" t="b">
        <f>AND($M$35,C57=$M$36,L57,COUNTIF($M$37:$M56,TRUE)=0)</f>
        <v>0</v>
      </c>
      <c r="N57" s="312">
        <f>IF($E57&lt;&gt;$N$35,0,COUNTIF($E$38:E57,$N$35))</f>
        <v>0</v>
      </c>
      <c r="O57" s="312" t="e">
        <f t="shared" si="9"/>
        <v>#VALUE!</v>
      </c>
      <c r="P57" s="313" t="b">
        <f t="shared" si="15"/>
        <v>1</v>
      </c>
      <c r="Q57" s="200"/>
      <c r="R57" s="375">
        <f t="shared" si="10"/>
        <v>0</v>
      </c>
      <c r="S57" s="315">
        <f t="shared" si="11"/>
        <v>0</v>
      </c>
      <c r="T57" s="375">
        <f t="shared" si="12"/>
        <v>0</v>
      </c>
      <c r="U57" s="315">
        <f t="shared" si="12"/>
        <v>0</v>
      </c>
      <c r="V57" s="315">
        <f t="shared" si="12"/>
        <v>0</v>
      </c>
      <c r="W57" s="376">
        <f t="shared" si="12"/>
        <v>0</v>
      </c>
      <c r="X57" s="377">
        <f t="shared" si="16"/>
        <v>0</v>
      </c>
    </row>
    <row r="58" spans="1:24" ht="15" customHeight="1">
      <c r="A58" s="370">
        <f t="shared" si="17"/>
        <v>21</v>
      </c>
      <c r="B58" s="306"/>
      <c r="C58" s="371"/>
      <c r="D58" s="307"/>
      <c r="E58" s="371"/>
      <c r="F58" s="308"/>
      <c r="G58" s="372">
        <f>IFERROR(INDEX(【様式３】シフト表!$AK$7:$AK$106,MATCH($N58,【様式３】シフト表!$B$7:$B$106,0),1),0)</f>
        <v>0</v>
      </c>
      <c r="H58" s="125"/>
      <c r="I58" s="309"/>
      <c r="J58" s="373" t="str">
        <f t="shared" si="13"/>
        <v>-</v>
      </c>
      <c r="K58" s="150"/>
      <c r="L58" s="310" t="b">
        <f t="shared" si="14"/>
        <v>0</v>
      </c>
      <c r="M58" s="374" t="b">
        <f>AND($M$35,C58=$M$36,L58,COUNTIF($M$37:$M57,TRUE)=0)</f>
        <v>0</v>
      </c>
      <c r="N58" s="312">
        <f>IF($E58&lt;&gt;$N$35,0,COUNTIF($E$38:E58,$N$35))</f>
        <v>0</v>
      </c>
      <c r="O58" s="312" t="e">
        <f t="shared" si="9"/>
        <v>#VALUE!</v>
      </c>
      <c r="P58" s="313" t="b">
        <f t="shared" si="15"/>
        <v>1</v>
      </c>
      <c r="Q58" s="200"/>
      <c r="R58" s="375">
        <f t="shared" si="10"/>
        <v>0</v>
      </c>
      <c r="S58" s="315">
        <f t="shared" si="11"/>
        <v>0</v>
      </c>
      <c r="T58" s="375">
        <f t="shared" ref="T58:W77" si="18">IF(AND($E58=T$34,$F58=T$35),$J58,0)</f>
        <v>0</v>
      </c>
      <c r="U58" s="315">
        <f t="shared" si="18"/>
        <v>0</v>
      </c>
      <c r="V58" s="315">
        <f t="shared" si="18"/>
        <v>0</v>
      </c>
      <c r="W58" s="376">
        <f t="shared" si="18"/>
        <v>0</v>
      </c>
      <c r="X58" s="377">
        <f t="shared" si="16"/>
        <v>0</v>
      </c>
    </row>
    <row r="59" spans="1:24" ht="15" customHeight="1">
      <c r="A59" s="370">
        <f t="shared" si="17"/>
        <v>22</v>
      </c>
      <c r="B59" s="306"/>
      <c r="C59" s="371"/>
      <c r="D59" s="307"/>
      <c r="E59" s="371"/>
      <c r="F59" s="308"/>
      <c r="G59" s="372">
        <f>IFERROR(INDEX(【様式３】シフト表!$AK$7:$AK$106,MATCH($N59,【様式３】シフト表!$B$7:$B$106,0),1),0)</f>
        <v>0</v>
      </c>
      <c r="H59" s="125"/>
      <c r="I59" s="309"/>
      <c r="J59" s="373" t="str">
        <f t="shared" si="13"/>
        <v>-</v>
      </c>
      <c r="K59" s="150"/>
      <c r="L59" s="310" t="b">
        <f t="shared" si="14"/>
        <v>0</v>
      </c>
      <c r="M59" s="374" t="b">
        <f>AND($M$35,C59=$M$36,L59,COUNTIF($M$37:$M58,TRUE)=0)</f>
        <v>0</v>
      </c>
      <c r="N59" s="312">
        <f>IF($E59&lt;&gt;$N$35,0,COUNTIF($E$38:E59,$N$35))</f>
        <v>0</v>
      </c>
      <c r="O59" s="312" t="e">
        <f t="shared" si="9"/>
        <v>#VALUE!</v>
      </c>
      <c r="P59" s="313" t="b">
        <f t="shared" si="15"/>
        <v>1</v>
      </c>
      <c r="Q59" s="200"/>
      <c r="R59" s="375">
        <f t="shared" si="10"/>
        <v>0</v>
      </c>
      <c r="S59" s="315">
        <f t="shared" si="11"/>
        <v>0</v>
      </c>
      <c r="T59" s="375">
        <f t="shared" si="18"/>
        <v>0</v>
      </c>
      <c r="U59" s="315">
        <f t="shared" si="18"/>
        <v>0</v>
      </c>
      <c r="V59" s="315">
        <f t="shared" si="18"/>
        <v>0</v>
      </c>
      <c r="W59" s="376">
        <f t="shared" si="18"/>
        <v>0</v>
      </c>
      <c r="X59" s="377">
        <f t="shared" si="16"/>
        <v>0</v>
      </c>
    </row>
    <row r="60" spans="1:24" ht="15" customHeight="1">
      <c r="A60" s="370">
        <f t="shared" si="17"/>
        <v>23</v>
      </c>
      <c r="B60" s="306"/>
      <c r="C60" s="371"/>
      <c r="D60" s="307"/>
      <c r="E60" s="371"/>
      <c r="F60" s="308"/>
      <c r="G60" s="372">
        <f>IFERROR(INDEX(【様式３】シフト表!$AK$7:$AK$106,MATCH($N60,【様式３】シフト表!$B$7:$B$106,0),1),0)</f>
        <v>0</v>
      </c>
      <c r="H60" s="125"/>
      <c r="I60" s="309"/>
      <c r="J60" s="373" t="str">
        <f t="shared" si="13"/>
        <v>-</v>
      </c>
      <c r="K60" s="150"/>
      <c r="L60" s="310" t="b">
        <f t="shared" si="14"/>
        <v>0</v>
      </c>
      <c r="M60" s="374" t="b">
        <f>AND($M$35,C60=$M$36,L60,COUNTIF($M$37:$M59,TRUE)=0)</f>
        <v>0</v>
      </c>
      <c r="N60" s="312">
        <f>IF($E60&lt;&gt;$N$35,0,COUNTIF($E$38:E60,$N$35))</f>
        <v>0</v>
      </c>
      <c r="O60" s="312" t="e">
        <f t="shared" si="9"/>
        <v>#VALUE!</v>
      </c>
      <c r="P60" s="313" t="b">
        <f t="shared" si="15"/>
        <v>1</v>
      </c>
      <c r="Q60" s="200"/>
      <c r="R60" s="375">
        <f t="shared" si="10"/>
        <v>0</v>
      </c>
      <c r="S60" s="315">
        <f t="shared" si="11"/>
        <v>0</v>
      </c>
      <c r="T60" s="375">
        <f t="shared" si="18"/>
        <v>0</v>
      </c>
      <c r="U60" s="315">
        <f t="shared" si="18"/>
        <v>0</v>
      </c>
      <c r="V60" s="315">
        <f t="shared" si="18"/>
        <v>0</v>
      </c>
      <c r="W60" s="376">
        <f t="shared" si="18"/>
        <v>0</v>
      </c>
      <c r="X60" s="377">
        <f t="shared" si="16"/>
        <v>0</v>
      </c>
    </row>
    <row r="61" spans="1:24" ht="15" customHeight="1">
      <c r="A61" s="370">
        <f t="shared" si="17"/>
        <v>24</v>
      </c>
      <c r="B61" s="306"/>
      <c r="C61" s="371"/>
      <c r="D61" s="307"/>
      <c r="E61" s="371"/>
      <c r="F61" s="308"/>
      <c r="G61" s="372">
        <f>IFERROR(INDEX(【様式３】シフト表!$AK$7:$AK$106,MATCH($N61,【様式３】シフト表!$B$7:$B$106,0),1),0)</f>
        <v>0</v>
      </c>
      <c r="H61" s="125"/>
      <c r="I61" s="309"/>
      <c r="J61" s="373" t="str">
        <f t="shared" si="13"/>
        <v>-</v>
      </c>
      <c r="K61" s="150"/>
      <c r="L61" s="310" t="b">
        <f t="shared" si="14"/>
        <v>0</v>
      </c>
      <c r="M61" s="374" t="b">
        <f>AND($M$35,C61=$M$36,L61,COUNTIF($M$37:$M60,TRUE)=0)</f>
        <v>0</v>
      </c>
      <c r="N61" s="312">
        <f>IF($E61&lt;&gt;$N$35,0,COUNTIF($E$38:E61,$N$35))</f>
        <v>0</v>
      </c>
      <c r="O61" s="312" t="e">
        <f t="shared" si="9"/>
        <v>#VALUE!</v>
      </c>
      <c r="P61" s="313" t="b">
        <f t="shared" si="15"/>
        <v>1</v>
      </c>
      <c r="Q61" s="200"/>
      <c r="R61" s="375">
        <f t="shared" si="10"/>
        <v>0</v>
      </c>
      <c r="S61" s="315">
        <f t="shared" si="11"/>
        <v>0</v>
      </c>
      <c r="T61" s="375">
        <f t="shared" si="18"/>
        <v>0</v>
      </c>
      <c r="U61" s="315">
        <f t="shared" si="18"/>
        <v>0</v>
      </c>
      <c r="V61" s="315">
        <f t="shared" si="18"/>
        <v>0</v>
      </c>
      <c r="W61" s="376">
        <f t="shared" si="18"/>
        <v>0</v>
      </c>
      <c r="X61" s="377">
        <f t="shared" si="16"/>
        <v>0</v>
      </c>
    </row>
    <row r="62" spans="1:24" ht="15" customHeight="1">
      <c r="A62" s="370">
        <f t="shared" si="17"/>
        <v>25</v>
      </c>
      <c r="B62" s="306"/>
      <c r="C62" s="371"/>
      <c r="D62" s="307"/>
      <c r="E62" s="371"/>
      <c r="F62" s="308"/>
      <c r="G62" s="372">
        <f>IFERROR(INDEX(【様式３】シフト表!$AK$7:$AK$106,MATCH($N62,【様式３】シフト表!$B$7:$B$106,0),1),0)</f>
        <v>0</v>
      </c>
      <c r="H62" s="125"/>
      <c r="I62" s="309"/>
      <c r="J62" s="373" t="str">
        <f t="shared" si="13"/>
        <v>-</v>
      </c>
      <c r="K62" s="150"/>
      <c r="L62" s="310" t="b">
        <f t="shared" si="14"/>
        <v>0</v>
      </c>
      <c r="M62" s="374" t="b">
        <f>AND($M$35,C62=$M$36,L62,COUNTIF($M$37:$M61,TRUE)=0)</f>
        <v>0</v>
      </c>
      <c r="N62" s="312">
        <f>IF($E62&lt;&gt;$N$35,0,COUNTIF($E$38:E62,$N$35))</f>
        <v>0</v>
      </c>
      <c r="O62" s="312" t="e">
        <f t="shared" si="9"/>
        <v>#VALUE!</v>
      </c>
      <c r="P62" s="313" t="b">
        <f t="shared" si="15"/>
        <v>1</v>
      </c>
      <c r="Q62" s="200"/>
      <c r="R62" s="375">
        <f t="shared" si="10"/>
        <v>0</v>
      </c>
      <c r="S62" s="315">
        <f t="shared" si="11"/>
        <v>0</v>
      </c>
      <c r="T62" s="375">
        <f t="shared" si="18"/>
        <v>0</v>
      </c>
      <c r="U62" s="315">
        <f t="shared" si="18"/>
        <v>0</v>
      </c>
      <c r="V62" s="315">
        <f t="shared" si="18"/>
        <v>0</v>
      </c>
      <c r="W62" s="376">
        <f t="shared" si="18"/>
        <v>0</v>
      </c>
      <c r="X62" s="377">
        <f t="shared" si="16"/>
        <v>0</v>
      </c>
    </row>
    <row r="63" spans="1:24" ht="15" customHeight="1">
      <c r="A63" s="370">
        <f t="shared" si="17"/>
        <v>26</v>
      </c>
      <c r="B63" s="306"/>
      <c r="C63" s="371"/>
      <c r="D63" s="307"/>
      <c r="E63" s="371"/>
      <c r="F63" s="308"/>
      <c r="G63" s="372">
        <f>IFERROR(INDEX(【様式３】シフト表!$AK$7:$AK$106,MATCH($N63,【様式３】シフト表!$B$7:$B$106,0),1),0)</f>
        <v>0</v>
      </c>
      <c r="H63" s="125"/>
      <c r="I63" s="309"/>
      <c r="J63" s="373" t="str">
        <f t="shared" si="13"/>
        <v>-</v>
      </c>
      <c r="K63" s="150"/>
      <c r="L63" s="310" t="b">
        <f t="shared" si="14"/>
        <v>0</v>
      </c>
      <c r="M63" s="374" t="b">
        <f>AND($M$35,C63=$M$36,L63,COUNTIF($M$37:$M62,TRUE)=0)</f>
        <v>0</v>
      </c>
      <c r="N63" s="312">
        <f>IF($E63&lt;&gt;$N$35,0,COUNTIF($E$38:E63,$N$35))</f>
        <v>0</v>
      </c>
      <c r="O63" s="312" t="e">
        <f t="shared" si="9"/>
        <v>#VALUE!</v>
      </c>
      <c r="P63" s="313" t="b">
        <f t="shared" si="15"/>
        <v>1</v>
      </c>
      <c r="Q63" s="200"/>
      <c r="R63" s="375">
        <f t="shared" si="10"/>
        <v>0</v>
      </c>
      <c r="S63" s="315">
        <f t="shared" si="11"/>
        <v>0</v>
      </c>
      <c r="T63" s="375">
        <f t="shared" si="18"/>
        <v>0</v>
      </c>
      <c r="U63" s="315">
        <f t="shared" si="18"/>
        <v>0</v>
      </c>
      <c r="V63" s="315">
        <f t="shared" si="18"/>
        <v>0</v>
      </c>
      <c r="W63" s="376">
        <f t="shared" si="18"/>
        <v>0</v>
      </c>
      <c r="X63" s="377">
        <f t="shared" si="16"/>
        <v>0</v>
      </c>
    </row>
    <row r="64" spans="1:24" ht="15" customHeight="1">
      <c r="A64" s="370">
        <f t="shared" si="17"/>
        <v>27</v>
      </c>
      <c r="B64" s="306"/>
      <c r="C64" s="371"/>
      <c r="D64" s="307"/>
      <c r="E64" s="371"/>
      <c r="F64" s="308"/>
      <c r="G64" s="372">
        <f>IFERROR(INDEX(【様式３】シフト表!$AK$7:$AK$106,MATCH($N64,【様式３】シフト表!$B$7:$B$106,0),1),0)</f>
        <v>0</v>
      </c>
      <c r="H64" s="125"/>
      <c r="I64" s="309"/>
      <c r="J64" s="373" t="str">
        <f t="shared" si="13"/>
        <v>-</v>
      </c>
      <c r="K64" s="150"/>
      <c r="L64" s="310" t="b">
        <f t="shared" si="14"/>
        <v>0</v>
      </c>
      <c r="M64" s="374" t="b">
        <f>AND($M$35,C64=$M$36,L64,COUNTIF($M$37:$M63,TRUE)=0)</f>
        <v>0</v>
      </c>
      <c r="N64" s="312">
        <f>IF($E64&lt;&gt;$N$35,0,COUNTIF($E$38:E64,$N$35))</f>
        <v>0</v>
      </c>
      <c r="O64" s="312" t="e">
        <f t="shared" si="9"/>
        <v>#VALUE!</v>
      </c>
      <c r="P64" s="313" t="b">
        <f t="shared" si="15"/>
        <v>1</v>
      </c>
      <c r="Q64" s="200"/>
      <c r="R64" s="375">
        <f t="shared" si="10"/>
        <v>0</v>
      </c>
      <c r="S64" s="315">
        <f t="shared" si="11"/>
        <v>0</v>
      </c>
      <c r="T64" s="375">
        <f t="shared" si="18"/>
        <v>0</v>
      </c>
      <c r="U64" s="315">
        <f t="shared" si="18"/>
        <v>0</v>
      </c>
      <c r="V64" s="315">
        <f t="shared" si="18"/>
        <v>0</v>
      </c>
      <c r="W64" s="376">
        <f t="shared" si="18"/>
        <v>0</v>
      </c>
      <c r="X64" s="377">
        <f t="shared" si="16"/>
        <v>0</v>
      </c>
    </row>
    <row r="65" spans="1:24" ht="15" customHeight="1">
      <c r="A65" s="370">
        <f t="shared" si="17"/>
        <v>28</v>
      </c>
      <c r="B65" s="306"/>
      <c r="C65" s="371"/>
      <c r="D65" s="307"/>
      <c r="E65" s="371"/>
      <c r="F65" s="308"/>
      <c r="G65" s="372">
        <f>IFERROR(INDEX(【様式３】シフト表!$AK$7:$AK$106,MATCH($N65,【様式３】シフト表!$B$7:$B$106,0),1),0)</f>
        <v>0</v>
      </c>
      <c r="H65" s="125"/>
      <c r="I65" s="309"/>
      <c r="J65" s="373" t="str">
        <f t="shared" si="13"/>
        <v>-</v>
      </c>
      <c r="K65" s="150"/>
      <c r="L65" s="310" t="b">
        <f t="shared" si="14"/>
        <v>0</v>
      </c>
      <c r="M65" s="374" t="b">
        <f>AND($M$35,C65=$M$36,L65,COUNTIF($M$37:$M64,TRUE)=0)</f>
        <v>0</v>
      </c>
      <c r="N65" s="312">
        <f>IF($E65&lt;&gt;$N$35,0,COUNTIF($E$38:E65,$N$35))</f>
        <v>0</v>
      </c>
      <c r="O65" s="312" t="e">
        <f t="shared" si="9"/>
        <v>#VALUE!</v>
      </c>
      <c r="P65" s="313" t="b">
        <f t="shared" si="15"/>
        <v>1</v>
      </c>
      <c r="Q65" s="200"/>
      <c r="R65" s="375">
        <f t="shared" si="10"/>
        <v>0</v>
      </c>
      <c r="S65" s="315">
        <f t="shared" si="11"/>
        <v>0</v>
      </c>
      <c r="T65" s="375">
        <f t="shared" si="18"/>
        <v>0</v>
      </c>
      <c r="U65" s="315">
        <f t="shared" si="18"/>
        <v>0</v>
      </c>
      <c r="V65" s="315">
        <f t="shared" si="18"/>
        <v>0</v>
      </c>
      <c r="W65" s="376">
        <f t="shared" si="18"/>
        <v>0</v>
      </c>
      <c r="X65" s="377">
        <f t="shared" si="16"/>
        <v>0</v>
      </c>
    </row>
    <row r="66" spans="1:24" ht="15" customHeight="1">
      <c r="A66" s="370">
        <f t="shared" si="17"/>
        <v>29</v>
      </c>
      <c r="B66" s="306"/>
      <c r="C66" s="371"/>
      <c r="D66" s="307"/>
      <c r="E66" s="371"/>
      <c r="F66" s="308"/>
      <c r="G66" s="372">
        <f>IFERROR(INDEX(【様式３】シフト表!$AK$7:$AK$106,MATCH($N66,【様式３】シフト表!$B$7:$B$106,0),1),0)</f>
        <v>0</v>
      </c>
      <c r="H66" s="125"/>
      <c r="I66" s="309"/>
      <c r="J66" s="373" t="str">
        <f t="shared" si="13"/>
        <v>-</v>
      </c>
      <c r="K66" s="150"/>
      <c r="L66" s="310" t="b">
        <f t="shared" si="14"/>
        <v>0</v>
      </c>
      <c r="M66" s="374" t="b">
        <f>AND($M$35,C66=$M$36,L66,COUNTIF($M$37:$M65,TRUE)=0)</f>
        <v>0</v>
      </c>
      <c r="N66" s="312">
        <f>IF($E66&lt;&gt;$N$35,0,COUNTIF($E$38:E66,$N$35))</f>
        <v>0</v>
      </c>
      <c r="O66" s="312" t="e">
        <f t="shared" si="9"/>
        <v>#VALUE!</v>
      </c>
      <c r="P66" s="313" t="b">
        <f t="shared" si="15"/>
        <v>1</v>
      </c>
      <c r="Q66" s="200"/>
      <c r="R66" s="375">
        <f t="shared" si="10"/>
        <v>0</v>
      </c>
      <c r="S66" s="315">
        <f t="shared" si="11"/>
        <v>0</v>
      </c>
      <c r="T66" s="375">
        <f t="shared" si="18"/>
        <v>0</v>
      </c>
      <c r="U66" s="315">
        <f t="shared" si="18"/>
        <v>0</v>
      </c>
      <c r="V66" s="315">
        <f t="shared" si="18"/>
        <v>0</v>
      </c>
      <c r="W66" s="376">
        <f t="shared" si="18"/>
        <v>0</v>
      </c>
      <c r="X66" s="377">
        <f t="shared" si="16"/>
        <v>0</v>
      </c>
    </row>
    <row r="67" spans="1:24" ht="15" customHeight="1">
      <c r="A67" s="370">
        <f t="shared" si="17"/>
        <v>30</v>
      </c>
      <c r="B67" s="306"/>
      <c r="C67" s="371"/>
      <c r="D67" s="307"/>
      <c r="E67" s="371"/>
      <c r="F67" s="308"/>
      <c r="G67" s="372">
        <f>IFERROR(INDEX(【様式３】シフト表!$AK$7:$AK$106,MATCH($N67,【様式３】シフト表!$B$7:$B$106,0),1),0)</f>
        <v>0</v>
      </c>
      <c r="H67" s="125"/>
      <c r="I67" s="309"/>
      <c r="J67" s="373" t="str">
        <f t="shared" si="13"/>
        <v>-</v>
      </c>
      <c r="K67" s="150"/>
      <c r="L67" s="310" t="b">
        <f t="shared" si="14"/>
        <v>0</v>
      </c>
      <c r="M67" s="374" t="b">
        <f>AND($M$35,C67=$M$36,L67,COUNTIF($M$37:$M66,TRUE)=0)</f>
        <v>0</v>
      </c>
      <c r="N67" s="312">
        <f>IF($E67&lt;&gt;$N$35,0,COUNTIF($E$38:E67,$N$35))</f>
        <v>0</v>
      </c>
      <c r="O67" s="312" t="e">
        <f t="shared" si="9"/>
        <v>#VALUE!</v>
      </c>
      <c r="P67" s="313" t="b">
        <f t="shared" si="15"/>
        <v>1</v>
      </c>
      <c r="Q67" s="200"/>
      <c r="R67" s="375">
        <f t="shared" si="10"/>
        <v>0</v>
      </c>
      <c r="S67" s="315">
        <f t="shared" si="11"/>
        <v>0</v>
      </c>
      <c r="T67" s="375">
        <f t="shared" si="18"/>
        <v>0</v>
      </c>
      <c r="U67" s="315">
        <f t="shared" si="18"/>
        <v>0</v>
      </c>
      <c r="V67" s="315">
        <f t="shared" si="18"/>
        <v>0</v>
      </c>
      <c r="W67" s="376">
        <f t="shared" si="18"/>
        <v>0</v>
      </c>
      <c r="X67" s="377">
        <f t="shared" si="16"/>
        <v>0</v>
      </c>
    </row>
    <row r="68" spans="1:24" ht="15" customHeight="1">
      <c r="A68" s="370">
        <f t="shared" si="17"/>
        <v>31</v>
      </c>
      <c r="B68" s="306"/>
      <c r="C68" s="371"/>
      <c r="D68" s="307"/>
      <c r="E68" s="371"/>
      <c r="F68" s="308"/>
      <c r="G68" s="372">
        <f>IFERROR(INDEX(【様式３】シフト表!$AK$7:$AK$106,MATCH($N68,【様式３】シフト表!$B$7:$B$106,0),1),0)</f>
        <v>0</v>
      </c>
      <c r="H68" s="125"/>
      <c r="I68" s="309"/>
      <c r="J68" s="373" t="str">
        <f t="shared" si="13"/>
        <v>-</v>
      </c>
      <c r="K68" s="150"/>
      <c r="L68" s="310" t="b">
        <f t="shared" si="14"/>
        <v>0</v>
      </c>
      <c r="M68" s="374" t="b">
        <f>AND($M$35,C68=$M$36,L68,COUNTIF($M$37:$M67,TRUE)=0)</f>
        <v>0</v>
      </c>
      <c r="N68" s="312">
        <f>IF($E68&lt;&gt;$N$35,0,COUNTIF($E$38:E68,$N$35))</f>
        <v>0</v>
      </c>
      <c r="O68" s="312" t="e">
        <f t="shared" si="9"/>
        <v>#VALUE!</v>
      </c>
      <c r="P68" s="313" t="b">
        <f t="shared" si="15"/>
        <v>1</v>
      </c>
      <c r="Q68" s="200"/>
      <c r="R68" s="375">
        <f t="shared" si="10"/>
        <v>0</v>
      </c>
      <c r="S68" s="315">
        <f t="shared" si="11"/>
        <v>0</v>
      </c>
      <c r="T68" s="375">
        <f t="shared" si="18"/>
        <v>0</v>
      </c>
      <c r="U68" s="315">
        <f t="shared" si="18"/>
        <v>0</v>
      </c>
      <c r="V68" s="315">
        <f t="shared" si="18"/>
        <v>0</v>
      </c>
      <c r="W68" s="376">
        <f t="shared" si="18"/>
        <v>0</v>
      </c>
      <c r="X68" s="377">
        <f t="shared" si="16"/>
        <v>0</v>
      </c>
    </row>
    <row r="69" spans="1:24" ht="15" customHeight="1">
      <c r="A69" s="370">
        <f t="shared" si="17"/>
        <v>32</v>
      </c>
      <c r="B69" s="306"/>
      <c r="C69" s="371"/>
      <c r="D69" s="307"/>
      <c r="E69" s="371"/>
      <c r="F69" s="308"/>
      <c r="G69" s="372">
        <f>IFERROR(INDEX(【様式３】シフト表!$AK$7:$AK$106,MATCH($N69,【様式３】シフト表!$B$7:$B$106,0),1),0)</f>
        <v>0</v>
      </c>
      <c r="H69" s="125"/>
      <c r="I69" s="309"/>
      <c r="J69" s="373" t="str">
        <f t="shared" si="13"/>
        <v>-</v>
      </c>
      <c r="K69" s="150"/>
      <c r="L69" s="310" t="b">
        <f t="shared" si="14"/>
        <v>0</v>
      </c>
      <c r="M69" s="374" t="b">
        <f>AND($M$35,C69=$M$36,L69,COUNTIF($M$37:$M68,TRUE)=0)</f>
        <v>0</v>
      </c>
      <c r="N69" s="312">
        <f>IF($E69&lt;&gt;$N$35,0,COUNTIF($E$38:E69,$N$35))</f>
        <v>0</v>
      </c>
      <c r="O69" s="312" t="e">
        <f t="shared" si="9"/>
        <v>#VALUE!</v>
      </c>
      <c r="P69" s="313" t="b">
        <f t="shared" si="15"/>
        <v>1</v>
      </c>
      <c r="Q69" s="200"/>
      <c r="R69" s="375">
        <f t="shared" si="10"/>
        <v>0</v>
      </c>
      <c r="S69" s="315">
        <f t="shared" si="11"/>
        <v>0</v>
      </c>
      <c r="T69" s="375">
        <f t="shared" si="18"/>
        <v>0</v>
      </c>
      <c r="U69" s="315">
        <f t="shared" si="18"/>
        <v>0</v>
      </c>
      <c r="V69" s="315">
        <f t="shared" si="18"/>
        <v>0</v>
      </c>
      <c r="W69" s="376">
        <f t="shared" si="18"/>
        <v>0</v>
      </c>
      <c r="X69" s="377">
        <f t="shared" si="16"/>
        <v>0</v>
      </c>
    </row>
    <row r="70" spans="1:24" ht="15" customHeight="1">
      <c r="A70" s="370">
        <f t="shared" si="17"/>
        <v>33</v>
      </c>
      <c r="B70" s="306"/>
      <c r="C70" s="371"/>
      <c r="D70" s="307"/>
      <c r="E70" s="371"/>
      <c r="F70" s="308"/>
      <c r="G70" s="372">
        <f>IFERROR(INDEX(【様式３】シフト表!$AK$7:$AK$106,MATCH($N70,【様式３】シフト表!$B$7:$B$106,0),1),0)</f>
        <v>0</v>
      </c>
      <c r="H70" s="125"/>
      <c r="I70" s="309"/>
      <c r="J70" s="373" t="str">
        <f t="shared" si="13"/>
        <v>-</v>
      </c>
      <c r="K70" s="150"/>
      <c r="L70" s="310" t="b">
        <f t="shared" si="14"/>
        <v>0</v>
      </c>
      <c r="M70" s="374" t="b">
        <f>AND($M$35,C70=$M$36,L70,COUNTIF($M$37:$M69,TRUE)=0)</f>
        <v>0</v>
      </c>
      <c r="N70" s="312">
        <f>IF($E70&lt;&gt;$N$35,0,COUNTIF($E$38:E70,$N$35))</f>
        <v>0</v>
      </c>
      <c r="O70" s="312" t="e">
        <f t="shared" si="9"/>
        <v>#VALUE!</v>
      </c>
      <c r="P70" s="313" t="b">
        <f t="shared" si="15"/>
        <v>1</v>
      </c>
      <c r="Q70" s="200"/>
      <c r="R70" s="375">
        <f t="shared" si="10"/>
        <v>0</v>
      </c>
      <c r="S70" s="315">
        <f t="shared" si="11"/>
        <v>0</v>
      </c>
      <c r="T70" s="375">
        <f t="shared" si="18"/>
        <v>0</v>
      </c>
      <c r="U70" s="315">
        <f t="shared" si="18"/>
        <v>0</v>
      </c>
      <c r="V70" s="315">
        <f t="shared" si="18"/>
        <v>0</v>
      </c>
      <c r="W70" s="376">
        <f t="shared" si="18"/>
        <v>0</v>
      </c>
      <c r="X70" s="377">
        <f t="shared" si="16"/>
        <v>0</v>
      </c>
    </row>
    <row r="71" spans="1:24" ht="15" customHeight="1">
      <c r="A71" s="370">
        <f t="shared" si="17"/>
        <v>34</v>
      </c>
      <c r="B71" s="306"/>
      <c r="C71" s="371"/>
      <c r="D71" s="307"/>
      <c r="E71" s="371"/>
      <c r="F71" s="308"/>
      <c r="G71" s="372">
        <f>IFERROR(INDEX(【様式３】シフト表!$AK$7:$AK$106,MATCH($N71,【様式３】シフト表!$B$7:$B$106,0),1),0)</f>
        <v>0</v>
      </c>
      <c r="H71" s="125"/>
      <c r="I71" s="309"/>
      <c r="J71" s="373" t="str">
        <f t="shared" si="13"/>
        <v>-</v>
      </c>
      <c r="K71" s="150"/>
      <c r="L71" s="310" t="b">
        <f t="shared" si="14"/>
        <v>0</v>
      </c>
      <c r="M71" s="374" t="b">
        <f>AND($M$35,C71=$M$36,L71,COUNTIF($M$37:$M70,TRUE)=0)</f>
        <v>0</v>
      </c>
      <c r="N71" s="312">
        <f>IF($E71&lt;&gt;$N$35,0,COUNTIF($E$38:E71,$N$35))</f>
        <v>0</v>
      </c>
      <c r="O71" s="312" t="e">
        <f t="shared" si="9"/>
        <v>#VALUE!</v>
      </c>
      <c r="P71" s="313" t="b">
        <f t="shared" si="15"/>
        <v>1</v>
      </c>
      <c r="Q71" s="200"/>
      <c r="R71" s="375">
        <f t="shared" si="10"/>
        <v>0</v>
      </c>
      <c r="S71" s="315">
        <f t="shared" si="11"/>
        <v>0</v>
      </c>
      <c r="T71" s="375">
        <f t="shared" si="18"/>
        <v>0</v>
      </c>
      <c r="U71" s="315">
        <f t="shared" si="18"/>
        <v>0</v>
      </c>
      <c r="V71" s="315">
        <f t="shared" si="18"/>
        <v>0</v>
      </c>
      <c r="W71" s="376">
        <f t="shared" si="18"/>
        <v>0</v>
      </c>
      <c r="X71" s="377">
        <f t="shared" si="16"/>
        <v>0</v>
      </c>
    </row>
    <row r="72" spans="1:24" ht="15" customHeight="1">
      <c r="A72" s="370">
        <f t="shared" si="17"/>
        <v>35</v>
      </c>
      <c r="B72" s="306"/>
      <c r="C72" s="371"/>
      <c r="D72" s="307"/>
      <c r="E72" s="371"/>
      <c r="F72" s="308"/>
      <c r="G72" s="372">
        <f>IFERROR(INDEX(【様式３】シフト表!$AK$7:$AK$106,MATCH($N72,【様式３】シフト表!$B$7:$B$106,0),1),0)</f>
        <v>0</v>
      </c>
      <c r="H72" s="125"/>
      <c r="I72" s="309"/>
      <c r="J72" s="373" t="str">
        <f t="shared" si="13"/>
        <v>-</v>
      </c>
      <c r="K72" s="150"/>
      <c r="L72" s="310" t="b">
        <f t="shared" si="14"/>
        <v>0</v>
      </c>
      <c r="M72" s="374" t="b">
        <f>AND($M$35,C72=$M$36,L72,COUNTIF($M$37:$M71,TRUE)=0)</f>
        <v>0</v>
      </c>
      <c r="N72" s="312">
        <f>IF($E72&lt;&gt;$N$35,0,COUNTIF($E$38:E72,$N$35))</f>
        <v>0</v>
      </c>
      <c r="O72" s="312" t="e">
        <f t="shared" si="9"/>
        <v>#VALUE!</v>
      </c>
      <c r="P72" s="313" t="b">
        <f t="shared" si="15"/>
        <v>1</v>
      </c>
      <c r="Q72" s="200"/>
      <c r="R72" s="375">
        <f t="shared" si="10"/>
        <v>0</v>
      </c>
      <c r="S72" s="315">
        <f t="shared" si="11"/>
        <v>0</v>
      </c>
      <c r="T72" s="375">
        <f t="shared" si="18"/>
        <v>0</v>
      </c>
      <c r="U72" s="315">
        <f t="shared" si="18"/>
        <v>0</v>
      </c>
      <c r="V72" s="315">
        <f t="shared" si="18"/>
        <v>0</v>
      </c>
      <c r="W72" s="376">
        <f t="shared" si="18"/>
        <v>0</v>
      </c>
      <c r="X72" s="377">
        <f t="shared" si="16"/>
        <v>0</v>
      </c>
    </row>
    <row r="73" spans="1:24" ht="15" customHeight="1">
      <c r="A73" s="370">
        <f t="shared" si="17"/>
        <v>36</v>
      </c>
      <c r="B73" s="306"/>
      <c r="C73" s="371"/>
      <c r="D73" s="307"/>
      <c r="E73" s="371"/>
      <c r="F73" s="308"/>
      <c r="G73" s="372">
        <f>IFERROR(INDEX(【様式３】シフト表!$AK$7:$AK$106,MATCH($N73,【様式３】シフト表!$B$7:$B$106,0),1),0)</f>
        <v>0</v>
      </c>
      <c r="H73" s="125"/>
      <c r="I73" s="309"/>
      <c r="J73" s="373" t="str">
        <f t="shared" si="13"/>
        <v>-</v>
      </c>
      <c r="K73" s="150"/>
      <c r="L73" s="310" t="b">
        <f t="shared" si="14"/>
        <v>0</v>
      </c>
      <c r="M73" s="374" t="b">
        <f>AND($M$35,C73=$M$36,L73,COUNTIF($M$37:$M72,TRUE)=0)</f>
        <v>0</v>
      </c>
      <c r="N73" s="312">
        <f>IF($E73&lt;&gt;$N$35,0,COUNTIF($E$38:E73,$N$35))</f>
        <v>0</v>
      </c>
      <c r="O73" s="312" t="e">
        <f t="shared" si="9"/>
        <v>#VALUE!</v>
      </c>
      <c r="P73" s="313" t="b">
        <f t="shared" si="15"/>
        <v>1</v>
      </c>
      <c r="Q73" s="200"/>
      <c r="R73" s="375">
        <f t="shared" si="10"/>
        <v>0</v>
      </c>
      <c r="S73" s="315">
        <f t="shared" si="11"/>
        <v>0</v>
      </c>
      <c r="T73" s="375">
        <f t="shared" si="18"/>
        <v>0</v>
      </c>
      <c r="U73" s="315">
        <f t="shared" si="18"/>
        <v>0</v>
      </c>
      <c r="V73" s="315">
        <f t="shared" si="18"/>
        <v>0</v>
      </c>
      <c r="W73" s="376">
        <f t="shared" si="18"/>
        <v>0</v>
      </c>
      <c r="X73" s="377">
        <f t="shared" si="16"/>
        <v>0</v>
      </c>
    </row>
    <row r="74" spans="1:24" ht="15" customHeight="1">
      <c r="A74" s="370">
        <f t="shared" si="17"/>
        <v>37</v>
      </c>
      <c r="B74" s="306"/>
      <c r="C74" s="371"/>
      <c r="D74" s="307"/>
      <c r="E74" s="371"/>
      <c r="F74" s="308"/>
      <c r="G74" s="372">
        <f>IFERROR(INDEX(【様式３】シフト表!$AK$7:$AK$106,MATCH($N74,【様式３】シフト表!$B$7:$B$106,0),1),0)</f>
        <v>0</v>
      </c>
      <c r="H74" s="125"/>
      <c r="I74" s="309"/>
      <c r="J74" s="373" t="str">
        <f t="shared" si="13"/>
        <v>-</v>
      </c>
      <c r="K74" s="150"/>
      <c r="L74" s="310" t="b">
        <f t="shared" si="14"/>
        <v>0</v>
      </c>
      <c r="M74" s="374" t="b">
        <f>AND($M$35,C74=$M$36,L74,COUNTIF($M$37:$M73,TRUE)=0)</f>
        <v>0</v>
      </c>
      <c r="N74" s="312">
        <f>IF($E74&lt;&gt;$N$35,0,COUNTIF($E$38:E74,$N$35))</f>
        <v>0</v>
      </c>
      <c r="O74" s="312" t="e">
        <f t="shared" si="9"/>
        <v>#VALUE!</v>
      </c>
      <c r="P74" s="313" t="b">
        <f t="shared" si="15"/>
        <v>1</v>
      </c>
      <c r="Q74" s="200"/>
      <c r="R74" s="375">
        <f t="shared" si="10"/>
        <v>0</v>
      </c>
      <c r="S74" s="315">
        <f t="shared" si="11"/>
        <v>0</v>
      </c>
      <c r="T74" s="375">
        <f t="shared" si="18"/>
        <v>0</v>
      </c>
      <c r="U74" s="315">
        <f t="shared" si="18"/>
        <v>0</v>
      </c>
      <c r="V74" s="315">
        <f t="shared" si="18"/>
        <v>0</v>
      </c>
      <c r="W74" s="376">
        <f t="shared" si="18"/>
        <v>0</v>
      </c>
      <c r="X74" s="377">
        <f t="shared" si="16"/>
        <v>0</v>
      </c>
    </row>
    <row r="75" spans="1:24" ht="15" customHeight="1">
      <c r="A75" s="370">
        <f t="shared" si="17"/>
        <v>38</v>
      </c>
      <c r="B75" s="306"/>
      <c r="C75" s="371"/>
      <c r="D75" s="307"/>
      <c r="E75" s="371"/>
      <c r="F75" s="308"/>
      <c r="G75" s="372">
        <f>IFERROR(INDEX(【様式３】シフト表!$AK$7:$AK$106,MATCH($N75,【様式３】シフト表!$B$7:$B$106,0),1),0)</f>
        <v>0</v>
      </c>
      <c r="H75" s="125"/>
      <c r="I75" s="309"/>
      <c r="J75" s="373" t="str">
        <f t="shared" si="13"/>
        <v>-</v>
      </c>
      <c r="K75" s="150"/>
      <c r="L75" s="310" t="b">
        <f t="shared" si="14"/>
        <v>0</v>
      </c>
      <c r="M75" s="374" t="b">
        <f>AND($M$35,C75=$M$36,L75,COUNTIF($M$37:$M74,TRUE)=0)</f>
        <v>0</v>
      </c>
      <c r="N75" s="312">
        <f>IF($E75&lt;&gt;$N$35,0,COUNTIF($E$38:E75,$N$35))</f>
        <v>0</v>
      </c>
      <c r="O75" s="312" t="e">
        <f t="shared" si="9"/>
        <v>#VALUE!</v>
      </c>
      <c r="P75" s="313" t="b">
        <f t="shared" si="15"/>
        <v>1</v>
      </c>
      <c r="Q75" s="200"/>
      <c r="R75" s="375">
        <f t="shared" si="10"/>
        <v>0</v>
      </c>
      <c r="S75" s="315">
        <f t="shared" si="11"/>
        <v>0</v>
      </c>
      <c r="T75" s="375">
        <f t="shared" si="18"/>
        <v>0</v>
      </c>
      <c r="U75" s="315">
        <f t="shared" si="18"/>
        <v>0</v>
      </c>
      <c r="V75" s="315">
        <f t="shared" si="18"/>
        <v>0</v>
      </c>
      <c r="W75" s="376">
        <f t="shared" si="18"/>
        <v>0</v>
      </c>
      <c r="X75" s="377">
        <f t="shared" si="16"/>
        <v>0</v>
      </c>
    </row>
    <row r="76" spans="1:24" ht="15" customHeight="1">
      <c r="A76" s="370">
        <f t="shared" si="17"/>
        <v>39</v>
      </c>
      <c r="B76" s="306"/>
      <c r="C76" s="371"/>
      <c r="D76" s="307"/>
      <c r="E76" s="371"/>
      <c r="F76" s="308"/>
      <c r="G76" s="372">
        <f>IFERROR(INDEX(【様式３】シフト表!$AK$7:$AK$106,MATCH($N76,【様式３】シフト表!$B$7:$B$106,0),1),0)</f>
        <v>0</v>
      </c>
      <c r="H76" s="125"/>
      <c r="I76" s="309"/>
      <c r="J76" s="373" t="str">
        <f t="shared" si="13"/>
        <v>-</v>
      </c>
      <c r="K76" s="150"/>
      <c r="L76" s="310" t="b">
        <f t="shared" si="14"/>
        <v>0</v>
      </c>
      <c r="M76" s="374" t="b">
        <f>AND($M$35,C76=$M$36,L76,COUNTIF($M$37:$M75,TRUE)=0)</f>
        <v>0</v>
      </c>
      <c r="N76" s="312">
        <f>IF($E76&lt;&gt;$N$35,0,COUNTIF($E$38:E76,$N$35))</f>
        <v>0</v>
      </c>
      <c r="O76" s="312" t="e">
        <f t="shared" si="9"/>
        <v>#VALUE!</v>
      </c>
      <c r="P76" s="313" t="b">
        <f t="shared" si="15"/>
        <v>1</v>
      </c>
      <c r="Q76" s="200"/>
      <c r="R76" s="375">
        <f t="shared" si="10"/>
        <v>0</v>
      </c>
      <c r="S76" s="315">
        <f t="shared" si="11"/>
        <v>0</v>
      </c>
      <c r="T76" s="375">
        <f t="shared" si="18"/>
        <v>0</v>
      </c>
      <c r="U76" s="315">
        <f t="shared" si="18"/>
        <v>0</v>
      </c>
      <c r="V76" s="315">
        <f t="shared" si="18"/>
        <v>0</v>
      </c>
      <c r="W76" s="376">
        <f t="shared" si="18"/>
        <v>0</v>
      </c>
      <c r="X76" s="377">
        <f t="shared" si="16"/>
        <v>0</v>
      </c>
    </row>
    <row r="77" spans="1:24" ht="15" customHeight="1">
      <c r="A77" s="370">
        <f t="shared" si="17"/>
        <v>40</v>
      </c>
      <c r="B77" s="306"/>
      <c r="C77" s="371"/>
      <c r="D77" s="307"/>
      <c r="E77" s="371"/>
      <c r="F77" s="308"/>
      <c r="G77" s="372">
        <f>IFERROR(INDEX(【様式３】シフト表!$AK$7:$AK$106,MATCH($N77,【様式３】シフト表!$B$7:$B$106,0),1),0)</f>
        <v>0</v>
      </c>
      <c r="H77" s="125"/>
      <c r="I77" s="309"/>
      <c r="J77" s="373" t="str">
        <f t="shared" si="13"/>
        <v>-</v>
      </c>
      <c r="K77" s="150"/>
      <c r="L77" s="310" t="b">
        <f t="shared" si="14"/>
        <v>0</v>
      </c>
      <c r="M77" s="374" t="b">
        <f>AND($M$35,C77=$M$36,L77,COUNTIF($M$37:$M76,TRUE)=0)</f>
        <v>0</v>
      </c>
      <c r="N77" s="312">
        <f>IF($E77&lt;&gt;$N$35,0,COUNTIF($E$38:E77,$N$35))</f>
        <v>0</v>
      </c>
      <c r="O77" s="312" t="e">
        <f t="shared" si="9"/>
        <v>#VALUE!</v>
      </c>
      <c r="P77" s="313" t="b">
        <f t="shared" si="15"/>
        <v>1</v>
      </c>
      <c r="Q77" s="200"/>
      <c r="R77" s="375">
        <f t="shared" si="10"/>
        <v>0</v>
      </c>
      <c r="S77" s="315">
        <f t="shared" si="11"/>
        <v>0</v>
      </c>
      <c r="T77" s="375">
        <f t="shared" si="18"/>
        <v>0</v>
      </c>
      <c r="U77" s="315">
        <f t="shared" si="18"/>
        <v>0</v>
      </c>
      <c r="V77" s="315">
        <f t="shared" si="18"/>
        <v>0</v>
      </c>
      <c r="W77" s="376">
        <f t="shared" si="18"/>
        <v>0</v>
      </c>
      <c r="X77" s="377">
        <f t="shared" si="16"/>
        <v>0</v>
      </c>
    </row>
    <row r="78" spans="1:24" ht="15" customHeight="1">
      <c r="A78" s="370">
        <f t="shared" si="17"/>
        <v>41</v>
      </c>
      <c r="B78" s="306"/>
      <c r="C78" s="371"/>
      <c r="D78" s="307"/>
      <c r="E78" s="371"/>
      <c r="F78" s="308"/>
      <c r="G78" s="372">
        <f>IFERROR(INDEX(【様式３】シフト表!$AK$7:$AK$106,MATCH($N78,【様式３】シフト表!$B$7:$B$106,0),1),0)</f>
        <v>0</v>
      </c>
      <c r="H78" s="125"/>
      <c r="I78" s="309"/>
      <c r="J78" s="373" t="str">
        <f t="shared" si="13"/>
        <v>-</v>
      </c>
      <c r="K78" s="150"/>
      <c r="L78" s="310" t="b">
        <f t="shared" si="14"/>
        <v>0</v>
      </c>
      <c r="M78" s="374" t="b">
        <f>AND($M$35,C78=$M$36,L78,COUNTIF($M$37:$M77,TRUE)=0)</f>
        <v>0</v>
      </c>
      <c r="N78" s="312">
        <f>IF($E78&lt;&gt;$N$35,0,COUNTIF($E$38:E78,$N$35))</f>
        <v>0</v>
      </c>
      <c r="O78" s="312" t="e">
        <f t="shared" si="9"/>
        <v>#VALUE!</v>
      </c>
      <c r="P78" s="313" t="b">
        <f t="shared" si="15"/>
        <v>1</v>
      </c>
      <c r="Q78" s="200"/>
      <c r="R78" s="375">
        <f t="shared" si="10"/>
        <v>0</v>
      </c>
      <c r="S78" s="315">
        <f t="shared" si="11"/>
        <v>0</v>
      </c>
      <c r="T78" s="375">
        <f t="shared" ref="T78:W97" si="19">IF(AND($E78=T$34,$F78=T$35),$J78,0)</f>
        <v>0</v>
      </c>
      <c r="U78" s="315">
        <f t="shared" si="19"/>
        <v>0</v>
      </c>
      <c r="V78" s="315">
        <f t="shared" si="19"/>
        <v>0</v>
      </c>
      <c r="W78" s="376">
        <f t="shared" si="19"/>
        <v>0</v>
      </c>
      <c r="X78" s="377">
        <f t="shared" si="16"/>
        <v>0</v>
      </c>
    </row>
    <row r="79" spans="1:24" ht="15" customHeight="1">
      <c r="A79" s="370">
        <f t="shared" si="17"/>
        <v>42</v>
      </c>
      <c r="B79" s="306"/>
      <c r="C79" s="371"/>
      <c r="D79" s="307"/>
      <c r="E79" s="371"/>
      <c r="F79" s="308"/>
      <c r="G79" s="372">
        <f>IFERROR(INDEX(【様式３】シフト表!$AK$7:$AK$106,MATCH($N79,【様式３】シフト表!$B$7:$B$106,0),1),0)</f>
        <v>0</v>
      </c>
      <c r="H79" s="125"/>
      <c r="I79" s="309"/>
      <c r="J79" s="373" t="str">
        <f t="shared" si="13"/>
        <v>-</v>
      </c>
      <c r="K79" s="150"/>
      <c r="L79" s="310" t="b">
        <f t="shared" si="14"/>
        <v>0</v>
      </c>
      <c r="M79" s="374" t="b">
        <f>AND($M$35,C79=$M$36,L79,COUNTIF($M$37:$M78,TRUE)=0)</f>
        <v>0</v>
      </c>
      <c r="N79" s="312">
        <f>IF($E79&lt;&gt;$N$35,0,COUNTIF($E$38:E79,$N$35))</f>
        <v>0</v>
      </c>
      <c r="O79" s="312" t="e">
        <f t="shared" si="9"/>
        <v>#VALUE!</v>
      </c>
      <c r="P79" s="313" t="b">
        <f t="shared" si="15"/>
        <v>1</v>
      </c>
      <c r="Q79" s="200"/>
      <c r="R79" s="375">
        <f t="shared" si="10"/>
        <v>0</v>
      </c>
      <c r="S79" s="315">
        <f t="shared" si="11"/>
        <v>0</v>
      </c>
      <c r="T79" s="375">
        <f t="shared" si="19"/>
        <v>0</v>
      </c>
      <c r="U79" s="315">
        <f t="shared" si="19"/>
        <v>0</v>
      </c>
      <c r="V79" s="315">
        <f t="shared" si="19"/>
        <v>0</v>
      </c>
      <c r="W79" s="376">
        <f t="shared" si="19"/>
        <v>0</v>
      </c>
      <c r="X79" s="377">
        <f t="shared" si="16"/>
        <v>0</v>
      </c>
    </row>
    <row r="80" spans="1:24" ht="15" customHeight="1">
      <c r="A80" s="370">
        <f t="shared" si="17"/>
        <v>43</v>
      </c>
      <c r="B80" s="306"/>
      <c r="C80" s="371"/>
      <c r="D80" s="307"/>
      <c r="E80" s="371"/>
      <c r="F80" s="308"/>
      <c r="G80" s="372">
        <f>IFERROR(INDEX(【様式３】シフト表!$AK$7:$AK$106,MATCH($N80,【様式３】シフト表!$B$7:$B$106,0),1),0)</f>
        <v>0</v>
      </c>
      <c r="H80" s="125"/>
      <c r="I80" s="309"/>
      <c r="J80" s="373" t="str">
        <f t="shared" si="13"/>
        <v>-</v>
      </c>
      <c r="K80" s="150"/>
      <c r="L80" s="310" t="b">
        <f t="shared" si="14"/>
        <v>0</v>
      </c>
      <c r="M80" s="374" t="b">
        <f>AND($M$35,C80=$M$36,L80,COUNTIF($M$37:$M79,TRUE)=0)</f>
        <v>0</v>
      </c>
      <c r="N80" s="312">
        <f>IF($E80&lt;&gt;$N$35,0,COUNTIF($E$38:E80,$N$35))</f>
        <v>0</v>
      </c>
      <c r="O80" s="312" t="e">
        <f t="shared" si="9"/>
        <v>#VALUE!</v>
      </c>
      <c r="P80" s="313" t="b">
        <f t="shared" si="15"/>
        <v>1</v>
      </c>
      <c r="Q80" s="200"/>
      <c r="R80" s="375">
        <f t="shared" si="10"/>
        <v>0</v>
      </c>
      <c r="S80" s="315">
        <f t="shared" si="11"/>
        <v>0</v>
      </c>
      <c r="T80" s="375">
        <f t="shared" si="19"/>
        <v>0</v>
      </c>
      <c r="U80" s="315">
        <f t="shared" si="19"/>
        <v>0</v>
      </c>
      <c r="V80" s="315">
        <f t="shared" si="19"/>
        <v>0</v>
      </c>
      <c r="W80" s="376">
        <f t="shared" si="19"/>
        <v>0</v>
      </c>
      <c r="X80" s="377">
        <f t="shared" si="16"/>
        <v>0</v>
      </c>
    </row>
    <row r="81" spans="1:24" ht="15" customHeight="1">
      <c r="A81" s="370">
        <f t="shared" si="17"/>
        <v>44</v>
      </c>
      <c r="B81" s="306"/>
      <c r="C81" s="371"/>
      <c r="D81" s="307"/>
      <c r="E81" s="371"/>
      <c r="F81" s="308"/>
      <c r="G81" s="372">
        <f>IFERROR(INDEX(【様式３】シフト表!$AK$7:$AK$106,MATCH($N81,【様式３】シフト表!$B$7:$B$106,0),1),0)</f>
        <v>0</v>
      </c>
      <c r="H81" s="125"/>
      <c r="I81" s="309"/>
      <c r="J81" s="373" t="str">
        <f t="shared" si="13"/>
        <v>-</v>
      </c>
      <c r="K81" s="150"/>
      <c r="L81" s="310" t="b">
        <f t="shared" si="14"/>
        <v>0</v>
      </c>
      <c r="M81" s="374" t="b">
        <f>AND($M$35,C81=$M$36,L81,COUNTIF($M$37:$M80,TRUE)=0)</f>
        <v>0</v>
      </c>
      <c r="N81" s="312">
        <f>IF($E81&lt;&gt;$N$35,0,COUNTIF($E$38:E81,$N$35))</f>
        <v>0</v>
      </c>
      <c r="O81" s="312" t="e">
        <f t="shared" si="9"/>
        <v>#VALUE!</v>
      </c>
      <c r="P81" s="313" t="b">
        <f t="shared" si="15"/>
        <v>1</v>
      </c>
      <c r="Q81" s="200"/>
      <c r="R81" s="375">
        <f t="shared" si="10"/>
        <v>0</v>
      </c>
      <c r="S81" s="315">
        <f t="shared" si="11"/>
        <v>0</v>
      </c>
      <c r="T81" s="375">
        <f t="shared" si="19"/>
        <v>0</v>
      </c>
      <c r="U81" s="315">
        <f t="shared" si="19"/>
        <v>0</v>
      </c>
      <c r="V81" s="315">
        <f t="shared" si="19"/>
        <v>0</v>
      </c>
      <c r="W81" s="376">
        <f t="shared" si="19"/>
        <v>0</v>
      </c>
      <c r="X81" s="377">
        <f t="shared" si="16"/>
        <v>0</v>
      </c>
    </row>
    <row r="82" spans="1:24" ht="15" customHeight="1">
      <c r="A82" s="370">
        <f t="shared" si="17"/>
        <v>45</v>
      </c>
      <c r="B82" s="306"/>
      <c r="C82" s="371"/>
      <c r="D82" s="307"/>
      <c r="E82" s="371"/>
      <c r="F82" s="308"/>
      <c r="G82" s="372">
        <f>IFERROR(INDEX(【様式３】シフト表!$AK$7:$AK$106,MATCH($N82,【様式３】シフト表!$B$7:$B$106,0),1),0)</f>
        <v>0</v>
      </c>
      <c r="H82" s="125"/>
      <c r="I82" s="309"/>
      <c r="J82" s="373" t="str">
        <f t="shared" si="13"/>
        <v>-</v>
      </c>
      <c r="K82" s="150"/>
      <c r="L82" s="310" t="b">
        <f t="shared" si="14"/>
        <v>0</v>
      </c>
      <c r="M82" s="374" t="b">
        <f>AND($M$35,C82=$M$36,L82,COUNTIF($M$37:$M81,TRUE)=0)</f>
        <v>0</v>
      </c>
      <c r="N82" s="312">
        <f>IF($E82&lt;&gt;$N$35,0,COUNTIF($E$38:E82,$N$35))</f>
        <v>0</v>
      </c>
      <c r="O82" s="312" t="e">
        <f t="shared" si="9"/>
        <v>#VALUE!</v>
      </c>
      <c r="P82" s="313" t="b">
        <f t="shared" si="15"/>
        <v>1</v>
      </c>
      <c r="Q82" s="200"/>
      <c r="R82" s="375">
        <f t="shared" si="10"/>
        <v>0</v>
      </c>
      <c r="S82" s="315">
        <f t="shared" si="11"/>
        <v>0</v>
      </c>
      <c r="T82" s="375">
        <f t="shared" si="19"/>
        <v>0</v>
      </c>
      <c r="U82" s="315">
        <f t="shared" si="19"/>
        <v>0</v>
      </c>
      <c r="V82" s="315">
        <f t="shared" si="19"/>
        <v>0</v>
      </c>
      <c r="W82" s="376">
        <f t="shared" si="19"/>
        <v>0</v>
      </c>
      <c r="X82" s="377">
        <f t="shared" si="16"/>
        <v>0</v>
      </c>
    </row>
    <row r="83" spans="1:24" ht="15" customHeight="1">
      <c r="A83" s="370">
        <f t="shared" si="17"/>
        <v>46</v>
      </c>
      <c r="B83" s="306"/>
      <c r="C83" s="371"/>
      <c r="D83" s="307"/>
      <c r="E83" s="371"/>
      <c r="F83" s="308"/>
      <c r="G83" s="372">
        <f>IFERROR(INDEX(【様式３】シフト表!$AK$7:$AK$106,MATCH($N83,【様式３】シフト表!$B$7:$B$106,0),1),0)</f>
        <v>0</v>
      </c>
      <c r="H83" s="125"/>
      <c r="I83" s="309"/>
      <c r="J83" s="373" t="str">
        <f t="shared" si="13"/>
        <v>-</v>
      </c>
      <c r="K83" s="150"/>
      <c r="L83" s="310" t="b">
        <f t="shared" si="14"/>
        <v>0</v>
      </c>
      <c r="M83" s="374" t="b">
        <f>AND($M$35,C83=$M$36,L83,COUNTIF($M$37:$M82,TRUE)=0)</f>
        <v>0</v>
      </c>
      <c r="N83" s="312">
        <f>IF($E83&lt;&gt;$N$35,0,COUNTIF($E$38:E83,$N$35))</f>
        <v>0</v>
      </c>
      <c r="O83" s="312" t="e">
        <f t="shared" si="9"/>
        <v>#VALUE!</v>
      </c>
      <c r="P83" s="313" t="b">
        <f t="shared" si="15"/>
        <v>1</v>
      </c>
      <c r="Q83" s="200"/>
      <c r="R83" s="375">
        <f t="shared" si="10"/>
        <v>0</v>
      </c>
      <c r="S83" s="315">
        <f t="shared" si="11"/>
        <v>0</v>
      </c>
      <c r="T83" s="375">
        <f t="shared" si="19"/>
        <v>0</v>
      </c>
      <c r="U83" s="315">
        <f t="shared" si="19"/>
        <v>0</v>
      </c>
      <c r="V83" s="315">
        <f t="shared" si="19"/>
        <v>0</v>
      </c>
      <c r="W83" s="376">
        <f t="shared" si="19"/>
        <v>0</v>
      </c>
      <c r="X83" s="377">
        <f t="shared" si="16"/>
        <v>0</v>
      </c>
    </row>
    <row r="84" spans="1:24" ht="15" customHeight="1">
      <c r="A84" s="370">
        <f t="shared" si="17"/>
        <v>47</v>
      </c>
      <c r="B84" s="306"/>
      <c r="C84" s="371"/>
      <c r="D84" s="307"/>
      <c r="E84" s="371"/>
      <c r="F84" s="308"/>
      <c r="G84" s="372">
        <f>IFERROR(INDEX(【様式３】シフト表!$AK$7:$AK$106,MATCH($N84,【様式３】シフト表!$B$7:$B$106,0),1),0)</f>
        <v>0</v>
      </c>
      <c r="H84" s="125"/>
      <c r="I84" s="309"/>
      <c r="J84" s="373" t="str">
        <f t="shared" si="13"/>
        <v>-</v>
      </c>
      <c r="K84" s="150"/>
      <c r="L84" s="310" t="b">
        <f t="shared" si="14"/>
        <v>0</v>
      </c>
      <c r="M84" s="374" t="b">
        <f>AND($M$35,C84=$M$36,L84,COUNTIF($M$37:$M83,TRUE)=0)</f>
        <v>0</v>
      </c>
      <c r="N84" s="312">
        <f>IF($E84&lt;&gt;$N$35,0,COUNTIF($E$38:E84,$N$35))</f>
        <v>0</v>
      </c>
      <c r="O84" s="312" t="e">
        <f t="shared" si="9"/>
        <v>#VALUE!</v>
      </c>
      <c r="P84" s="313" t="b">
        <f t="shared" si="15"/>
        <v>1</v>
      </c>
      <c r="Q84" s="200"/>
      <c r="R84" s="375">
        <f t="shared" si="10"/>
        <v>0</v>
      </c>
      <c r="S84" s="315">
        <f t="shared" si="11"/>
        <v>0</v>
      </c>
      <c r="T84" s="375">
        <f t="shared" si="19"/>
        <v>0</v>
      </c>
      <c r="U84" s="315">
        <f t="shared" si="19"/>
        <v>0</v>
      </c>
      <c r="V84" s="315">
        <f t="shared" si="19"/>
        <v>0</v>
      </c>
      <c r="W84" s="376">
        <f t="shared" si="19"/>
        <v>0</v>
      </c>
      <c r="X84" s="377">
        <f t="shared" si="16"/>
        <v>0</v>
      </c>
    </row>
    <row r="85" spans="1:24" ht="15" customHeight="1">
      <c r="A85" s="370">
        <f t="shared" si="17"/>
        <v>48</v>
      </c>
      <c r="B85" s="306"/>
      <c r="C85" s="371"/>
      <c r="D85" s="307"/>
      <c r="E85" s="371"/>
      <c r="F85" s="308"/>
      <c r="G85" s="372">
        <f>IFERROR(INDEX(【様式３】シフト表!$AK$7:$AK$106,MATCH($N85,【様式３】シフト表!$B$7:$B$106,0),1),0)</f>
        <v>0</v>
      </c>
      <c r="H85" s="125"/>
      <c r="I85" s="309"/>
      <c r="J85" s="373" t="str">
        <f t="shared" si="13"/>
        <v>-</v>
      </c>
      <c r="K85" s="150"/>
      <c r="L85" s="310" t="b">
        <f t="shared" si="14"/>
        <v>0</v>
      </c>
      <c r="M85" s="374" t="b">
        <f>AND($M$35,C85=$M$36,L85,COUNTIF($M$37:$M84,TRUE)=0)</f>
        <v>0</v>
      </c>
      <c r="N85" s="312">
        <f>IF($E85&lt;&gt;$N$35,0,COUNTIF($E$38:E85,$N$35))</f>
        <v>0</v>
      </c>
      <c r="O85" s="312" t="e">
        <f t="shared" si="9"/>
        <v>#VALUE!</v>
      </c>
      <c r="P85" s="313" t="b">
        <f t="shared" si="15"/>
        <v>1</v>
      </c>
      <c r="Q85" s="200"/>
      <c r="R85" s="375">
        <f t="shared" si="10"/>
        <v>0</v>
      </c>
      <c r="S85" s="315">
        <f t="shared" si="11"/>
        <v>0</v>
      </c>
      <c r="T85" s="375">
        <f t="shared" si="19"/>
        <v>0</v>
      </c>
      <c r="U85" s="315">
        <f t="shared" si="19"/>
        <v>0</v>
      </c>
      <c r="V85" s="315">
        <f t="shared" si="19"/>
        <v>0</v>
      </c>
      <c r="W85" s="376">
        <f t="shared" si="19"/>
        <v>0</v>
      </c>
      <c r="X85" s="377">
        <f t="shared" si="16"/>
        <v>0</v>
      </c>
    </row>
    <row r="86" spans="1:24" ht="15" customHeight="1">
      <c r="A86" s="370">
        <f t="shared" si="17"/>
        <v>49</v>
      </c>
      <c r="B86" s="306"/>
      <c r="C86" s="371"/>
      <c r="D86" s="307"/>
      <c r="E86" s="371"/>
      <c r="F86" s="308"/>
      <c r="G86" s="372">
        <f>IFERROR(INDEX(【様式３】シフト表!$AK$7:$AK$106,MATCH($N86,【様式３】シフト表!$B$7:$B$106,0),1),0)</f>
        <v>0</v>
      </c>
      <c r="H86" s="125"/>
      <c r="I86" s="309"/>
      <c r="J86" s="373" t="str">
        <f t="shared" si="13"/>
        <v>-</v>
      </c>
      <c r="K86" s="150"/>
      <c r="L86" s="310" t="b">
        <f t="shared" si="14"/>
        <v>0</v>
      </c>
      <c r="M86" s="374" t="b">
        <f>AND($M$35,C86=$M$36,L86,COUNTIF($M$37:$M85,TRUE)=0)</f>
        <v>0</v>
      </c>
      <c r="N86" s="312">
        <f>IF($E86&lt;&gt;$N$35,0,COUNTIF($E$38:E86,$N$35))</f>
        <v>0</v>
      </c>
      <c r="O86" s="312" t="e">
        <f t="shared" si="9"/>
        <v>#VALUE!</v>
      </c>
      <c r="P86" s="313" t="b">
        <f t="shared" si="15"/>
        <v>1</v>
      </c>
      <c r="Q86" s="200"/>
      <c r="R86" s="375">
        <f t="shared" si="10"/>
        <v>0</v>
      </c>
      <c r="S86" s="315">
        <f t="shared" si="11"/>
        <v>0</v>
      </c>
      <c r="T86" s="375">
        <f t="shared" si="19"/>
        <v>0</v>
      </c>
      <c r="U86" s="315">
        <f t="shared" si="19"/>
        <v>0</v>
      </c>
      <c r="V86" s="315">
        <f t="shared" si="19"/>
        <v>0</v>
      </c>
      <c r="W86" s="376">
        <f t="shared" si="19"/>
        <v>0</v>
      </c>
      <c r="X86" s="377">
        <f t="shared" si="16"/>
        <v>0</v>
      </c>
    </row>
    <row r="87" spans="1:24" ht="15" customHeight="1">
      <c r="A87" s="370">
        <f t="shared" si="17"/>
        <v>50</v>
      </c>
      <c r="B87" s="306"/>
      <c r="C87" s="371"/>
      <c r="D87" s="307"/>
      <c r="E87" s="371"/>
      <c r="F87" s="308"/>
      <c r="G87" s="372">
        <f>IFERROR(INDEX(【様式３】シフト表!$AK$7:$AK$106,MATCH($N87,【様式３】シフト表!$B$7:$B$106,0),1),0)</f>
        <v>0</v>
      </c>
      <c r="H87" s="125"/>
      <c r="I87" s="309"/>
      <c r="J87" s="373" t="str">
        <f t="shared" si="13"/>
        <v>-</v>
      </c>
      <c r="K87" s="150"/>
      <c r="L87" s="310" t="b">
        <f t="shared" si="14"/>
        <v>0</v>
      </c>
      <c r="M87" s="374" t="b">
        <f>AND($M$35,C87=$M$36,L87,COUNTIF($M$37:$M86,TRUE)=0)</f>
        <v>0</v>
      </c>
      <c r="N87" s="312">
        <f>IF($E87&lt;&gt;$N$35,0,COUNTIF($E$38:E87,$N$35))</f>
        <v>0</v>
      </c>
      <c r="O87" s="312" t="e">
        <f t="shared" si="9"/>
        <v>#VALUE!</v>
      </c>
      <c r="P87" s="313" t="b">
        <f t="shared" si="15"/>
        <v>1</v>
      </c>
      <c r="Q87" s="200"/>
      <c r="R87" s="375">
        <f t="shared" si="10"/>
        <v>0</v>
      </c>
      <c r="S87" s="315">
        <f t="shared" si="11"/>
        <v>0</v>
      </c>
      <c r="T87" s="375">
        <f t="shared" si="19"/>
        <v>0</v>
      </c>
      <c r="U87" s="315">
        <f t="shared" si="19"/>
        <v>0</v>
      </c>
      <c r="V87" s="315">
        <f t="shared" si="19"/>
        <v>0</v>
      </c>
      <c r="W87" s="376">
        <f t="shared" si="19"/>
        <v>0</v>
      </c>
      <c r="X87" s="377">
        <f t="shared" si="16"/>
        <v>0</v>
      </c>
    </row>
    <row r="88" spans="1:24" ht="15" customHeight="1">
      <c r="A88" s="370">
        <f t="shared" si="17"/>
        <v>51</v>
      </c>
      <c r="B88" s="306"/>
      <c r="C88" s="371"/>
      <c r="D88" s="307"/>
      <c r="E88" s="371"/>
      <c r="F88" s="308"/>
      <c r="G88" s="372">
        <f>IFERROR(INDEX(【様式３】シフト表!$AK$7:$AK$106,MATCH($N88,【様式３】シフト表!$B$7:$B$106,0),1),0)</f>
        <v>0</v>
      </c>
      <c r="H88" s="125"/>
      <c r="I88" s="309"/>
      <c r="J88" s="373" t="str">
        <f t="shared" si="13"/>
        <v>-</v>
      </c>
      <c r="K88" s="150"/>
      <c r="L88" s="310" t="b">
        <f t="shared" si="14"/>
        <v>0</v>
      </c>
      <c r="M88" s="374" t="b">
        <f>AND($M$35,C88=$M$36,L88,COUNTIF($M$37:$M87,TRUE)=0)</f>
        <v>0</v>
      </c>
      <c r="N88" s="312">
        <f>IF($E88&lt;&gt;$N$35,0,COUNTIF($E$38:E88,$N$35))</f>
        <v>0</v>
      </c>
      <c r="O88" s="312" t="e">
        <f t="shared" si="9"/>
        <v>#VALUE!</v>
      </c>
      <c r="P88" s="313" t="b">
        <f t="shared" si="15"/>
        <v>1</v>
      </c>
      <c r="Q88" s="200"/>
      <c r="R88" s="375">
        <f t="shared" si="10"/>
        <v>0</v>
      </c>
      <c r="S88" s="315">
        <f t="shared" si="11"/>
        <v>0</v>
      </c>
      <c r="T88" s="375">
        <f t="shared" si="19"/>
        <v>0</v>
      </c>
      <c r="U88" s="315">
        <f t="shared" si="19"/>
        <v>0</v>
      </c>
      <c r="V88" s="315">
        <f t="shared" si="19"/>
        <v>0</v>
      </c>
      <c r="W88" s="376">
        <f t="shared" si="19"/>
        <v>0</v>
      </c>
      <c r="X88" s="377">
        <f t="shared" si="16"/>
        <v>0</v>
      </c>
    </row>
    <row r="89" spans="1:24" ht="15" customHeight="1">
      <c r="A89" s="370">
        <f t="shared" si="17"/>
        <v>52</v>
      </c>
      <c r="B89" s="306"/>
      <c r="C89" s="371"/>
      <c r="D89" s="307"/>
      <c r="E89" s="371"/>
      <c r="F89" s="308"/>
      <c r="G89" s="372">
        <f>IFERROR(INDEX(【様式３】シフト表!$AK$7:$AK$106,MATCH($N89,【様式３】シフト表!$B$7:$B$106,0),1),0)</f>
        <v>0</v>
      </c>
      <c r="H89" s="125"/>
      <c r="I89" s="309"/>
      <c r="J89" s="373" t="str">
        <f t="shared" si="13"/>
        <v>-</v>
      </c>
      <c r="K89" s="150"/>
      <c r="L89" s="310" t="b">
        <f t="shared" si="14"/>
        <v>0</v>
      </c>
      <c r="M89" s="374" t="b">
        <f>AND($M$35,C89=$M$36,L89,COUNTIF($M$37:$M88,TRUE)=0)</f>
        <v>0</v>
      </c>
      <c r="N89" s="312">
        <f>IF($E89&lt;&gt;$N$35,0,COUNTIF($E$38:E89,$N$35))</f>
        <v>0</v>
      </c>
      <c r="O89" s="312" t="e">
        <f t="shared" si="9"/>
        <v>#VALUE!</v>
      </c>
      <c r="P89" s="313" t="b">
        <f t="shared" si="15"/>
        <v>1</v>
      </c>
      <c r="Q89" s="200"/>
      <c r="R89" s="375">
        <f t="shared" si="10"/>
        <v>0</v>
      </c>
      <c r="S89" s="315">
        <f t="shared" si="11"/>
        <v>0</v>
      </c>
      <c r="T89" s="375">
        <f t="shared" si="19"/>
        <v>0</v>
      </c>
      <c r="U89" s="315">
        <f t="shared" si="19"/>
        <v>0</v>
      </c>
      <c r="V89" s="315">
        <f t="shared" si="19"/>
        <v>0</v>
      </c>
      <c r="W89" s="376">
        <f t="shared" si="19"/>
        <v>0</v>
      </c>
      <c r="X89" s="377">
        <f t="shared" si="16"/>
        <v>0</v>
      </c>
    </row>
    <row r="90" spans="1:24" ht="15" customHeight="1">
      <c r="A90" s="370">
        <f t="shared" si="17"/>
        <v>53</v>
      </c>
      <c r="B90" s="306"/>
      <c r="C90" s="371"/>
      <c r="D90" s="307"/>
      <c r="E90" s="371"/>
      <c r="F90" s="308"/>
      <c r="G90" s="372">
        <f>IFERROR(INDEX(【様式３】シフト表!$AK$7:$AK$106,MATCH($N90,【様式３】シフト表!$B$7:$B$106,0),1),0)</f>
        <v>0</v>
      </c>
      <c r="H90" s="125"/>
      <c r="I90" s="309"/>
      <c r="J90" s="373" t="str">
        <f t="shared" si="13"/>
        <v>-</v>
      </c>
      <c r="K90" s="150"/>
      <c r="L90" s="310" t="b">
        <f t="shared" si="14"/>
        <v>0</v>
      </c>
      <c r="M90" s="374" t="b">
        <f>AND($M$35,C90=$M$36,L90,COUNTIF($M$37:$M89,TRUE)=0)</f>
        <v>0</v>
      </c>
      <c r="N90" s="312">
        <f>IF($E90&lt;&gt;$N$35,0,COUNTIF($E$38:E90,$N$35))</f>
        <v>0</v>
      </c>
      <c r="O90" s="312" t="e">
        <f t="shared" si="9"/>
        <v>#VALUE!</v>
      </c>
      <c r="P90" s="313" t="b">
        <f t="shared" si="15"/>
        <v>1</v>
      </c>
      <c r="Q90" s="200"/>
      <c r="R90" s="375">
        <f t="shared" si="10"/>
        <v>0</v>
      </c>
      <c r="S90" s="315">
        <f t="shared" si="11"/>
        <v>0</v>
      </c>
      <c r="T90" s="375">
        <f t="shared" si="19"/>
        <v>0</v>
      </c>
      <c r="U90" s="315">
        <f t="shared" si="19"/>
        <v>0</v>
      </c>
      <c r="V90" s="315">
        <f t="shared" si="19"/>
        <v>0</v>
      </c>
      <c r="W90" s="376">
        <f t="shared" si="19"/>
        <v>0</v>
      </c>
      <c r="X90" s="377">
        <f t="shared" si="16"/>
        <v>0</v>
      </c>
    </row>
    <row r="91" spans="1:24" ht="15" customHeight="1">
      <c r="A91" s="370">
        <f t="shared" si="17"/>
        <v>54</v>
      </c>
      <c r="B91" s="306"/>
      <c r="C91" s="371"/>
      <c r="D91" s="307"/>
      <c r="E91" s="371"/>
      <c r="F91" s="308"/>
      <c r="G91" s="372">
        <f>IFERROR(INDEX(【様式３】シフト表!$AK$7:$AK$106,MATCH($N91,【様式３】シフト表!$B$7:$B$106,0),1),0)</f>
        <v>0</v>
      </c>
      <c r="H91" s="125"/>
      <c r="I91" s="309"/>
      <c r="J91" s="373" t="str">
        <f t="shared" si="13"/>
        <v>-</v>
      </c>
      <c r="K91" s="150"/>
      <c r="L91" s="310" t="b">
        <f t="shared" si="14"/>
        <v>0</v>
      </c>
      <c r="M91" s="374" t="b">
        <f>AND($M$35,C91=$M$36,L91,COUNTIF($M$37:$M90,TRUE)=0)</f>
        <v>0</v>
      </c>
      <c r="N91" s="312">
        <f>IF($E91&lt;&gt;$N$35,0,COUNTIF($E$38:E91,$N$35))</f>
        <v>0</v>
      </c>
      <c r="O91" s="312" t="e">
        <f t="shared" si="9"/>
        <v>#VALUE!</v>
      </c>
      <c r="P91" s="313" t="b">
        <f t="shared" si="15"/>
        <v>1</v>
      </c>
      <c r="Q91" s="200"/>
      <c r="R91" s="375">
        <f t="shared" si="10"/>
        <v>0</v>
      </c>
      <c r="S91" s="315">
        <f t="shared" si="11"/>
        <v>0</v>
      </c>
      <c r="T91" s="375">
        <f t="shared" si="19"/>
        <v>0</v>
      </c>
      <c r="U91" s="315">
        <f t="shared" si="19"/>
        <v>0</v>
      </c>
      <c r="V91" s="315">
        <f t="shared" si="19"/>
        <v>0</v>
      </c>
      <c r="W91" s="376">
        <f t="shared" si="19"/>
        <v>0</v>
      </c>
      <c r="X91" s="377">
        <f t="shared" si="16"/>
        <v>0</v>
      </c>
    </row>
    <row r="92" spans="1:24" ht="15" customHeight="1">
      <c r="A92" s="370">
        <f t="shared" si="17"/>
        <v>55</v>
      </c>
      <c r="B92" s="306"/>
      <c r="C92" s="371"/>
      <c r="D92" s="307"/>
      <c r="E92" s="371"/>
      <c r="F92" s="308"/>
      <c r="G92" s="372">
        <f>IFERROR(INDEX(【様式３】シフト表!$AK$7:$AK$106,MATCH($N92,【様式３】シフト表!$B$7:$B$106,0),1),0)</f>
        <v>0</v>
      </c>
      <c r="H92" s="125"/>
      <c r="I92" s="309"/>
      <c r="J92" s="373" t="str">
        <f t="shared" si="13"/>
        <v>-</v>
      </c>
      <c r="K92" s="150"/>
      <c r="L92" s="310" t="b">
        <f t="shared" si="14"/>
        <v>0</v>
      </c>
      <c r="M92" s="374" t="b">
        <f>AND($M$35,C92=$M$36,L92,COUNTIF($M$37:$M91,TRUE)=0)</f>
        <v>0</v>
      </c>
      <c r="N92" s="312">
        <f>IF($E92&lt;&gt;$N$35,0,COUNTIF($E$38:E92,$N$35))</f>
        <v>0</v>
      </c>
      <c r="O92" s="312" t="e">
        <f t="shared" si="9"/>
        <v>#VALUE!</v>
      </c>
      <c r="P92" s="313" t="b">
        <f t="shared" si="15"/>
        <v>1</v>
      </c>
      <c r="Q92" s="200"/>
      <c r="R92" s="375">
        <f t="shared" si="10"/>
        <v>0</v>
      </c>
      <c r="S92" s="315">
        <f t="shared" si="11"/>
        <v>0</v>
      </c>
      <c r="T92" s="375">
        <f t="shared" si="19"/>
        <v>0</v>
      </c>
      <c r="U92" s="315">
        <f t="shared" si="19"/>
        <v>0</v>
      </c>
      <c r="V92" s="315">
        <f t="shared" si="19"/>
        <v>0</v>
      </c>
      <c r="W92" s="376">
        <f t="shared" si="19"/>
        <v>0</v>
      </c>
      <c r="X92" s="377">
        <f t="shared" si="16"/>
        <v>0</v>
      </c>
    </row>
    <row r="93" spans="1:24" ht="15" customHeight="1">
      <c r="A93" s="370">
        <f t="shared" si="17"/>
        <v>56</v>
      </c>
      <c r="B93" s="306"/>
      <c r="C93" s="371"/>
      <c r="D93" s="307"/>
      <c r="E93" s="371"/>
      <c r="F93" s="308"/>
      <c r="G93" s="372">
        <f>IFERROR(INDEX(【様式３】シフト表!$AK$7:$AK$106,MATCH($N93,【様式３】シフト表!$B$7:$B$106,0),1),0)</f>
        <v>0</v>
      </c>
      <c r="H93" s="125"/>
      <c r="I93" s="309"/>
      <c r="J93" s="373" t="str">
        <f t="shared" si="13"/>
        <v>-</v>
      </c>
      <c r="K93" s="150"/>
      <c r="L93" s="310" t="b">
        <f t="shared" si="14"/>
        <v>0</v>
      </c>
      <c r="M93" s="374" t="b">
        <f>AND($M$35,C93=$M$36,L93,COUNTIF($M$37:$M92,TRUE)=0)</f>
        <v>0</v>
      </c>
      <c r="N93" s="312">
        <f>IF($E93&lt;&gt;$N$35,0,COUNTIF($E$38:E93,$N$35))</f>
        <v>0</v>
      </c>
      <c r="O93" s="312" t="e">
        <f t="shared" si="9"/>
        <v>#VALUE!</v>
      </c>
      <c r="P93" s="313" t="b">
        <f t="shared" si="15"/>
        <v>1</v>
      </c>
      <c r="Q93" s="200"/>
      <c r="R93" s="375">
        <f t="shared" si="10"/>
        <v>0</v>
      </c>
      <c r="S93" s="315">
        <f t="shared" si="11"/>
        <v>0</v>
      </c>
      <c r="T93" s="375">
        <f t="shared" si="19"/>
        <v>0</v>
      </c>
      <c r="U93" s="315">
        <f t="shared" si="19"/>
        <v>0</v>
      </c>
      <c r="V93" s="315">
        <f t="shared" si="19"/>
        <v>0</v>
      </c>
      <c r="W93" s="376">
        <f t="shared" si="19"/>
        <v>0</v>
      </c>
      <c r="X93" s="377">
        <f t="shared" si="16"/>
        <v>0</v>
      </c>
    </row>
    <row r="94" spans="1:24" ht="15" customHeight="1">
      <c r="A94" s="370">
        <f t="shared" si="17"/>
        <v>57</v>
      </c>
      <c r="B94" s="306"/>
      <c r="C94" s="371"/>
      <c r="D94" s="307"/>
      <c r="E94" s="371"/>
      <c r="F94" s="308"/>
      <c r="G94" s="372">
        <f>IFERROR(INDEX(【様式３】シフト表!$AK$7:$AK$106,MATCH($N94,【様式３】シフト表!$B$7:$B$106,0),1),0)</f>
        <v>0</v>
      </c>
      <c r="H94" s="125"/>
      <c r="I94" s="309"/>
      <c r="J94" s="373" t="str">
        <f t="shared" si="13"/>
        <v>-</v>
      </c>
      <c r="K94" s="150"/>
      <c r="L94" s="310" t="b">
        <f t="shared" si="14"/>
        <v>0</v>
      </c>
      <c r="M94" s="374" t="b">
        <f>AND($M$35,C94=$M$36,L94,COUNTIF($M$37:$M93,TRUE)=0)</f>
        <v>0</v>
      </c>
      <c r="N94" s="312">
        <f>IF($E94&lt;&gt;$N$35,0,COUNTIF($E$38:E94,$N$35))</f>
        <v>0</v>
      </c>
      <c r="O94" s="312" t="e">
        <f t="shared" si="9"/>
        <v>#VALUE!</v>
      </c>
      <c r="P94" s="313" t="b">
        <f t="shared" si="15"/>
        <v>1</v>
      </c>
      <c r="Q94" s="200"/>
      <c r="R94" s="375">
        <f t="shared" si="10"/>
        <v>0</v>
      </c>
      <c r="S94" s="315">
        <f t="shared" si="11"/>
        <v>0</v>
      </c>
      <c r="T94" s="375">
        <f t="shared" si="19"/>
        <v>0</v>
      </c>
      <c r="U94" s="315">
        <f t="shared" si="19"/>
        <v>0</v>
      </c>
      <c r="V94" s="315">
        <f t="shared" si="19"/>
        <v>0</v>
      </c>
      <c r="W94" s="376">
        <f t="shared" si="19"/>
        <v>0</v>
      </c>
      <c r="X94" s="377">
        <f t="shared" si="16"/>
        <v>0</v>
      </c>
    </row>
    <row r="95" spans="1:24" ht="15" customHeight="1">
      <c r="A95" s="370">
        <f t="shared" si="17"/>
        <v>58</v>
      </c>
      <c r="B95" s="306"/>
      <c r="C95" s="371"/>
      <c r="D95" s="307"/>
      <c r="E95" s="371"/>
      <c r="F95" s="308"/>
      <c r="G95" s="372">
        <f>IFERROR(INDEX(【様式３】シフト表!$AK$7:$AK$106,MATCH($N95,【様式３】シフト表!$B$7:$B$106,0),1),0)</f>
        <v>0</v>
      </c>
      <c r="H95" s="125"/>
      <c r="I95" s="309"/>
      <c r="J95" s="373" t="str">
        <f t="shared" si="13"/>
        <v>-</v>
      </c>
      <c r="K95" s="150"/>
      <c r="L95" s="310" t="b">
        <f t="shared" si="14"/>
        <v>0</v>
      </c>
      <c r="M95" s="374" t="b">
        <f>AND($M$35,C95=$M$36,L95,COUNTIF($M$37:$M94,TRUE)=0)</f>
        <v>0</v>
      </c>
      <c r="N95" s="312">
        <f>IF($E95&lt;&gt;$N$35,0,COUNTIF($E$38:E95,$N$35))</f>
        <v>0</v>
      </c>
      <c r="O95" s="312" t="e">
        <f t="shared" si="9"/>
        <v>#VALUE!</v>
      </c>
      <c r="P95" s="313" t="b">
        <f t="shared" si="15"/>
        <v>1</v>
      </c>
      <c r="Q95" s="200"/>
      <c r="R95" s="375">
        <f t="shared" si="10"/>
        <v>0</v>
      </c>
      <c r="S95" s="315">
        <f t="shared" si="11"/>
        <v>0</v>
      </c>
      <c r="T95" s="375">
        <f t="shared" si="19"/>
        <v>0</v>
      </c>
      <c r="U95" s="315">
        <f t="shared" si="19"/>
        <v>0</v>
      </c>
      <c r="V95" s="315">
        <f t="shared" si="19"/>
        <v>0</v>
      </c>
      <c r="W95" s="376">
        <f t="shared" si="19"/>
        <v>0</v>
      </c>
      <c r="X95" s="377">
        <f t="shared" si="16"/>
        <v>0</v>
      </c>
    </row>
    <row r="96" spans="1:24" ht="15" customHeight="1">
      <c r="A96" s="370">
        <f t="shared" si="17"/>
        <v>59</v>
      </c>
      <c r="B96" s="306"/>
      <c r="C96" s="371"/>
      <c r="D96" s="307"/>
      <c r="E96" s="371"/>
      <c r="F96" s="308"/>
      <c r="G96" s="372">
        <f>IFERROR(INDEX(【様式３】シフト表!$AK$7:$AK$106,MATCH($N96,【様式３】シフト表!$B$7:$B$106,0),1),0)</f>
        <v>0</v>
      </c>
      <c r="H96" s="125"/>
      <c r="I96" s="309"/>
      <c r="J96" s="373" t="str">
        <f t="shared" si="13"/>
        <v>-</v>
      </c>
      <c r="K96" s="150"/>
      <c r="L96" s="310" t="b">
        <f t="shared" si="14"/>
        <v>0</v>
      </c>
      <c r="M96" s="374" t="b">
        <f>AND($M$35,C96=$M$36,L96,COUNTIF($M$37:$M95,TRUE)=0)</f>
        <v>0</v>
      </c>
      <c r="N96" s="312">
        <f>IF($E96&lt;&gt;$N$35,0,COUNTIF($E$38:E96,$N$35))</f>
        <v>0</v>
      </c>
      <c r="O96" s="312" t="e">
        <f t="shared" si="9"/>
        <v>#VALUE!</v>
      </c>
      <c r="P96" s="313" t="b">
        <f t="shared" si="15"/>
        <v>1</v>
      </c>
      <c r="Q96" s="200"/>
      <c r="R96" s="375">
        <f t="shared" si="10"/>
        <v>0</v>
      </c>
      <c r="S96" s="315">
        <f t="shared" si="11"/>
        <v>0</v>
      </c>
      <c r="T96" s="375">
        <f t="shared" si="19"/>
        <v>0</v>
      </c>
      <c r="U96" s="315">
        <f t="shared" si="19"/>
        <v>0</v>
      </c>
      <c r="V96" s="315">
        <f t="shared" si="19"/>
        <v>0</v>
      </c>
      <c r="W96" s="376">
        <f t="shared" si="19"/>
        <v>0</v>
      </c>
      <c r="X96" s="377">
        <f t="shared" si="16"/>
        <v>0</v>
      </c>
    </row>
    <row r="97" spans="1:24" ht="15" customHeight="1">
      <c r="A97" s="370">
        <f t="shared" si="17"/>
        <v>60</v>
      </c>
      <c r="B97" s="306"/>
      <c r="C97" s="371"/>
      <c r="D97" s="307"/>
      <c r="E97" s="371"/>
      <c r="F97" s="308"/>
      <c r="G97" s="372">
        <f>IFERROR(INDEX(【様式３】シフト表!$AK$7:$AK$106,MATCH($N97,【様式３】シフト表!$B$7:$B$106,0),1),0)</f>
        <v>0</v>
      </c>
      <c r="H97" s="125"/>
      <c r="I97" s="309"/>
      <c r="J97" s="373" t="str">
        <f t="shared" si="13"/>
        <v>-</v>
      </c>
      <c r="K97" s="150"/>
      <c r="L97" s="310" t="b">
        <f t="shared" si="14"/>
        <v>0</v>
      </c>
      <c r="M97" s="374" t="b">
        <f>AND($M$35,C97=$M$36,L97,COUNTIF($M$37:$M96,TRUE)=0)</f>
        <v>0</v>
      </c>
      <c r="N97" s="312">
        <f>IF($E97&lt;&gt;$N$35,0,COUNTIF($E$38:E97,$N$35))</f>
        <v>0</v>
      </c>
      <c r="O97" s="312" t="e">
        <f t="shared" si="9"/>
        <v>#VALUE!</v>
      </c>
      <c r="P97" s="313" t="b">
        <f t="shared" si="15"/>
        <v>1</v>
      </c>
      <c r="Q97" s="200"/>
      <c r="R97" s="375">
        <f t="shared" si="10"/>
        <v>0</v>
      </c>
      <c r="S97" s="315">
        <f t="shared" si="11"/>
        <v>0</v>
      </c>
      <c r="T97" s="375">
        <f t="shared" si="19"/>
        <v>0</v>
      </c>
      <c r="U97" s="315">
        <f t="shared" si="19"/>
        <v>0</v>
      </c>
      <c r="V97" s="315">
        <f t="shared" si="19"/>
        <v>0</v>
      </c>
      <c r="W97" s="376">
        <f t="shared" si="19"/>
        <v>0</v>
      </c>
      <c r="X97" s="377">
        <f t="shared" si="16"/>
        <v>0</v>
      </c>
    </row>
    <row r="98" spans="1:24" ht="15" customHeight="1">
      <c r="A98" s="370">
        <f t="shared" si="17"/>
        <v>61</v>
      </c>
      <c r="B98" s="306"/>
      <c r="C98" s="371"/>
      <c r="D98" s="307"/>
      <c r="E98" s="371"/>
      <c r="F98" s="308"/>
      <c r="G98" s="372">
        <f>IFERROR(INDEX(【様式３】シフト表!$AK$7:$AK$106,MATCH($N98,【様式３】シフト表!$B$7:$B$106,0),1),0)</f>
        <v>0</v>
      </c>
      <c r="H98" s="125"/>
      <c r="I98" s="309"/>
      <c r="J98" s="373" t="str">
        <f t="shared" si="13"/>
        <v>-</v>
      </c>
      <c r="K98" s="150"/>
      <c r="L98" s="310" t="b">
        <f t="shared" si="14"/>
        <v>0</v>
      </c>
      <c r="M98" s="374" t="b">
        <f>AND($M$35,C98=$M$36,L98,COUNTIF($M$37:$M97,TRUE)=0)</f>
        <v>0</v>
      </c>
      <c r="N98" s="312">
        <f>IF($E98&lt;&gt;$N$35,0,COUNTIF($E$38:E98,$N$35))</f>
        <v>0</v>
      </c>
      <c r="O98" s="312" t="e">
        <f t="shared" si="9"/>
        <v>#VALUE!</v>
      </c>
      <c r="P98" s="313" t="b">
        <f t="shared" si="15"/>
        <v>1</v>
      </c>
      <c r="Q98" s="200"/>
      <c r="R98" s="375">
        <f t="shared" si="10"/>
        <v>0</v>
      </c>
      <c r="S98" s="315">
        <f t="shared" si="11"/>
        <v>0</v>
      </c>
      <c r="T98" s="375">
        <f t="shared" ref="T98:W117" si="20">IF(AND($E98=T$34,$F98=T$35),$J98,0)</f>
        <v>0</v>
      </c>
      <c r="U98" s="315">
        <f t="shared" si="20"/>
        <v>0</v>
      </c>
      <c r="V98" s="315">
        <f t="shared" si="20"/>
        <v>0</v>
      </c>
      <c r="W98" s="376">
        <f t="shared" si="20"/>
        <v>0</v>
      </c>
      <c r="X98" s="377">
        <f t="shared" si="16"/>
        <v>0</v>
      </c>
    </row>
    <row r="99" spans="1:24" ht="15" customHeight="1">
      <c r="A99" s="370">
        <f t="shared" si="17"/>
        <v>62</v>
      </c>
      <c r="B99" s="306"/>
      <c r="C99" s="371"/>
      <c r="D99" s="307"/>
      <c r="E99" s="371"/>
      <c r="F99" s="308"/>
      <c r="G99" s="372">
        <f>IFERROR(INDEX(【様式３】シフト表!$AK$7:$AK$106,MATCH($N99,【様式３】シフト表!$B$7:$B$106,0),1),0)</f>
        <v>0</v>
      </c>
      <c r="H99" s="125"/>
      <c r="I99" s="309"/>
      <c r="J99" s="373" t="str">
        <f t="shared" si="13"/>
        <v>-</v>
      </c>
      <c r="K99" s="150"/>
      <c r="L99" s="310" t="b">
        <f t="shared" si="14"/>
        <v>0</v>
      </c>
      <c r="M99" s="374" t="b">
        <f>AND($M$35,C99=$M$36,L99,COUNTIF($M$37:$M98,TRUE)=0)</f>
        <v>0</v>
      </c>
      <c r="N99" s="312">
        <f>IF($E99&lt;&gt;$N$35,0,COUNTIF($E$38:E99,$N$35))</f>
        <v>0</v>
      </c>
      <c r="O99" s="312" t="e">
        <f t="shared" si="9"/>
        <v>#VALUE!</v>
      </c>
      <c r="P99" s="313" t="b">
        <f t="shared" si="15"/>
        <v>1</v>
      </c>
      <c r="Q99" s="200"/>
      <c r="R99" s="375">
        <f t="shared" si="10"/>
        <v>0</v>
      </c>
      <c r="S99" s="315">
        <f t="shared" si="11"/>
        <v>0</v>
      </c>
      <c r="T99" s="375">
        <f t="shared" si="20"/>
        <v>0</v>
      </c>
      <c r="U99" s="315">
        <f t="shared" si="20"/>
        <v>0</v>
      </c>
      <c r="V99" s="315">
        <f t="shared" si="20"/>
        <v>0</v>
      </c>
      <c r="W99" s="376">
        <f t="shared" si="20"/>
        <v>0</v>
      </c>
      <c r="X99" s="377">
        <f t="shared" si="16"/>
        <v>0</v>
      </c>
    </row>
    <row r="100" spans="1:24" ht="15" customHeight="1">
      <c r="A100" s="370">
        <f t="shared" si="17"/>
        <v>63</v>
      </c>
      <c r="B100" s="306"/>
      <c r="C100" s="371"/>
      <c r="D100" s="307"/>
      <c r="E100" s="371"/>
      <c r="F100" s="308"/>
      <c r="G100" s="372">
        <f>IFERROR(INDEX(【様式３】シフト表!$AK$7:$AK$106,MATCH($N100,【様式３】シフト表!$B$7:$B$106,0),1),0)</f>
        <v>0</v>
      </c>
      <c r="H100" s="125"/>
      <c r="I100" s="309"/>
      <c r="J100" s="373" t="str">
        <f t="shared" si="13"/>
        <v>-</v>
      </c>
      <c r="K100" s="150"/>
      <c r="L100" s="310" t="b">
        <f t="shared" si="14"/>
        <v>0</v>
      </c>
      <c r="M100" s="374" t="b">
        <f>AND($M$35,C100=$M$36,L100,COUNTIF($M$37:$M99,TRUE)=0)</f>
        <v>0</v>
      </c>
      <c r="N100" s="312">
        <f>IF($E100&lt;&gt;$N$35,0,COUNTIF($E$38:E100,$N$35))</f>
        <v>0</v>
      </c>
      <c r="O100" s="312" t="e">
        <f t="shared" si="9"/>
        <v>#VALUE!</v>
      </c>
      <c r="P100" s="313" t="b">
        <f t="shared" si="15"/>
        <v>1</v>
      </c>
      <c r="Q100" s="200"/>
      <c r="R100" s="375">
        <f t="shared" si="10"/>
        <v>0</v>
      </c>
      <c r="S100" s="315">
        <f t="shared" si="11"/>
        <v>0</v>
      </c>
      <c r="T100" s="375">
        <f t="shared" si="20"/>
        <v>0</v>
      </c>
      <c r="U100" s="315">
        <f t="shared" si="20"/>
        <v>0</v>
      </c>
      <c r="V100" s="315">
        <f t="shared" si="20"/>
        <v>0</v>
      </c>
      <c r="W100" s="376">
        <f t="shared" si="20"/>
        <v>0</v>
      </c>
      <c r="X100" s="377">
        <f t="shared" si="16"/>
        <v>0</v>
      </c>
    </row>
    <row r="101" spans="1:24" ht="15" customHeight="1">
      <c r="A101" s="370">
        <f t="shared" si="17"/>
        <v>64</v>
      </c>
      <c r="B101" s="306"/>
      <c r="C101" s="371"/>
      <c r="D101" s="307"/>
      <c r="E101" s="371"/>
      <c r="F101" s="308"/>
      <c r="G101" s="372">
        <f>IFERROR(INDEX(【様式３】シフト表!$AK$7:$AK$106,MATCH($N101,【様式３】シフト表!$B$7:$B$106,0),1),0)</f>
        <v>0</v>
      </c>
      <c r="H101" s="125"/>
      <c r="I101" s="309"/>
      <c r="J101" s="373" t="str">
        <f t="shared" si="13"/>
        <v>-</v>
      </c>
      <c r="K101" s="150"/>
      <c r="L101" s="310" t="b">
        <f t="shared" si="14"/>
        <v>0</v>
      </c>
      <c r="M101" s="374" t="b">
        <f>AND($M$35,C101=$M$36,L101,COUNTIF($M$37:$M100,TRUE)=0)</f>
        <v>0</v>
      </c>
      <c r="N101" s="312">
        <f>IF($E101&lt;&gt;$N$35,0,COUNTIF($E$38:E101,$N$35))</f>
        <v>0</v>
      </c>
      <c r="O101" s="312" t="e">
        <f t="shared" si="9"/>
        <v>#VALUE!</v>
      </c>
      <c r="P101" s="313" t="b">
        <f t="shared" si="15"/>
        <v>1</v>
      </c>
      <c r="Q101" s="200"/>
      <c r="R101" s="375">
        <f t="shared" si="10"/>
        <v>0</v>
      </c>
      <c r="S101" s="315">
        <f t="shared" si="11"/>
        <v>0</v>
      </c>
      <c r="T101" s="375">
        <f t="shared" si="20"/>
        <v>0</v>
      </c>
      <c r="U101" s="315">
        <f t="shared" si="20"/>
        <v>0</v>
      </c>
      <c r="V101" s="315">
        <f t="shared" si="20"/>
        <v>0</v>
      </c>
      <c r="W101" s="376">
        <f t="shared" si="20"/>
        <v>0</v>
      </c>
      <c r="X101" s="377">
        <f t="shared" si="16"/>
        <v>0</v>
      </c>
    </row>
    <row r="102" spans="1:24" ht="15" customHeight="1">
      <c r="A102" s="370">
        <f t="shared" si="17"/>
        <v>65</v>
      </c>
      <c r="B102" s="306"/>
      <c r="C102" s="371"/>
      <c r="D102" s="307"/>
      <c r="E102" s="371"/>
      <c r="F102" s="308"/>
      <c r="G102" s="372">
        <f>IFERROR(INDEX(【様式３】シフト表!$AK$7:$AK$106,MATCH($N102,【様式３】シフト表!$B$7:$B$106,0),1),0)</f>
        <v>0</v>
      </c>
      <c r="H102" s="125"/>
      <c r="I102" s="309"/>
      <c r="J102" s="373" t="str">
        <f t="shared" si="13"/>
        <v>-</v>
      </c>
      <c r="K102" s="150"/>
      <c r="L102" s="310" t="b">
        <f t="shared" si="14"/>
        <v>0</v>
      </c>
      <c r="M102" s="374" t="b">
        <f>AND($M$35,C102=$M$36,L102,COUNTIF($M$37:$M101,TRUE)=0)</f>
        <v>0</v>
      </c>
      <c r="N102" s="312">
        <f>IF($E102&lt;&gt;$N$35,0,COUNTIF($E$38:E102,$N$35))</f>
        <v>0</v>
      </c>
      <c r="O102" s="312" t="e">
        <f t="shared" ref="O102:O137" si="21">OR($H102&gt;$H$36,AND($E102=$AB$26,$F102&lt;&gt;$AC$26,$F102&lt;&gt;$AC$27,$F102&lt;&gt;$AC$28,$F102&lt;&gt;$AC$29),AND($E102=$AB$27,$F102&lt;&gt;$AD$26,$F102&lt;&gt;$AD$27,$F102&lt;&gt;$AD$28,$F102&lt;&gt;$AD$29))</f>
        <v>#VALUE!</v>
      </c>
      <c r="P102" s="313" t="b">
        <f t="shared" si="15"/>
        <v>1</v>
      </c>
      <c r="Q102" s="200"/>
      <c r="R102" s="375">
        <f t="shared" ref="R102:R137" si="22">IF($E102=R$34,1,0)</f>
        <v>0</v>
      </c>
      <c r="S102" s="315">
        <f t="shared" ref="S102:S137" si="23">IF($E102=S$34,$G102,0)</f>
        <v>0</v>
      </c>
      <c r="T102" s="375">
        <f t="shared" si="20"/>
        <v>0</v>
      </c>
      <c r="U102" s="315">
        <f t="shared" si="20"/>
        <v>0</v>
      </c>
      <c r="V102" s="315">
        <f t="shared" si="20"/>
        <v>0</v>
      </c>
      <c r="W102" s="376">
        <f t="shared" si="20"/>
        <v>0</v>
      </c>
      <c r="X102" s="377">
        <f t="shared" si="16"/>
        <v>0</v>
      </c>
    </row>
    <row r="103" spans="1:24" ht="15" customHeight="1">
      <c r="A103" s="370">
        <f t="shared" si="17"/>
        <v>66</v>
      </c>
      <c r="B103" s="306"/>
      <c r="C103" s="371"/>
      <c r="D103" s="307"/>
      <c r="E103" s="371"/>
      <c r="F103" s="308"/>
      <c r="G103" s="372">
        <f>IFERROR(INDEX(【様式３】シフト表!$AK$7:$AK$106,MATCH($N103,【様式３】シフト表!$B$7:$B$106,0),1),0)</f>
        <v>0</v>
      </c>
      <c r="H103" s="125"/>
      <c r="I103" s="309"/>
      <c r="J103" s="373" t="str">
        <f t="shared" ref="J103:J137" si="24">IF(L103,IF(OR(P103,O103),"エラー",IF(C103=$Z$32,IF(M103,$Z$27,$Z$31),C103)),"-")</f>
        <v>-</v>
      </c>
      <c r="K103" s="150"/>
      <c r="L103" s="310" t="b">
        <f t="shared" ref="L103:L137" si="25">$D103=$L$35</f>
        <v>0</v>
      </c>
      <c r="M103" s="374" t="b">
        <f>AND($M$35,C103=$M$36,L103,COUNTIF($M$37:$M102,TRUE)=0)</f>
        <v>0</v>
      </c>
      <c r="N103" s="312">
        <f>IF($E103&lt;&gt;$N$35,0,COUNTIF($E$38:E103,$N$35))</f>
        <v>0</v>
      </c>
      <c r="O103" s="312" t="e">
        <f t="shared" si="21"/>
        <v>#VALUE!</v>
      </c>
      <c r="P103" s="313" t="b">
        <f t="shared" ref="P103:P137" si="26">OR($B103=0,$C103=0,$E103=0,AND($E103&lt;&gt;0,$F103=0),AND($E103=P$35,$G103=0),$H103=0)</f>
        <v>1</v>
      </c>
      <c r="Q103" s="200"/>
      <c r="R103" s="375">
        <f t="shared" si="22"/>
        <v>0</v>
      </c>
      <c r="S103" s="315">
        <f t="shared" si="23"/>
        <v>0</v>
      </c>
      <c r="T103" s="375">
        <f t="shared" si="20"/>
        <v>0</v>
      </c>
      <c r="U103" s="315">
        <f t="shared" si="20"/>
        <v>0</v>
      </c>
      <c r="V103" s="315">
        <f t="shared" si="20"/>
        <v>0</v>
      </c>
      <c r="W103" s="376">
        <f t="shared" si="20"/>
        <v>0</v>
      </c>
      <c r="X103" s="377">
        <f t="shared" ref="X103:X137" si="27">IF($E103=X$34,$J103,0)</f>
        <v>0</v>
      </c>
    </row>
    <row r="104" spans="1:24" ht="15" customHeight="1">
      <c r="A104" s="370">
        <f t="shared" ref="A104:A137" si="28">A103+1</f>
        <v>67</v>
      </c>
      <c r="B104" s="306"/>
      <c r="C104" s="371"/>
      <c r="D104" s="307"/>
      <c r="E104" s="371"/>
      <c r="F104" s="308"/>
      <c r="G104" s="372">
        <f>IFERROR(INDEX(【様式３】シフト表!$AK$7:$AK$106,MATCH($N104,【様式３】シフト表!$B$7:$B$106,0),1),0)</f>
        <v>0</v>
      </c>
      <c r="H104" s="125"/>
      <c r="I104" s="309"/>
      <c r="J104" s="373" t="str">
        <f t="shared" si="24"/>
        <v>-</v>
      </c>
      <c r="K104" s="150"/>
      <c r="L104" s="310" t="b">
        <f t="shared" si="25"/>
        <v>0</v>
      </c>
      <c r="M104" s="374" t="b">
        <f>AND($M$35,C104=$M$36,L104,COUNTIF($M$37:$M103,TRUE)=0)</f>
        <v>0</v>
      </c>
      <c r="N104" s="312">
        <f>IF($E104&lt;&gt;$N$35,0,COUNTIF($E$38:E104,$N$35))</f>
        <v>0</v>
      </c>
      <c r="O104" s="312" t="e">
        <f t="shared" si="21"/>
        <v>#VALUE!</v>
      </c>
      <c r="P104" s="313" t="b">
        <f t="shared" si="26"/>
        <v>1</v>
      </c>
      <c r="Q104" s="200"/>
      <c r="R104" s="375">
        <f t="shared" si="22"/>
        <v>0</v>
      </c>
      <c r="S104" s="315">
        <f t="shared" si="23"/>
        <v>0</v>
      </c>
      <c r="T104" s="375">
        <f t="shared" si="20"/>
        <v>0</v>
      </c>
      <c r="U104" s="315">
        <f t="shared" si="20"/>
        <v>0</v>
      </c>
      <c r="V104" s="315">
        <f t="shared" si="20"/>
        <v>0</v>
      </c>
      <c r="W104" s="376">
        <f t="shared" si="20"/>
        <v>0</v>
      </c>
      <c r="X104" s="377">
        <f t="shared" si="27"/>
        <v>0</v>
      </c>
    </row>
    <row r="105" spans="1:24" ht="15" customHeight="1">
      <c r="A105" s="370">
        <f t="shared" si="28"/>
        <v>68</v>
      </c>
      <c r="B105" s="306"/>
      <c r="C105" s="371"/>
      <c r="D105" s="307"/>
      <c r="E105" s="371"/>
      <c r="F105" s="308"/>
      <c r="G105" s="372">
        <f>IFERROR(INDEX(【様式３】シフト表!$AK$7:$AK$106,MATCH($N105,【様式３】シフト表!$B$7:$B$106,0),1),0)</f>
        <v>0</v>
      </c>
      <c r="H105" s="125"/>
      <c r="I105" s="309"/>
      <c r="J105" s="373" t="str">
        <f t="shared" si="24"/>
        <v>-</v>
      </c>
      <c r="K105" s="150"/>
      <c r="L105" s="310" t="b">
        <f t="shared" si="25"/>
        <v>0</v>
      </c>
      <c r="M105" s="374" t="b">
        <f>AND($M$35,C105=$M$36,L105,COUNTIF($M$37:$M104,TRUE)=0)</f>
        <v>0</v>
      </c>
      <c r="N105" s="312">
        <f>IF($E105&lt;&gt;$N$35,0,COUNTIF($E$38:E105,$N$35))</f>
        <v>0</v>
      </c>
      <c r="O105" s="312" t="e">
        <f t="shared" si="21"/>
        <v>#VALUE!</v>
      </c>
      <c r="P105" s="313" t="b">
        <f t="shared" si="26"/>
        <v>1</v>
      </c>
      <c r="Q105" s="200"/>
      <c r="R105" s="375">
        <f t="shared" si="22"/>
        <v>0</v>
      </c>
      <c r="S105" s="315">
        <f t="shared" si="23"/>
        <v>0</v>
      </c>
      <c r="T105" s="375">
        <f t="shared" si="20"/>
        <v>0</v>
      </c>
      <c r="U105" s="315">
        <f t="shared" si="20"/>
        <v>0</v>
      </c>
      <c r="V105" s="315">
        <f t="shared" si="20"/>
        <v>0</v>
      </c>
      <c r="W105" s="376">
        <f t="shared" si="20"/>
        <v>0</v>
      </c>
      <c r="X105" s="377">
        <f t="shared" si="27"/>
        <v>0</v>
      </c>
    </row>
    <row r="106" spans="1:24" ht="15" customHeight="1">
      <c r="A106" s="370">
        <f t="shared" si="28"/>
        <v>69</v>
      </c>
      <c r="B106" s="306"/>
      <c r="C106" s="371"/>
      <c r="D106" s="307"/>
      <c r="E106" s="371"/>
      <c r="F106" s="308"/>
      <c r="G106" s="372">
        <f>IFERROR(INDEX(【様式３】シフト表!$AK$7:$AK$106,MATCH($N106,【様式３】シフト表!$B$7:$B$106,0),1),0)</f>
        <v>0</v>
      </c>
      <c r="H106" s="125"/>
      <c r="I106" s="309"/>
      <c r="J106" s="373" t="str">
        <f t="shared" si="24"/>
        <v>-</v>
      </c>
      <c r="K106" s="150"/>
      <c r="L106" s="310" t="b">
        <f t="shared" si="25"/>
        <v>0</v>
      </c>
      <c r="M106" s="374" t="b">
        <f>AND($M$35,C106=$M$36,L106,COUNTIF($M$37:$M105,TRUE)=0)</f>
        <v>0</v>
      </c>
      <c r="N106" s="312">
        <f>IF($E106&lt;&gt;$N$35,0,COUNTIF($E$38:E106,$N$35))</f>
        <v>0</v>
      </c>
      <c r="O106" s="312" t="e">
        <f t="shared" si="21"/>
        <v>#VALUE!</v>
      </c>
      <c r="P106" s="313" t="b">
        <f t="shared" si="26"/>
        <v>1</v>
      </c>
      <c r="Q106" s="200"/>
      <c r="R106" s="375">
        <f t="shared" si="22"/>
        <v>0</v>
      </c>
      <c r="S106" s="315">
        <f t="shared" si="23"/>
        <v>0</v>
      </c>
      <c r="T106" s="375">
        <f t="shared" si="20"/>
        <v>0</v>
      </c>
      <c r="U106" s="315">
        <f t="shared" si="20"/>
        <v>0</v>
      </c>
      <c r="V106" s="315">
        <f t="shared" si="20"/>
        <v>0</v>
      </c>
      <c r="W106" s="376">
        <f t="shared" si="20"/>
        <v>0</v>
      </c>
      <c r="X106" s="377">
        <f t="shared" si="27"/>
        <v>0</v>
      </c>
    </row>
    <row r="107" spans="1:24" ht="15" customHeight="1">
      <c r="A107" s="370">
        <f t="shared" si="28"/>
        <v>70</v>
      </c>
      <c r="B107" s="306"/>
      <c r="C107" s="371"/>
      <c r="D107" s="307"/>
      <c r="E107" s="371"/>
      <c r="F107" s="308"/>
      <c r="G107" s="372">
        <f>IFERROR(INDEX(【様式３】シフト表!$AK$7:$AK$106,MATCH($N107,【様式３】シフト表!$B$7:$B$106,0),1),0)</f>
        <v>0</v>
      </c>
      <c r="H107" s="125"/>
      <c r="I107" s="309"/>
      <c r="J107" s="373" t="str">
        <f t="shared" si="24"/>
        <v>-</v>
      </c>
      <c r="K107" s="150"/>
      <c r="L107" s="310" t="b">
        <f t="shared" si="25"/>
        <v>0</v>
      </c>
      <c r="M107" s="374" t="b">
        <f>AND($M$35,C107=$M$36,L107,COUNTIF($M$37:$M106,TRUE)=0)</f>
        <v>0</v>
      </c>
      <c r="N107" s="312">
        <f>IF($E107&lt;&gt;$N$35,0,COUNTIF($E$38:E107,$N$35))</f>
        <v>0</v>
      </c>
      <c r="O107" s="312" t="e">
        <f t="shared" si="21"/>
        <v>#VALUE!</v>
      </c>
      <c r="P107" s="313" t="b">
        <f t="shared" si="26"/>
        <v>1</v>
      </c>
      <c r="Q107" s="200"/>
      <c r="R107" s="375">
        <f t="shared" si="22"/>
        <v>0</v>
      </c>
      <c r="S107" s="315">
        <f t="shared" si="23"/>
        <v>0</v>
      </c>
      <c r="T107" s="375">
        <f t="shared" si="20"/>
        <v>0</v>
      </c>
      <c r="U107" s="315">
        <f t="shared" si="20"/>
        <v>0</v>
      </c>
      <c r="V107" s="315">
        <f t="shared" si="20"/>
        <v>0</v>
      </c>
      <c r="W107" s="376">
        <f t="shared" si="20"/>
        <v>0</v>
      </c>
      <c r="X107" s="377">
        <f t="shared" si="27"/>
        <v>0</v>
      </c>
    </row>
    <row r="108" spans="1:24" ht="15" customHeight="1">
      <c r="A108" s="370">
        <f t="shared" si="28"/>
        <v>71</v>
      </c>
      <c r="B108" s="306"/>
      <c r="C108" s="371"/>
      <c r="D108" s="307"/>
      <c r="E108" s="371"/>
      <c r="F108" s="308"/>
      <c r="G108" s="372">
        <f>IFERROR(INDEX(【様式３】シフト表!$AK$7:$AK$106,MATCH($N108,【様式３】シフト表!$B$7:$B$106,0),1),0)</f>
        <v>0</v>
      </c>
      <c r="H108" s="125"/>
      <c r="I108" s="309"/>
      <c r="J108" s="373" t="str">
        <f t="shared" si="24"/>
        <v>-</v>
      </c>
      <c r="K108" s="150"/>
      <c r="L108" s="310" t="b">
        <f t="shared" si="25"/>
        <v>0</v>
      </c>
      <c r="M108" s="374" t="b">
        <f>AND($M$35,C108=$M$36,L108,COUNTIF($M$37:$M107,TRUE)=0)</f>
        <v>0</v>
      </c>
      <c r="N108" s="312">
        <f>IF($E108&lt;&gt;$N$35,0,COUNTIF($E$38:E108,$N$35))</f>
        <v>0</v>
      </c>
      <c r="O108" s="312" t="e">
        <f t="shared" si="21"/>
        <v>#VALUE!</v>
      </c>
      <c r="P108" s="313" t="b">
        <f t="shared" si="26"/>
        <v>1</v>
      </c>
      <c r="Q108" s="200"/>
      <c r="R108" s="375">
        <f t="shared" si="22"/>
        <v>0</v>
      </c>
      <c r="S108" s="315">
        <f t="shared" si="23"/>
        <v>0</v>
      </c>
      <c r="T108" s="375">
        <f t="shared" si="20"/>
        <v>0</v>
      </c>
      <c r="U108" s="315">
        <f t="shared" si="20"/>
        <v>0</v>
      </c>
      <c r="V108" s="315">
        <f t="shared" si="20"/>
        <v>0</v>
      </c>
      <c r="W108" s="376">
        <f t="shared" si="20"/>
        <v>0</v>
      </c>
      <c r="X108" s="377">
        <f t="shared" si="27"/>
        <v>0</v>
      </c>
    </row>
    <row r="109" spans="1:24" ht="15" customHeight="1">
      <c r="A109" s="370">
        <f t="shared" si="28"/>
        <v>72</v>
      </c>
      <c r="B109" s="306"/>
      <c r="C109" s="371"/>
      <c r="D109" s="307"/>
      <c r="E109" s="371"/>
      <c r="F109" s="308"/>
      <c r="G109" s="372">
        <f>IFERROR(INDEX(【様式３】シフト表!$AK$7:$AK$106,MATCH($N109,【様式３】シフト表!$B$7:$B$106,0),1),0)</f>
        <v>0</v>
      </c>
      <c r="H109" s="125"/>
      <c r="I109" s="309"/>
      <c r="J109" s="373" t="str">
        <f t="shared" si="24"/>
        <v>-</v>
      </c>
      <c r="K109" s="150"/>
      <c r="L109" s="310" t="b">
        <f t="shared" si="25"/>
        <v>0</v>
      </c>
      <c r="M109" s="374" t="b">
        <f>AND($M$35,C109=$M$36,L109,COUNTIF($M$37:$M108,TRUE)=0)</f>
        <v>0</v>
      </c>
      <c r="N109" s="312">
        <f>IF($E109&lt;&gt;$N$35,0,COUNTIF($E$38:E109,$N$35))</f>
        <v>0</v>
      </c>
      <c r="O109" s="312" t="e">
        <f t="shared" si="21"/>
        <v>#VALUE!</v>
      </c>
      <c r="P109" s="313" t="b">
        <f t="shared" si="26"/>
        <v>1</v>
      </c>
      <c r="Q109" s="200"/>
      <c r="R109" s="375">
        <f t="shared" si="22"/>
        <v>0</v>
      </c>
      <c r="S109" s="315">
        <f t="shared" si="23"/>
        <v>0</v>
      </c>
      <c r="T109" s="375">
        <f t="shared" si="20"/>
        <v>0</v>
      </c>
      <c r="U109" s="315">
        <f t="shared" si="20"/>
        <v>0</v>
      </c>
      <c r="V109" s="315">
        <f t="shared" si="20"/>
        <v>0</v>
      </c>
      <c r="W109" s="376">
        <f t="shared" si="20"/>
        <v>0</v>
      </c>
      <c r="X109" s="377">
        <f t="shared" si="27"/>
        <v>0</v>
      </c>
    </row>
    <row r="110" spans="1:24" ht="15" customHeight="1">
      <c r="A110" s="370">
        <f t="shared" si="28"/>
        <v>73</v>
      </c>
      <c r="B110" s="306"/>
      <c r="C110" s="371"/>
      <c r="D110" s="307"/>
      <c r="E110" s="371"/>
      <c r="F110" s="308"/>
      <c r="G110" s="372">
        <f>IFERROR(INDEX(【様式３】シフト表!$AK$7:$AK$106,MATCH($N110,【様式３】シフト表!$B$7:$B$106,0),1),0)</f>
        <v>0</v>
      </c>
      <c r="H110" s="125"/>
      <c r="I110" s="309"/>
      <c r="J110" s="373" t="str">
        <f t="shared" si="24"/>
        <v>-</v>
      </c>
      <c r="K110" s="150"/>
      <c r="L110" s="310" t="b">
        <f t="shared" si="25"/>
        <v>0</v>
      </c>
      <c r="M110" s="374" t="b">
        <f>AND($M$35,C110=$M$36,L110,COUNTIF($M$37:$M109,TRUE)=0)</f>
        <v>0</v>
      </c>
      <c r="N110" s="312">
        <f>IF($E110&lt;&gt;$N$35,0,COUNTIF($E$38:E110,$N$35))</f>
        <v>0</v>
      </c>
      <c r="O110" s="312" t="e">
        <f t="shared" si="21"/>
        <v>#VALUE!</v>
      </c>
      <c r="P110" s="313" t="b">
        <f t="shared" si="26"/>
        <v>1</v>
      </c>
      <c r="Q110" s="200"/>
      <c r="R110" s="375">
        <f t="shared" si="22"/>
        <v>0</v>
      </c>
      <c r="S110" s="315">
        <f t="shared" si="23"/>
        <v>0</v>
      </c>
      <c r="T110" s="375">
        <f t="shared" si="20"/>
        <v>0</v>
      </c>
      <c r="U110" s="315">
        <f t="shared" si="20"/>
        <v>0</v>
      </c>
      <c r="V110" s="315">
        <f t="shared" si="20"/>
        <v>0</v>
      </c>
      <c r="W110" s="376">
        <f t="shared" si="20"/>
        <v>0</v>
      </c>
      <c r="X110" s="377">
        <f t="shared" si="27"/>
        <v>0</v>
      </c>
    </row>
    <row r="111" spans="1:24" ht="15" customHeight="1">
      <c r="A111" s="370">
        <f t="shared" si="28"/>
        <v>74</v>
      </c>
      <c r="B111" s="306"/>
      <c r="C111" s="371"/>
      <c r="D111" s="307"/>
      <c r="E111" s="371"/>
      <c r="F111" s="308"/>
      <c r="G111" s="372">
        <f>IFERROR(INDEX(【様式３】シフト表!$AK$7:$AK$106,MATCH($N111,【様式３】シフト表!$B$7:$B$106,0),1),0)</f>
        <v>0</v>
      </c>
      <c r="H111" s="125"/>
      <c r="I111" s="309"/>
      <c r="J111" s="373" t="str">
        <f t="shared" si="24"/>
        <v>-</v>
      </c>
      <c r="K111" s="150"/>
      <c r="L111" s="310" t="b">
        <f t="shared" si="25"/>
        <v>0</v>
      </c>
      <c r="M111" s="374" t="b">
        <f>AND($M$35,C111=$M$36,L111,COUNTIF($M$37:$M110,TRUE)=0)</f>
        <v>0</v>
      </c>
      <c r="N111" s="312">
        <f>IF($E111&lt;&gt;$N$35,0,COUNTIF($E$38:E111,$N$35))</f>
        <v>0</v>
      </c>
      <c r="O111" s="312" t="e">
        <f t="shared" si="21"/>
        <v>#VALUE!</v>
      </c>
      <c r="P111" s="313" t="b">
        <f t="shared" si="26"/>
        <v>1</v>
      </c>
      <c r="Q111" s="200"/>
      <c r="R111" s="375">
        <f t="shared" si="22"/>
        <v>0</v>
      </c>
      <c r="S111" s="315">
        <f t="shared" si="23"/>
        <v>0</v>
      </c>
      <c r="T111" s="375">
        <f t="shared" si="20"/>
        <v>0</v>
      </c>
      <c r="U111" s="315">
        <f t="shared" si="20"/>
        <v>0</v>
      </c>
      <c r="V111" s="315">
        <f t="shared" si="20"/>
        <v>0</v>
      </c>
      <c r="W111" s="376">
        <f t="shared" si="20"/>
        <v>0</v>
      </c>
      <c r="X111" s="377">
        <f t="shared" si="27"/>
        <v>0</v>
      </c>
    </row>
    <row r="112" spans="1:24" ht="15" customHeight="1">
      <c r="A112" s="370">
        <f t="shared" si="28"/>
        <v>75</v>
      </c>
      <c r="B112" s="306"/>
      <c r="C112" s="371"/>
      <c r="D112" s="307"/>
      <c r="E112" s="371"/>
      <c r="F112" s="308"/>
      <c r="G112" s="372">
        <f>IFERROR(INDEX(【様式３】シフト表!$AK$7:$AK$106,MATCH($N112,【様式３】シフト表!$B$7:$B$106,0),1),0)</f>
        <v>0</v>
      </c>
      <c r="H112" s="125"/>
      <c r="I112" s="309"/>
      <c r="J112" s="373" t="str">
        <f t="shared" si="24"/>
        <v>-</v>
      </c>
      <c r="K112" s="150"/>
      <c r="L112" s="310" t="b">
        <f t="shared" si="25"/>
        <v>0</v>
      </c>
      <c r="M112" s="374" t="b">
        <f>AND($M$35,C112=$M$36,L112,COUNTIF($M$37:$M111,TRUE)=0)</f>
        <v>0</v>
      </c>
      <c r="N112" s="312">
        <f>IF($E112&lt;&gt;$N$35,0,COUNTIF($E$38:E112,$N$35))</f>
        <v>0</v>
      </c>
      <c r="O112" s="312" t="e">
        <f t="shared" si="21"/>
        <v>#VALUE!</v>
      </c>
      <c r="P112" s="313" t="b">
        <f t="shared" si="26"/>
        <v>1</v>
      </c>
      <c r="Q112" s="200"/>
      <c r="R112" s="375">
        <f t="shared" si="22"/>
        <v>0</v>
      </c>
      <c r="S112" s="315">
        <f t="shared" si="23"/>
        <v>0</v>
      </c>
      <c r="T112" s="375">
        <f t="shared" si="20"/>
        <v>0</v>
      </c>
      <c r="U112" s="315">
        <f t="shared" si="20"/>
        <v>0</v>
      </c>
      <c r="V112" s="315">
        <f t="shared" si="20"/>
        <v>0</v>
      </c>
      <c r="W112" s="376">
        <f t="shared" si="20"/>
        <v>0</v>
      </c>
      <c r="X112" s="377">
        <f t="shared" si="27"/>
        <v>0</v>
      </c>
    </row>
    <row r="113" spans="1:24" ht="15" customHeight="1">
      <c r="A113" s="370">
        <f t="shared" si="28"/>
        <v>76</v>
      </c>
      <c r="B113" s="306"/>
      <c r="C113" s="371"/>
      <c r="D113" s="307"/>
      <c r="E113" s="371"/>
      <c r="F113" s="308"/>
      <c r="G113" s="372">
        <f>IFERROR(INDEX(【様式３】シフト表!$AK$7:$AK$106,MATCH($N113,【様式３】シフト表!$B$7:$B$106,0),1),0)</f>
        <v>0</v>
      </c>
      <c r="H113" s="125"/>
      <c r="I113" s="309"/>
      <c r="J113" s="373" t="str">
        <f t="shared" si="24"/>
        <v>-</v>
      </c>
      <c r="K113" s="150"/>
      <c r="L113" s="310" t="b">
        <f t="shared" si="25"/>
        <v>0</v>
      </c>
      <c r="M113" s="374" t="b">
        <f>AND($M$35,C113=$M$36,L113,COUNTIF($M$37:$M112,TRUE)=0)</f>
        <v>0</v>
      </c>
      <c r="N113" s="312">
        <f>IF($E113&lt;&gt;$N$35,0,COUNTIF($E$38:E113,$N$35))</f>
        <v>0</v>
      </c>
      <c r="O113" s="312" t="e">
        <f t="shared" si="21"/>
        <v>#VALUE!</v>
      </c>
      <c r="P113" s="313" t="b">
        <f t="shared" si="26"/>
        <v>1</v>
      </c>
      <c r="Q113" s="200"/>
      <c r="R113" s="375">
        <f t="shared" si="22"/>
        <v>0</v>
      </c>
      <c r="S113" s="315">
        <f t="shared" si="23"/>
        <v>0</v>
      </c>
      <c r="T113" s="375">
        <f t="shared" si="20"/>
        <v>0</v>
      </c>
      <c r="U113" s="315">
        <f t="shared" si="20"/>
        <v>0</v>
      </c>
      <c r="V113" s="315">
        <f t="shared" si="20"/>
        <v>0</v>
      </c>
      <c r="W113" s="376">
        <f t="shared" si="20"/>
        <v>0</v>
      </c>
      <c r="X113" s="377">
        <f t="shared" si="27"/>
        <v>0</v>
      </c>
    </row>
    <row r="114" spans="1:24" ht="15" customHeight="1">
      <c r="A114" s="370">
        <f t="shared" si="28"/>
        <v>77</v>
      </c>
      <c r="B114" s="306"/>
      <c r="C114" s="371"/>
      <c r="D114" s="307"/>
      <c r="E114" s="371"/>
      <c r="F114" s="308"/>
      <c r="G114" s="372">
        <f>IFERROR(INDEX(【様式３】シフト表!$AK$7:$AK$106,MATCH($N114,【様式３】シフト表!$B$7:$B$106,0),1),0)</f>
        <v>0</v>
      </c>
      <c r="H114" s="125"/>
      <c r="I114" s="309"/>
      <c r="J114" s="373" t="str">
        <f t="shared" si="24"/>
        <v>-</v>
      </c>
      <c r="K114" s="150"/>
      <c r="L114" s="310" t="b">
        <f t="shared" si="25"/>
        <v>0</v>
      </c>
      <c r="M114" s="374" t="b">
        <f>AND($M$35,C114=$M$36,L114,COUNTIF($M$37:$M113,TRUE)=0)</f>
        <v>0</v>
      </c>
      <c r="N114" s="312">
        <f>IF($E114&lt;&gt;$N$35,0,COUNTIF($E$38:E114,$N$35))</f>
        <v>0</v>
      </c>
      <c r="O114" s="312" t="e">
        <f t="shared" si="21"/>
        <v>#VALUE!</v>
      </c>
      <c r="P114" s="313" t="b">
        <f t="shared" si="26"/>
        <v>1</v>
      </c>
      <c r="Q114" s="200"/>
      <c r="R114" s="375">
        <f t="shared" si="22"/>
        <v>0</v>
      </c>
      <c r="S114" s="315">
        <f t="shared" si="23"/>
        <v>0</v>
      </c>
      <c r="T114" s="375">
        <f t="shared" si="20"/>
        <v>0</v>
      </c>
      <c r="U114" s="315">
        <f t="shared" si="20"/>
        <v>0</v>
      </c>
      <c r="V114" s="315">
        <f t="shared" si="20"/>
        <v>0</v>
      </c>
      <c r="W114" s="376">
        <f t="shared" si="20"/>
        <v>0</v>
      </c>
      <c r="X114" s="377">
        <f t="shared" si="27"/>
        <v>0</v>
      </c>
    </row>
    <row r="115" spans="1:24" ht="15" customHeight="1">
      <c r="A115" s="370">
        <f t="shared" si="28"/>
        <v>78</v>
      </c>
      <c r="B115" s="306"/>
      <c r="C115" s="371"/>
      <c r="D115" s="307"/>
      <c r="E115" s="371"/>
      <c r="F115" s="308"/>
      <c r="G115" s="372">
        <f>IFERROR(INDEX(【様式３】シフト表!$AK$7:$AK$106,MATCH($N115,【様式３】シフト表!$B$7:$B$106,0),1),0)</f>
        <v>0</v>
      </c>
      <c r="H115" s="125"/>
      <c r="I115" s="309"/>
      <c r="J115" s="373" t="str">
        <f t="shared" si="24"/>
        <v>-</v>
      </c>
      <c r="K115" s="150"/>
      <c r="L115" s="310" t="b">
        <f t="shared" si="25"/>
        <v>0</v>
      </c>
      <c r="M115" s="374" t="b">
        <f>AND($M$35,C115=$M$36,L115,COUNTIF($M$37:$M114,TRUE)=0)</f>
        <v>0</v>
      </c>
      <c r="N115" s="312">
        <f>IF($E115&lt;&gt;$N$35,0,COUNTIF($E$38:E115,$N$35))</f>
        <v>0</v>
      </c>
      <c r="O115" s="312" t="e">
        <f t="shared" si="21"/>
        <v>#VALUE!</v>
      </c>
      <c r="P115" s="313" t="b">
        <f t="shared" si="26"/>
        <v>1</v>
      </c>
      <c r="Q115" s="200"/>
      <c r="R115" s="375">
        <f t="shared" si="22"/>
        <v>0</v>
      </c>
      <c r="S115" s="315">
        <f t="shared" si="23"/>
        <v>0</v>
      </c>
      <c r="T115" s="375">
        <f t="shared" si="20"/>
        <v>0</v>
      </c>
      <c r="U115" s="315">
        <f t="shared" si="20"/>
        <v>0</v>
      </c>
      <c r="V115" s="315">
        <f t="shared" si="20"/>
        <v>0</v>
      </c>
      <c r="W115" s="376">
        <f t="shared" si="20"/>
        <v>0</v>
      </c>
      <c r="X115" s="377">
        <f t="shared" si="27"/>
        <v>0</v>
      </c>
    </row>
    <row r="116" spans="1:24" ht="15" customHeight="1">
      <c r="A116" s="370">
        <f t="shared" si="28"/>
        <v>79</v>
      </c>
      <c r="B116" s="306"/>
      <c r="C116" s="371"/>
      <c r="D116" s="307"/>
      <c r="E116" s="371"/>
      <c r="F116" s="308"/>
      <c r="G116" s="372">
        <f>IFERROR(INDEX(【様式３】シフト表!$AK$7:$AK$106,MATCH($N116,【様式３】シフト表!$B$7:$B$106,0),1),0)</f>
        <v>0</v>
      </c>
      <c r="H116" s="125"/>
      <c r="I116" s="309"/>
      <c r="J116" s="373" t="str">
        <f t="shared" si="24"/>
        <v>-</v>
      </c>
      <c r="K116" s="150"/>
      <c r="L116" s="310" t="b">
        <f t="shared" si="25"/>
        <v>0</v>
      </c>
      <c r="M116" s="374" t="b">
        <f>AND($M$35,C116=$M$36,L116,COUNTIF($M$37:$M115,TRUE)=0)</f>
        <v>0</v>
      </c>
      <c r="N116" s="312">
        <f>IF($E116&lt;&gt;$N$35,0,COUNTIF($E$38:E116,$N$35))</f>
        <v>0</v>
      </c>
      <c r="O116" s="312" t="e">
        <f t="shared" si="21"/>
        <v>#VALUE!</v>
      </c>
      <c r="P116" s="313" t="b">
        <f t="shared" si="26"/>
        <v>1</v>
      </c>
      <c r="Q116" s="200"/>
      <c r="R116" s="375">
        <f t="shared" si="22"/>
        <v>0</v>
      </c>
      <c r="S116" s="315">
        <f t="shared" si="23"/>
        <v>0</v>
      </c>
      <c r="T116" s="375">
        <f t="shared" si="20"/>
        <v>0</v>
      </c>
      <c r="U116" s="315">
        <f t="shared" si="20"/>
        <v>0</v>
      </c>
      <c r="V116" s="315">
        <f t="shared" si="20"/>
        <v>0</v>
      </c>
      <c r="W116" s="376">
        <f t="shared" si="20"/>
        <v>0</v>
      </c>
      <c r="X116" s="377">
        <f t="shared" si="27"/>
        <v>0</v>
      </c>
    </row>
    <row r="117" spans="1:24" ht="15" customHeight="1">
      <c r="A117" s="370">
        <f t="shared" si="28"/>
        <v>80</v>
      </c>
      <c r="B117" s="306"/>
      <c r="C117" s="371"/>
      <c r="D117" s="307"/>
      <c r="E117" s="371"/>
      <c r="F117" s="308"/>
      <c r="G117" s="372">
        <f>IFERROR(INDEX(【様式３】シフト表!$AK$7:$AK$106,MATCH($N117,【様式３】シフト表!$B$7:$B$106,0),1),0)</f>
        <v>0</v>
      </c>
      <c r="H117" s="125"/>
      <c r="I117" s="309"/>
      <c r="J117" s="373" t="str">
        <f t="shared" si="24"/>
        <v>-</v>
      </c>
      <c r="K117" s="150"/>
      <c r="L117" s="310" t="b">
        <f t="shared" si="25"/>
        <v>0</v>
      </c>
      <c r="M117" s="374" t="b">
        <f>AND($M$35,C117=$M$36,L117,COUNTIF($M$37:$M116,TRUE)=0)</f>
        <v>0</v>
      </c>
      <c r="N117" s="312">
        <f>IF($E117&lt;&gt;$N$35,0,COUNTIF($E$38:E117,$N$35))</f>
        <v>0</v>
      </c>
      <c r="O117" s="312" t="e">
        <f t="shared" si="21"/>
        <v>#VALUE!</v>
      </c>
      <c r="P117" s="313" t="b">
        <f t="shared" si="26"/>
        <v>1</v>
      </c>
      <c r="Q117" s="200"/>
      <c r="R117" s="375">
        <f t="shared" si="22"/>
        <v>0</v>
      </c>
      <c r="S117" s="315">
        <f t="shared" si="23"/>
        <v>0</v>
      </c>
      <c r="T117" s="375">
        <f t="shared" si="20"/>
        <v>0</v>
      </c>
      <c r="U117" s="315">
        <f t="shared" si="20"/>
        <v>0</v>
      </c>
      <c r="V117" s="315">
        <f t="shared" si="20"/>
        <v>0</v>
      </c>
      <c r="W117" s="376">
        <f t="shared" si="20"/>
        <v>0</v>
      </c>
      <c r="X117" s="377">
        <f t="shared" si="27"/>
        <v>0</v>
      </c>
    </row>
    <row r="118" spans="1:24" ht="15" customHeight="1">
      <c r="A118" s="370">
        <f t="shared" si="28"/>
        <v>81</v>
      </c>
      <c r="B118" s="306"/>
      <c r="C118" s="371"/>
      <c r="D118" s="307"/>
      <c r="E118" s="371"/>
      <c r="F118" s="308"/>
      <c r="G118" s="372">
        <f>IFERROR(INDEX(【様式３】シフト表!$AK$7:$AK$106,MATCH($N118,【様式３】シフト表!$B$7:$B$106,0),1),0)</f>
        <v>0</v>
      </c>
      <c r="H118" s="125"/>
      <c r="I118" s="309"/>
      <c r="J118" s="373" t="str">
        <f t="shared" si="24"/>
        <v>-</v>
      </c>
      <c r="K118" s="150"/>
      <c r="L118" s="310" t="b">
        <f t="shared" si="25"/>
        <v>0</v>
      </c>
      <c r="M118" s="374" t="b">
        <f>AND($M$35,C118=$M$36,L118,COUNTIF($M$37:$M117,TRUE)=0)</f>
        <v>0</v>
      </c>
      <c r="N118" s="312">
        <f>IF($E118&lt;&gt;$N$35,0,COUNTIF($E$38:E118,$N$35))</f>
        <v>0</v>
      </c>
      <c r="O118" s="312" t="e">
        <f t="shared" si="21"/>
        <v>#VALUE!</v>
      </c>
      <c r="P118" s="313" t="b">
        <f t="shared" si="26"/>
        <v>1</v>
      </c>
      <c r="Q118" s="200"/>
      <c r="R118" s="375">
        <f t="shared" si="22"/>
        <v>0</v>
      </c>
      <c r="S118" s="315">
        <f t="shared" si="23"/>
        <v>0</v>
      </c>
      <c r="T118" s="375">
        <f t="shared" ref="T118:W137" si="29">IF(AND($E118=T$34,$F118=T$35),$J118,0)</f>
        <v>0</v>
      </c>
      <c r="U118" s="315">
        <f t="shared" si="29"/>
        <v>0</v>
      </c>
      <c r="V118" s="315">
        <f t="shared" si="29"/>
        <v>0</v>
      </c>
      <c r="W118" s="376">
        <f t="shared" si="29"/>
        <v>0</v>
      </c>
      <c r="X118" s="377">
        <f t="shared" si="27"/>
        <v>0</v>
      </c>
    </row>
    <row r="119" spans="1:24" ht="15" customHeight="1">
      <c r="A119" s="370">
        <f t="shared" si="28"/>
        <v>82</v>
      </c>
      <c r="B119" s="306"/>
      <c r="C119" s="371"/>
      <c r="D119" s="307"/>
      <c r="E119" s="371"/>
      <c r="F119" s="308"/>
      <c r="G119" s="372">
        <f>IFERROR(INDEX(【様式３】シフト表!$AK$7:$AK$106,MATCH($N119,【様式３】シフト表!$B$7:$B$106,0),1),0)</f>
        <v>0</v>
      </c>
      <c r="H119" s="125"/>
      <c r="I119" s="309"/>
      <c r="J119" s="373" t="str">
        <f t="shared" si="24"/>
        <v>-</v>
      </c>
      <c r="K119" s="150"/>
      <c r="L119" s="310" t="b">
        <f t="shared" si="25"/>
        <v>0</v>
      </c>
      <c r="M119" s="374" t="b">
        <f>AND($M$35,C119=$M$36,L119,COUNTIF($M$37:$M118,TRUE)=0)</f>
        <v>0</v>
      </c>
      <c r="N119" s="312">
        <f>IF($E119&lt;&gt;$N$35,0,COUNTIF($E$38:E119,$N$35))</f>
        <v>0</v>
      </c>
      <c r="O119" s="312" t="e">
        <f t="shared" si="21"/>
        <v>#VALUE!</v>
      </c>
      <c r="P119" s="313" t="b">
        <f t="shared" si="26"/>
        <v>1</v>
      </c>
      <c r="Q119" s="200"/>
      <c r="R119" s="375">
        <f t="shared" si="22"/>
        <v>0</v>
      </c>
      <c r="S119" s="315">
        <f t="shared" si="23"/>
        <v>0</v>
      </c>
      <c r="T119" s="375">
        <f t="shared" si="29"/>
        <v>0</v>
      </c>
      <c r="U119" s="315">
        <f t="shared" si="29"/>
        <v>0</v>
      </c>
      <c r="V119" s="315">
        <f t="shared" si="29"/>
        <v>0</v>
      </c>
      <c r="W119" s="376">
        <f t="shared" si="29"/>
        <v>0</v>
      </c>
      <c r="X119" s="377">
        <f t="shared" si="27"/>
        <v>0</v>
      </c>
    </row>
    <row r="120" spans="1:24" ht="15" customHeight="1">
      <c r="A120" s="370">
        <f t="shared" si="28"/>
        <v>83</v>
      </c>
      <c r="B120" s="306"/>
      <c r="C120" s="371"/>
      <c r="D120" s="307"/>
      <c r="E120" s="371"/>
      <c r="F120" s="308"/>
      <c r="G120" s="372">
        <f>IFERROR(INDEX(【様式３】シフト表!$AK$7:$AK$106,MATCH($N120,【様式３】シフト表!$B$7:$B$106,0),1),0)</f>
        <v>0</v>
      </c>
      <c r="H120" s="125"/>
      <c r="I120" s="309"/>
      <c r="J120" s="373" t="str">
        <f t="shared" si="24"/>
        <v>-</v>
      </c>
      <c r="K120" s="150"/>
      <c r="L120" s="310" t="b">
        <f t="shared" si="25"/>
        <v>0</v>
      </c>
      <c r="M120" s="374" t="b">
        <f>AND($M$35,C120=$M$36,L120,COUNTIF($M$37:$M119,TRUE)=0)</f>
        <v>0</v>
      </c>
      <c r="N120" s="312">
        <f>IF($E120&lt;&gt;$N$35,0,COUNTIF($E$38:E120,$N$35))</f>
        <v>0</v>
      </c>
      <c r="O120" s="312" t="e">
        <f t="shared" si="21"/>
        <v>#VALUE!</v>
      </c>
      <c r="P120" s="313" t="b">
        <f t="shared" si="26"/>
        <v>1</v>
      </c>
      <c r="Q120" s="200"/>
      <c r="R120" s="375">
        <f t="shared" si="22"/>
        <v>0</v>
      </c>
      <c r="S120" s="315">
        <f t="shared" si="23"/>
        <v>0</v>
      </c>
      <c r="T120" s="375">
        <f t="shared" si="29"/>
        <v>0</v>
      </c>
      <c r="U120" s="315">
        <f t="shared" si="29"/>
        <v>0</v>
      </c>
      <c r="V120" s="315">
        <f t="shared" si="29"/>
        <v>0</v>
      </c>
      <c r="W120" s="376">
        <f t="shared" si="29"/>
        <v>0</v>
      </c>
      <c r="X120" s="377">
        <f t="shared" si="27"/>
        <v>0</v>
      </c>
    </row>
    <row r="121" spans="1:24" ht="15" customHeight="1">
      <c r="A121" s="370">
        <f t="shared" si="28"/>
        <v>84</v>
      </c>
      <c r="B121" s="306"/>
      <c r="C121" s="371"/>
      <c r="D121" s="307"/>
      <c r="E121" s="371"/>
      <c r="F121" s="308"/>
      <c r="G121" s="372">
        <f>IFERROR(INDEX(【様式３】シフト表!$AK$7:$AK$106,MATCH($N121,【様式３】シフト表!$B$7:$B$106,0),1),0)</f>
        <v>0</v>
      </c>
      <c r="H121" s="125"/>
      <c r="I121" s="309"/>
      <c r="J121" s="373" t="str">
        <f t="shared" si="24"/>
        <v>-</v>
      </c>
      <c r="K121" s="150"/>
      <c r="L121" s="310" t="b">
        <f t="shared" si="25"/>
        <v>0</v>
      </c>
      <c r="M121" s="374" t="b">
        <f>AND($M$35,C121=$M$36,L121,COUNTIF($M$37:$M120,TRUE)=0)</f>
        <v>0</v>
      </c>
      <c r="N121" s="312">
        <f>IF($E121&lt;&gt;$N$35,0,COUNTIF($E$38:E121,$N$35))</f>
        <v>0</v>
      </c>
      <c r="O121" s="312" t="e">
        <f t="shared" si="21"/>
        <v>#VALUE!</v>
      </c>
      <c r="P121" s="313" t="b">
        <f t="shared" si="26"/>
        <v>1</v>
      </c>
      <c r="Q121" s="200"/>
      <c r="R121" s="375">
        <f t="shared" si="22"/>
        <v>0</v>
      </c>
      <c r="S121" s="315">
        <f t="shared" si="23"/>
        <v>0</v>
      </c>
      <c r="T121" s="375">
        <f t="shared" si="29"/>
        <v>0</v>
      </c>
      <c r="U121" s="315">
        <f t="shared" si="29"/>
        <v>0</v>
      </c>
      <c r="V121" s="315">
        <f t="shared" si="29"/>
        <v>0</v>
      </c>
      <c r="W121" s="376">
        <f t="shared" si="29"/>
        <v>0</v>
      </c>
      <c r="X121" s="377">
        <f t="shared" si="27"/>
        <v>0</v>
      </c>
    </row>
    <row r="122" spans="1:24" ht="15" customHeight="1">
      <c r="A122" s="370">
        <f t="shared" si="28"/>
        <v>85</v>
      </c>
      <c r="B122" s="306"/>
      <c r="C122" s="371"/>
      <c r="D122" s="307"/>
      <c r="E122" s="371"/>
      <c r="F122" s="308"/>
      <c r="G122" s="372">
        <f>IFERROR(INDEX(【様式３】シフト表!$AK$7:$AK$106,MATCH($N122,【様式３】シフト表!$B$7:$B$106,0),1),0)</f>
        <v>0</v>
      </c>
      <c r="H122" s="125"/>
      <c r="I122" s="309"/>
      <c r="J122" s="373" t="str">
        <f t="shared" si="24"/>
        <v>-</v>
      </c>
      <c r="K122" s="150"/>
      <c r="L122" s="310" t="b">
        <f t="shared" si="25"/>
        <v>0</v>
      </c>
      <c r="M122" s="374" t="b">
        <f>AND($M$35,C122=$M$36,L122,COUNTIF($M$37:$M121,TRUE)=0)</f>
        <v>0</v>
      </c>
      <c r="N122" s="312">
        <f>IF($E122&lt;&gt;$N$35,0,COUNTIF($E$38:E122,$N$35))</f>
        <v>0</v>
      </c>
      <c r="O122" s="312" t="e">
        <f t="shared" si="21"/>
        <v>#VALUE!</v>
      </c>
      <c r="P122" s="313" t="b">
        <f t="shared" si="26"/>
        <v>1</v>
      </c>
      <c r="Q122" s="200"/>
      <c r="R122" s="375">
        <f t="shared" si="22"/>
        <v>0</v>
      </c>
      <c r="S122" s="315">
        <f t="shared" si="23"/>
        <v>0</v>
      </c>
      <c r="T122" s="375">
        <f t="shared" si="29"/>
        <v>0</v>
      </c>
      <c r="U122" s="315">
        <f t="shared" si="29"/>
        <v>0</v>
      </c>
      <c r="V122" s="315">
        <f t="shared" si="29"/>
        <v>0</v>
      </c>
      <c r="W122" s="376">
        <f t="shared" si="29"/>
        <v>0</v>
      </c>
      <c r="X122" s="377">
        <f t="shared" si="27"/>
        <v>0</v>
      </c>
    </row>
    <row r="123" spans="1:24" ht="15" customHeight="1">
      <c r="A123" s="370">
        <f t="shared" si="28"/>
        <v>86</v>
      </c>
      <c r="B123" s="306"/>
      <c r="C123" s="371"/>
      <c r="D123" s="307"/>
      <c r="E123" s="371"/>
      <c r="F123" s="308"/>
      <c r="G123" s="372">
        <f>IFERROR(INDEX(【様式３】シフト表!$AK$7:$AK$106,MATCH($N123,【様式３】シフト表!$B$7:$B$106,0),1),0)</f>
        <v>0</v>
      </c>
      <c r="H123" s="125"/>
      <c r="I123" s="309"/>
      <c r="J123" s="373" t="str">
        <f t="shared" si="24"/>
        <v>-</v>
      </c>
      <c r="K123" s="150"/>
      <c r="L123" s="310" t="b">
        <f t="shared" si="25"/>
        <v>0</v>
      </c>
      <c r="M123" s="374" t="b">
        <f>AND($M$35,C123=$M$36,L123,COUNTIF($M$37:$M122,TRUE)=0)</f>
        <v>0</v>
      </c>
      <c r="N123" s="312">
        <f>IF($E123&lt;&gt;$N$35,0,COUNTIF($E$38:E123,$N$35))</f>
        <v>0</v>
      </c>
      <c r="O123" s="312" t="e">
        <f t="shared" si="21"/>
        <v>#VALUE!</v>
      </c>
      <c r="P123" s="313" t="b">
        <f t="shared" si="26"/>
        <v>1</v>
      </c>
      <c r="Q123" s="200"/>
      <c r="R123" s="375">
        <f t="shared" si="22"/>
        <v>0</v>
      </c>
      <c r="S123" s="315">
        <f t="shared" si="23"/>
        <v>0</v>
      </c>
      <c r="T123" s="375">
        <f t="shared" si="29"/>
        <v>0</v>
      </c>
      <c r="U123" s="315">
        <f t="shared" si="29"/>
        <v>0</v>
      </c>
      <c r="V123" s="315">
        <f t="shared" si="29"/>
        <v>0</v>
      </c>
      <c r="W123" s="376">
        <f t="shared" si="29"/>
        <v>0</v>
      </c>
      <c r="X123" s="377">
        <f t="shared" si="27"/>
        <v>0</v>
      </c>
    </row>
    <row r="124" spans="1:24" ht="15" customHeight="1">
      <c r="A124" s="370">
        <f t="shared" si="28"/>
        <v>87</v>
      </c>
      <c r="B124" s="306"/>
      <c r="C124" s="371"/>
      <c r="D124" s="307"/>
      <c r="E124" s="371"/>
      <c r="F124" s="308"/>
      <c r="G124" s="372">
        <f>IFERROR(INDEX(【様式３】シフト表!$AK$7:$AK$106,MATCH($N124,【様式３】シフト表!$B$7:$B$106,0),1),0)</f>
        <v>0</v>
      </c>
      <c r="H124" s="125"/>
      <c r="I124" s="309"/>
      <c r="J124" s="373" t="str">
        <f t="shared" si="24"/>
        <v>-</v>
      </c>
      <c r="K124" s="150"/>
      <c r="L124" s="310" t="b">
        <f t="shared" si="25"/>
        <v>0</v>
      </c>
      <c r="M124" s="374" t="b">
        <f>AND($M$35,C124=$M$36,L124,COUNTIF($M$37:$M123,TRUE)=0)</f>
        <v>0</v>
      </c>
      <c r="N124" s="312">
        <f>IF($E124&lt;&gt;$N$35,0,COUNTIF($E$38:E124,$N$35))</f>
        <v>0</v>
      </c>
      <c r="O124" s="312" t="e">
        <f t="shared" si="21"/>
        <v>#VALUE!</v>
      </c>
      <c r="P124" s="313" t="b">
        <f t="shared" si="26"/>
        <v>1</v>
      </c>
      <c r="Q124" s="200"/>
      <c r="R124" s="375">
        <f t="shared" si="22"/>
        <v>0</v>
      </c>
      <c r="S124" s="315">
        <f t="shared" si="23"/>
        <v>0</v>
      </c>
      <c r="T124" s="375">
        <f t="shared" si="29"/>
        <v>0</v>
      </c>
      <c r="U124" s="315">
        <f t="shared" si="29"/>
        <v>0</v>
      </c>
      <c r="V124" s="315">
        <f t="shared" si="29"/>
        <v>0</v>
      </c>
      <c r="W124" s="376">
        <f t="shared" si="29"/>
        <v>0</v>
      </c>
      <c r="X124" s="377">
        <f t="shared" si="27"/>
        <v>0</v>
      </c>
    </row>
    <row r="125" spans="1:24" ht="15" customHeight="1">
      <c r="A125" s="370">
        <f t="shared" si="28"/>
        <v>88</v>
      </c>
      <c r="B125" s="306"/>
      <c r="C125" s="371"/>
      <c r="D125" s="307"/>
      <c r="E125" s="371"/>
      <c r="F125" s="308"/>
      <c r="G125" s="372">
        <f>IFERROR(INDEX(【様式３】シフト表!$AK$7:$AK$106,MATCH($N125,【様式３】シフト表!$B$7:$B$106,0),1),0)</f>
        <v>0</v>
      </c>
      <c r="H125" s="125"/>
      <c r="I125" s="309"/>
      <c r="J125" s="373" t="str">
        <f t="shared" si="24"/>
        <v>-</v>
      </c>
      <c r="K125" s="150"/>
      <c r="L125" s="310" t="b">
        <f t="shared" si="25"/>
        <v>0</v>
      </c>
      <c r="M125" s="374" t="b">
        <f>AND($M$35,C125=$M$36,L125,COUNTIF($M$37:$M124,TRUE)=0)</f>
        <v>0</v>
      </c>
      <c r="N125" s="312">
        <f>IF($E125&lt;&gt;$N$35,0,COUNTIF($E$38:E125,$N$35))</f>
        <v>0</v>
      </c>
      <c r="O125" s="312" t="e">
        <f t="shared" si="21"/>
        <v>#VALUE!</v>
      </c>
      <c r="P125" s="313" t="b">
        <f t="shared" si="26"/>
        <v>1</v>
      </c>
      <c r="Q125" s="200"/>
      <c r="R125" s="375">
        <f t="shared" si="22"/>
        <v>0</v>
      </c>
      <c r="S125" s="315">
        <f t="shared" si="23"/>
        <v>0</v>
      </c>
      <c r="T125" s="375">
        <f t="shared" si="29"/>
        <v>0</v>
      </c>
      <c r="U125" s="315">
        <f t="shared" si="29"/>
        <v>0</v>
      </c>
      <c r="V125" s="315">
        <f t="shared" si="29"/>
        <v>0</v>
      </c>
      <c r="W125" s="376">
        <f t="shared" si="29"/>
        <v>0</v>
      </c>
      <c r="X125" s="377">
        <f t="shared" si="27"/>
        <v>0</v>
      </c>
    </row>
    <row r="126" spans="1:24" ht="15" customHeight="1">
      <c r="A126" s="370">
        <f t="shared" si="28"/>
        <v>89</v>
      </c>
      <c r="B126" s="306"/>
      <c r="C126" s="371"/>
      <c r="D126" s="307"/>
      <c r="E126" s="371"/>
      <c r="F126" s="308"/>
      <c r="G126" s="372">
        <f>IFERROR(INDEX(【様式３】シフト表!$AK$7:$AK$106,MATCH($N126,【様式３】シフト表!$B$7:$B$106,0),1),0)</f>
        <v>0</v>
      </c>
      <c r="H126" s="125"/>
      <c r="I126" s="309"/>
      <c r="J126" s="373" t="str">
        <f t="shared" si="24"/>
        <v>-</v>
      </c>
      <c r="K126" s="150"/>
      <c r="L126" s="310" t="b">
        <f t="shared" si="25"/>
        <v>0</v>
      </c>
      <c r="M126" s="374" t="b">
        <f>AND($M$35,C126=$M$36,L126,COUNTIF($M$37:$M125,TRUE)=0)</f>
        <v>0</v>
      </c>
      <c r="N126" s="312">
        <f>IF($E126&lt;&gt;$N$35,0,COUNTIF($E$38:E126,$N$35))</f>
        <v>0</v>
      </c>
      <c r="O126" s="312" t="e">
        <f t="shared" si="21"/>
        <v>#VALUE!</v>
      </c>
      <c r="P126" s="313" t="b">
        <f t="shared" si="26"/>
        <v>1</v>
      </c>
      <c r="Q126" s="200"/>
      <c r="R126" s="375">
        <f t="shared" si="22"/>
        <v>0</v>
      </c>
      <c r="S126" s="315">
        <f t="shared" si="23"/>
        <v>0</v>
      </c>
      <c r="T126" s="375">
        <f t="shared" si="29"/>
        <v>0</v>
      </c>
      <c r="U126" s="315">
        <f t="shared" si="29"/>
        <v>0</v>
      </c>
      <c r="V126" s="315">
        <f t="shared" si="29"/>
        <v>0</v>
      </c>
      <c r="W126" s="376">
        <f t="shared" si="29"/>
        <v>0</v>
      </c>
      <c r="X126" s="377">
        <f t="shared" si="27"/>
        <v>0</v>
      </c>
    </row>
    <row r="127" spans="1:24" ht="15" customHeight="1">
      <c r="A127" s="370">
        <f t="shared" si="28"/>
        <v>90</v>
      </c>
      <c r="B127" s="306"/>
      <c r="C127" s="371"/>
      <c r="D127" s="307"/>
      <c r="E127" s="371"/>
      <c r="F127" s="308"/>
      <c r="G127" s="372">
        <f>IFERROR(INDEX(【様式３】シフト表!$AK$7:$AK$106,MATCH($N127,【様式３】シフト表!$B$7:$B$106,0),1),0)</f>
        <v>0</v>
      </c>
      <c r="H127" s="125"/>
      <c r="I127" s="309"/>
      <c r="J127" s="373" t="str">
        <f t="shared" si="24"/>
        <v>-</v>
      </c>
      <c r="K127" s="150"/>
      <c r="L127" s="310" t="b">
        <f t="shared" si="25"/>
        <v>0</v>
      </c>
      <c r="M127" s="374" t="b">
        <f>AND($M$35,C127=$M$36,L127,COUNTIF($M$37:$M126,TRUE)=0)</f>
        <v>0</v>
      </c>
      <c r="N127" s="312">
        <f>IF($E127&lt;&gt;$N$35,0,COUNTIF($E$38:E127,$N$35))</f>
        <v>0</v>
      </c>
      <c r="O127" s="312" t="e">
        <f t="shared" si="21"/>
        <v>#VALUE!</v>
      </c>
      <c r="P127" s="313" t="b">
        <f t="shared" si="26"/>
        <v>1</v>
      </c>
      <c r="Q127" s="200"/>
      <c r="R127" s="375">
        <f t="shared" si="22"/>
        <v>0</v>
      </c>
      <c r="S127" s="315">
        <f t="shared" si="23"/>
        <v>0</v>
      </c>
      <c r="T127" s="375">
        <f t="shared" si="29"/>
        <v>0</v>
      </c>
      <c r="U127" s="315">
        <f t="shared" si="29"/>
        <v>0</v>
      </c>
      <c r="V127" s="315">
        <f t="shared" si="29"/>
        <v>0</v>
      </c>
      <c r="W127" s="376">
        <f t="shared" si="29"/>
        <v>0</v>
      </c>
      <c r="X127" s="377">
        <f t="shared" si="27"/>
        <v>0</v>
      </c>
    </row>
    <row r="128" spans="1:24" ht="15" customHeight="1">
      <c r="A128" s="370">
        <f t="shared" si="28"/>
        <v>91</v>
      </c>
      <c r="B128" s="306"/>
      <c r="C128" s="371"/>
      <c r="D128" s="307"/>
      <c r="E128" s="371"/>
      <c r="F128" s="308"/>
      <c r="G128" s="372">
        <f>IFERROR(INDEX(【様式３】シフト表!$AK$7:$AK$106,MATCH($N128,【様式３】シフト表!$B$7:$B$106,0),1),0)</f>
        <v>0</v>
      </c>
      <c r="H128" s="125"/>
      <c r="I128" s="309"/>
      <c r="J128" s="373" t="str">
        <f t="shared" si="24"/>
        <v>-</v>
      </c>
      <c r="K128" s="150"/>
      <c r="L128" s="310" t="b">
        <f t="shared" si="25"/>
        <v>0</v>
      </c>
      <c r="M128" s="374" t="b">
        <f>AND($M$35,C128=$M$36,L128,COUNTIF($M$37:$M127,TRUE)=0)</f>
        <v>0</v>
      </c>
      <c r="N128" s="312">
        <f>IF($E128&lt;&gt;$N$35,0,COUNTIF($E$38:E128,$N$35))</f>
        <v>0</v>
      </c>
      <c r="O128" s="312" t="e">
        <f t="shared" si="21"/>
        <v>#VALUE!</v>
      </c>
      <c r="P128" s="313" t="b">
        <f t="shared" si="26"/>
        <v>1</v>
      </c>
      <c r="Q128" s="200"/>
      <c r="R128" s="375">
        <f t="shared" si="22"/>
        <v>0</v>
      </c>
      <c r="S128" s="315">
        <f t="shared" si="23"/>
        <v>0</v>
      </c>
      <c r="T128" s="375">
        <f t="shared" si="29"/>
        <v>0</v>
      </c>
      <c r="U128" s="315">
        <f t="shared" si="29"/>
        <v>0</v>
      </c>
      <c r="V128" s="315">
        <f t="shared" si="29"/>
        <v>0</v>
      </c>
      <c r="W128" s="376">
        <f t="shared" si="29"/>
        <v>0</v>
      </c>
      <c r="X128" s="377">
        <f t="shared" si="27"/>
        <v>0</v>
      </c>
    </row>
    <row r="129" spans="1:24" ht="15" customHeight="1">
      <c r="A129" s="370">
        <f t="shared" si="28"/>
        <v>92</v>
      </c>
      <c r="B129" s="306"/>
      <c r="C129" s="371"/>
      <c r="D129" s="307"/>
      <c r="E129" s="371"/>
      <c r="F129" s="308"/>
      <c r="G129" s="372">
        <f>IFERROR(INDEX(【様式３】シフト表!$AK$7:$AK$106,MATCH($N129,【様式３】シフト表!$B$7:$B$106,0),1),0)</f>
        <v>0</v>
      </c>
      <c r="H129" s="125"/>
      <c r="I129" s="309"/>
      <c r="J129" s="373" t="str">
        <f t="shared" si="24"/>
        <v>-</v>
      </c>
      <c r="K129" s="150"/>
      <c r="L129" s="310" t="b">
        <f t="shared" si="25"/>
        <v>0</v>
      </c>
      <c r="M129" s="374" t="b">
        <f>AND($M$35,C129=$M$36,L129,COUNTIF($M$37:$M128,TRUE)=0)</f>
        <v>0</v>
      </c>
      <c r="N129" s="312">
        <f>IF($E129&lt;&gt;$N$35,0,COUNTIF($E$38:E129,$N$35))</f>
        <v>0</v>
      </c>
      <c r="O129" s="312" t="e">
        <f t="shared" si="21"/>
        <v>#VALUE!</v>
      </c>
      <c r="P129" s="313" t="b">
        <f t="shared" si="26"/>
        <v>1</v>
      </c>
      <c r="Q129" s="200"/>
      <c r="R129" s="375">
        <f t="shared" si="22"/>
        <v>0</v>
      </c>
      <c r="S129" s="315">
        <f t="shared" si="23"/>
        <v>0</v>
      </c>
      <c r="T129" s="375">
        <f t="shared" si="29"/>
        <v>0</v>
      </c>
      <c r="U129" s="315">
        <f t="shared" si="29"/>
        <v>0</v>
      </c>
      <c r="V129" s="315">
        <f t="shared" si="29"/>
        <v>0</v>
      </c>
      <c r="W129" s="376">
        <f t="shared" si="29"/>
        <v>0</v>
      </c>
      <c r="X129" s="377">
        <f t="shared" si="27"/>
        <v>0</v>
      </c>
    </row>
    <row r="130" spans="1:24" ht="15" customHeight="1">
      <c r="A130" s="370">
        <f t="shared" si="28"/>
        <v>93</v>
      </c>
      <c r="B130" s="306"/>
      <c r="C130" s="371"/>
      <c r="D130" s="307"/>
      <c r="E130" s="371"/>
      <c r="F130" s="308"/>
      <c r="G130" s="372">
        <f>IFERROR(INDEX(【様式３】シフト表!$AK$7:$AK$106,MATCH($N130,【様式３】シフト表!$B$7:$B$106,0),1),0)</f>
        <v>0</v>
      </c>
      <c r="H130" s="125"/>
      <c r="I130" s="309"/>
      <c r="J130" s="373" t="str">
        <f t="shared" si="24"/>
        <v>-</v>
      </c>
      <c r="K130" s="150"/>
      <c r="L130" s="310" t="b">
        <f t="shared" si="25"/>
        <v>0</v>
      </c>
      <c r="M130" s="374" t="b">
        <f>AND($M$35,C130=$M$36,L130,COUNTIF($M$37:$M129,TRUE)=0)</f>
        <v>0</v>
      </c>
      <c r="N130" s="312">
        <f>IF($E130&lt;&gt;$N$35,0,COUNTIF($E$38:E130,$N$35))</f>
        <v>0</v>
      </c>
      <c r="O130" s="312" t="e">
        <f t="shared" si="21"/>
        <v>#VALUE!</v>
      </c>
      <c r="P130" s="313" t="b">
        <f t="shared" si="26"/>
        <v>1</v>
      </c>
      <c r="Q130" s="200"/>
      <c r="R130" s="375">
        <f t="shared" si="22"/>
        <v>0</v>
      </c>
      <c r="S130" s="315">
        <f t="shared" si="23"/>
        <v>0</v>
      </c>
      <c r="T130" s="375">
        <f t="shared" si="29"/>
        <v>0</v>
      </c>
      <c r="U130" s="315">
        <f t="shared" si="29"/>
        <v>0</v>
      </c>
      <c r="V130" s="315">
        <f t="shared" si="29"/>
        <v>0</v>
      </c>
      <c r="W130" s="376">
        <f t="shared" si="29"/>
        <v>0</v>
      </c>
      <c r="X130" s="377">
        <f t="shared" si="27"/>
        <v>0</v>
      </c>
    </row>
    <row r="131" spans="1:24" ht="15" customHeight="1">
      <c r="A131" s="370">
        <f t="shared" si="28"/>
        <v>94</v>
      </c>
      <c r="B131" s="306"/>
      <c r="C131" s="371"/>
      <c r="D131" s="307"/>
      <c r="E131" s="371"/>
      <c r="F131" s="308"/>
      <c r="G131" s="372">
        <f>IFERROR(INDEX(【様式３】シフト表!$AK$7:$AK$106,MATCH($N131,【様式３】シフト表!$B$7:$B$106,0),1),0)</f>
        <v>0</v>
      </c>
      <c r="H131" s="125"/>
      <c r="I131" s="309"/>
      <c r="J131" s="373" t="str">
        <f t="shared" si="24"/>
        <v>-</v>
      </c>
      <c r="K131" s="150"/>
      <c r="L131" s="310" t="b">
        <f t="shared" si="25"/>
        <v>0</v>
      </c>
      <c r="M131" s="374" t="b">
        <f>AND($M$35,C131=$M$36,L131,COUNTIF($M$37:$M130,TRUE)=0)</f>
        <v>0</v>
      </c>
      <c r="N131" s="312">
        <f>IF($E131&lt;&gt;$N$35,0,COUNTIF($E$38:E131,$N$35))</f>
        <v>0</v>
      </c>
      <c r="O131" s="312" t="e">
        <f t="shared" si="21"/>
        <v>#VALUE!</v>
      </c>
      <c r="P131" s="313" t="b">
        <f t="shared" si="26"/>
        <v>1</v>
      </c>
      <c r="Q131" s="200"/>
      <c r="R131" s="375">
        <f t="shared" si="22"/>
        <v>0</v>
      </c>
      <c r="S131" s="315">
        <f t="shared" si="23"/>
        <v>0</v>
      </c>
      <c r="T131" s="375">
        <f t="shared" si="29"/>
        <v>0</v>
      </c>
      <c r="U131" s="315">
        <f t="shared" si="29"/>
        <v>0</v>
      </c>
      <c r="V131" s="315">
        <f t="shared" si="29"/>
        <v>0</v>
      </c>
      <c r="W131" s="376">
        <f t="shared" si="29"/>
        <v>0</v>
      </c>
      <c r="X131" s="377">
        <f t="shared" si="27"/>
        <v>0</v>
      </c>
    </row>
    <row r="132" spans="1:24" ht="15" customHeight="1">
      <c r="A132" s="370">
        <f t="shared" si="28"/>
        <v>95</v>
      </c>
      <c r="B132" s="306"/>
      <c r="C132" s="371"/>
      <c r="D132" s="307"/>
      <c r="E132" s="371"/>
      <c r="F132" s="308"/>
      <c r="G132" s="372">
        <f>IFERROR(INDEX(【様式３】シフト表!$AK$7:$AK$106,MATCH($N132,【様式３】シフト表!$B$7:$B$106,0),1),0)</f>
        <v>0</v>
      </c>
      <c r="H132" s="125"/>
      <c r="I132" s="309"/>
      <c r="J132" s="373" t="str">
        <f t="shared" si="24"/>
        <v>-</v>
      </c>
      <c r="K132" s="150"/>
      <c r="L132" s="310" t="b">
        <f t="shared" si="25"/>
        <v>0</v>
      </c>
      <c r="M132" s="374" t="b">
        <f>AND($M$35,C132=$M$36,L132,COUNTIF($M$37:$M131,TRUE)=0)</f>
        <v>0</v>
      </c>
      <c r="N132" s="312">
        <f>IF($E132&lt;&gt;$N$35,0,COUNTIF($E$38:E132,$N$35))</f>
        <v>0</v>
      </c>
      <c r="O132" s="312" t="e">
        <f t="shared" si="21"/>
        <v>#VALUE!</v>
      </c>
      <c r="P132" s="313" t="b">
        <f t="shared" si="26"/>
        <v>1</v>
      </c>
      <c r="Q132" s="200"/>
      <c r="R132" s="375">
        <f t="shared" si="22"/>
        <v>0</v>
      </c>
      <c r="S132" s="315">
        <f t="shared" si="23"/>
        <v>0</v>
      </c>
      <c r="T132" s="375">
        <f t="shared" si="29"/>
        <v>0</v>
      </c>
      <c r="U132" s="315">
        <f t="shared" si="29"/>
        <v>0</v>
      </c>
      <c r="V132" s="315">
        <f t="shared" si="29"/>
        <v>0</v>
      </c>
      <c r="W132" s="376">
        <f t="shared" si="29"/>
        <v>0</v>
      </c>
      <c r="X132" s="377">
        <f t="shared" si="27"/>
        <v>0</v>
      </c>
    </row>
    <row r="133" spans="1:24" ht="15" customHeight="1">
      <c r="A133" s="370">
        <f t="shared" si="28"/>
        <v>96</v>
      </c>
      <c r="B133" s="306"/>
      <c r="C133" s="371"/>
      <c r="D133" s="307"/>
      <c r="E133" s="371"/>
      <c r="F133" s="308"/>
      <c r="G133" s="372">
        <f>IFERROR(INDEX(【様式３】シフト表!$AK$7:$AK$106,MATCH($N133,【様式３】シフト表!$B$7:$B$106,0),1),0)</f>
        <v>0</v>
      </c>
      <c r="H133" s="125"/>
      <c r="I133" s="309"/>
      <c r="J133" s="373" t="str">
        <f t="shared" si="24"/>
        <v>-</v>
      </c>
      <c r="K133" s="150"/>
      <c r="L133" s="310" t="b">
        <f t="shared" si="25"/>
        <v>0</v>
      </c>
      <c r="M133" s="374" t="b">
        <f>AND($M$35,C133=$M$36,L133,COUNTIF($M$37:$M132,TRUE)=0)</f>
        <v>0</v>
      </c>
      <c r="N133" s="312">
        <f>IF($E133&lt;&gt;$N$35,0,COUNTIF($E$38:E133,$N$35))</f>
        <v>0</v>
      </c>
      <c r="O133" s="312" t="e">
        <f t="shared" si="21"/>
        <v>#VALUE!</v>
      </c>
      <c r="P133" s="313" t="b">
        <f t="shared" si="26"/>
        <v>1</v>
      </c>
      <c r="Q133" s="200"/>
      <c r="R133" s="375">
        <f t="shared" si="22"/>
        <v>0</v>
      </c>
      <c r="S133" s="315">
        <f t="shared" si="23"/>
        <v>0</v>
      </c>
      <c r="T133" s="375">
        <f t="shared" si="29"/>
        <v>0</v>
      </c>
      <c r="U133" s="315">
        <f t="shared" si="29"/>
        <v>0</v>
      </c>
      <c r="V133" s="315">
        <f t="shared" si="29"/>
        <v>0</v>
      </c>
      <c r="W133" s="376">
        <f t="shared" si="29"/>
        <v>0</v>
      </c>
      <c r="X133" s="377">
        <f t="shared" si="27"/>
        <v>0</v>
      </c>
    </row>
    <row r="134" spans="1:24" ht="15" customHeight="1">
      <c r="A134" s="370">
        <f t="shared" si="28"/>
        <v>97</v>
      </c>
      <c r="B134" s="306"/>
      <c r="C134" s="371"/>
      <c r="D134" s="307"/>
      <c r="E134" s="371"/>
      <c r="F134" s="308"/>
      <c r="G134" s="372">
        <f>IFERROR(INDEX(【様式３】シフト表!$AK$7:$AK$106,MATCH($N134,【様式３】シフト表!$B$7:$B$106,0),1),0)</f>
        <v>0</v>
      </c>
      <c r="H134" s="125"/>
      <c r="I134" s="309"/>
      <c r="J134" s="373" t="str">
        <f t="shared" si="24"/>
        <v>-</v>
      </c>
      <c r="K134" s="150"/>
      <c r="L134" s="310" t="b">
        <f t="shared" si="25"/>
        <v>0</v>
      </c>
      <c r="M134" s="374" t="b">
        <f>AND($M$35,C134=$M$36,L134,COUNTIF($M$37:$M133,TRUE)=0)</f>
        <v>0</v>
      </c>
      <c r="N134" s="312">
        <f>IF($E134&lt;&gt;$N$35,0,COUNTIF($E$38:E134,$N$35))</f>
        <v>0</v>
      </c>
      <c r="O134" s="312" t="e">
        <f t="shared" si="21"/>
        <v>#VALUE!</v>
      </c>
      <c r="P134" s="313" t="b">
        <f t="shared" si="26"/>
        <v>1</v>
      </c>
      <c r="Q134" s="200"/>
      <c r="R134" s="375">
        <f t="shared" si="22"/>
        <v>0</v>
      </c>
      <c r="S134" s="315">
        <f t="shared" si="23"/>
        <v>0</v>
      </c>
      <c r="T134" s="375">
        <f t="shared" si="29"/>
        <v>0</v>
      </c>
      <c r="U134" s="315">
        <f t="shared" si="29"/>
        <v>0</v>
      </c>
      <c r="V134" s="315">
        <f t="shared" si="29"/>
        <v>0</v>
      </c>
      <c r="W134" s="376">
        <f t="shared" si="29"/>
        <v>0</v>
      </c>
      <c r="X134" s="377">
        <f t="shared" si="27"/>
        <v>0</v>
      </c>
    </row>
    <row r="135" spans="1:24" ht="15" customHeight="1">
      <c r="A135" s="370">
        <f t="shared" si="28"/>
        <v>98</v>
      </c>
      <c r="B135" s="306"/>
      <c r="C135" s="371"/>
      <c r="D135" s="307"/>
      <c r="E135" s="371"/>
      <c r="F135" s="308"/>
      <c r="G135" s="372">
        <f>IFERROR(INDEX(【様式３】シフト表!$AK$7:$AK$106,MATCH($N135,【様式３】シフト表!$B$7:$B$106,0),1),0)</f>
        <v>0</v>
      </c>
      <c r="H135" s="125"/>
      <c r="I135" s="309"/>
      <c r="J135" s="373" t="str">
        <f t="shared" si="24"/>
        <v>-</v>
      </c>
      <c r="K135" s="150"/>
      <c r="L135" s="310" t="b">
        <f t="shared" si="25"/>
        <v>0</v>
      </c>
      <c r="M135" s="374" t="b">
        <f>AND($M$35,C135=$M$36,L135,COUNTIF($M$37:$M134,TRUE)=0)</f>
        <v>0</v>
      </c>
      <c r="N135" s="312">
        <f>IF($E135&lt;&gt;$N$35,0,COUNTIF($E$38:E135,$N$35))</f>
        <v>0</v>
      </c>
      <c r="O135" s="312" t="e">
        <f t="shared" si="21"/>
        <v>#VALUE!</v>
      </c>
      <c r="P135" s="313" t="b">
        <f t="shared" si="26"/>
        <v>1</v>
      </c>
      <c r="Q135" s="200"/>
      <c r="R135" s="375">
        <f t="shared" si="22"/>
        <v>0</v>
      </c>
      <c r="S135" s="315">
        <f t="shared" si="23"/>
        <v>0</v>
      </c>
      <c r="T135" s="375">
        <f t="shared" si="29"/>
        <v>0</v>
      </c>
      <c r="U135" s="315">
        <f t="shared" si="29"/>
        <v>0</v>
      </c>
      <c r="V135" s="315">
        <f t="shared" si="29"/>
        <v>0</v>
      </c>
      <c r="W135" s="376">
        <f t="shared" si="29"/>
        <v>0</v>
      </c>
      <c r="X135" s="377">
        <f t="shared" si="27"/>
        <v>0</v>
      </c>
    </row>
    <row r="136" spans="1:24" ht="15" customHeight="1">
      <c r="A136" s="370">
        <f t="shared" si="28"/>
        <v>99</v>
      </c>
      <c r="B136" s="306"/>
      <c r="C136" s="371"/>
      <c r="D136" s="307"/>
      <c r="E136" s="371"/>
      <c r="F136" s="308"/>
      <c r="G136" s="372">
        <f>IFERROR(INDEX(【様式３】シフト表!$AK$7:$AK$106,MATCH($N136,【様式３】シフト表!$B$7:$B$106,0),1),0)</f>
        <v>0</v>
      </c>
      <c r="H136" s="125"/>
      <c r="I136" s="309"/>
      <c r="J136" s="373" t="str">
        <f t="shared" si="24"/>
        <v>-</v>
      </c>
      <c r="K136" s="150"/>
      <c r="L136" s="310" t="b">
        <f t="shared" si="25"/>
        <v>0</v>
      </c>
      <c r="M136" s="374" t="b">
        <f>AND($M$35,C136=$M$36,L136,COUNTIF($M$37:$M135,TRUE)=0)</f>
        <v>0</v>
      </c>
      <c r="N136" s="312">
        <f>IF($E136&lt;&gt;$N$35,0,COUNTIF($E$38:E136,$N$35))</f>
        <v>0</v>
      </c>
      <c r="O136" s="312" t="e">
        <f t="shared" si="21"/>
        <v>#VALUE!</v>
      </c>
      <c r="P136" s="313" t="b">
        <f t="shared" si="26"/>
        <v>1</v>
      </c>
      <c r="Q136" s="200"/>
      <c r="R136" s="375">
        <f t="shared" si="22"/>
        <v>0</v>
      </c>
      <c r="S136" s="315">
        <f t="shared" si="23"/>
        <v>0</v>
      </c>
      <c r="T136" s="375">
        <f t="shared" si="29"/>
        <v>0</v>
      </c>
      <c r="U136" s="315">
        <f t="shared" si="29"/>
        <v>0</v>
      </c>
      <c r="V136" s="315">
        <f t="shared" si="29"/>
        <v>0</v>
      </c>
      <c r="W136" s="376">
        <f t="shared" si="29"/>
        <v>0</v>
      </c>
      <c r="X136" s="377">
        <f t="shared" si="27"/>
        <v>0</v>
      </c>
    </row>
    <row r="137" spans="1:24" ht="15" customHeight="1" thickBot="1">
      <c r="A137" s="378">
        <f t="shared" si="28"/>
        <v>100</v>
      </c>
      <c r="B137" s="322"/>
      <c r="C137" s="379"/>
      <c r="D137" s="323"/>
      <c r="E137" s="379"/>
      <c r="F137" s="324"/>
      <c r="G137" s="380">
        <f>IFERROR(INDEX(【様式３】シフト表!$AK$7:$AK$106,MATCH($N137,【様式３】シフト表!$B$7:$B$106,0),1),0)</f>
        <v>0</v>
      </c>
      <c r="H137" s="325"/>
      <c r="I137" s="326"/>
      <c r="J137" s="381" t="str">
        <f t="shared" si="24"/>
        <v>-</v>
      </c>
      <c r="K137" s="150"/>
      <c r="L137" s="327" t="b">
        <f t="shared" si="25"/>
        <v>0</v>
      </c>
      <c r="M137" s="382" t="b">
        <f>AND($M$35,C137=$M$36,L137,COUNTIF($M$37:$M136,TRUE)=0)</f>
        <v>0</v>
      </c>
      <c r="N137" s="329">
        <f>IF($E137&lt;&gt;$N$35,0,COUNTIF($E$38:E137,$N$35))</f>
        <v>0</v>
      </c>
      <c r="O137" s="329" t="e">
        <f t="shared" si="21"/>
        <v>#VALUE!</v>
      </c>
      <c r="P137" s="330" t="b">
        <f t="shared" si="26"/>
        <v>1</v>
      </c>
      <c r="Q137" s="200"/>
      <c r="R137" s="383">
        <f t="shared" si="22"/>
        <v>0</v>
      </c>
      <c r="S137" s="332">
        <f t="shared" si="23"/>
        <v>0</v>
      </c>
      <c r="T137" s="383">
        <f t="shared" si="29"/>
        <v>0</v>
      </c>
      <c r="U137" s="332">
        <f t="shared" si="29"/>
        <v>0</v>
      </c>
      <c r="V137" s="332">
        <f t="shared" si="29"/>
        <v>0</v>
      </c>
      <c r="W137" s="384">
        <f t="shared" si="29"/>
        <v>0</v>
      </c>
      <c r="X137" s="385">
        <f t="shared" si="27"/>
        <v>0</v>
      </c>
    </row>
    <row r="138" spans="1:24" ht="20.100000000000001" customHeight="1" thickBot="1">
      <c r="Q138" s="386" t="str">
        <f t="shared" ref="Q138:Q139" si="30">Z26</f>
        <v>施設長</v>
      </c>
      <c r="R138" s="387">
        <f>SUMIFS(R$38:R$137,$J$38:$J$137,$Q138)</f>
        <v>0</v>
      </c>
      <c r="S138" s="388">
        <f>SUMIFS(S$38:S$137,$J$38:$J$137,$Q138)</f>
        <v>0</v>
      </c>
      <c r="T138" s="367">
        <f t="shared" ref="T138:X143" si="31">COUNTIF(T$38:T$137,$Q138)</f>
        <v>0</v>
      </c>
      <c r="U138" s="368">
        <f t="shared" si="31"/>
        <v>0</v>
      </c>
      <c r="V138" s="368">
        <f t="shared" si="31"/>
        <v>0</v>
      </c>
      <c r="W138" s="368">
        <f t="shared" si="31"/>
        <v>0</v>
      </c>
      <c r="X138" s="302">
        <f t="shared" si="31"/>
        <v>0</v>
      </c>
    </row>
    <row r="139" spans="1:24" ht="20.100000000000001" customHeight="1" thickBot="1">
      <c r="K139" s="223"/>
      <c r="L139" s="223"/>
      <c r="M139" s="223"/>
      <c r="Q139" s="389" t="str">
        <f t="shared" si="30"/>
        <v>保育士</v>
      </c>
      <c r="R139" s="390">
        <f t="shared" ref="R139:R143" si="32">SUMIFS(R$38:R$137,$J$38:$J$137,$Q139)</f>
        <v>0</v>
      </c>
      <c r="S139" s="391">
        <f>SUM(SUMIFS(S$38:S$137,$J$38:$J$137,$Q139),SUMIFS(S$28:S$32,$J$28:$J$32,$Q139))</f>
        <v>0</v>
      </c>
      <c r="T139" s="375">
        <f t="shared" si="31"/>
        <v>0</v>
      </c>
      <c r="U139" s="315">
        <f t="shared" si="31"/>
        <v>0</v>
      </c>
      <c r="V139" s="315">
        <f t="shared" si="31"/>
        <v>0</v>
      </c>
      <c r="W139" s="315">
        <f t="shared" si="31"/>
        <v>0</v>
      </c>
      <c r="X139" s="392">
        <f t="shared" si="31"/>
        <v>0</v>
      </c>
    </row>
    <row r="140" spans="1:24" ht="20.100000000000001" customHeight="1">
      <c r="K140" s="223"/>
      <c r="L140" s="223"/>
      <c r="M140" s="223"/>
      <c r="Q140" s="389" t="str">
        <f>Z28</f>
        <v>栄養士</v>
      </c>
      <c r="R140" s="393">
        <f t="shared" si="32"/>
        <v>0</v>
      </c>
      <c r="S140" s="377">
        <f>SUMIFS(S$38:S$137,$J$38:$J$137,$Q140)</f>
        <v>0</v>
      </c>
      <c r="T140" s="375">
        <f t="shared" si="31"/>
        <v>0</v>
      </c>
      <c r="U140" s="315">
        <f t="shared" si="31"/>
        <v>0</v>
      </c>
      <c r="V140" s="315">
        <f t="shared" si="31"/>
        <v>0</v>
      </c>
      <c r="W140" s="315">
        <f t="shared" si="31"/>
        <v>0</v>
      </c>
      <c r="X140" s="392">
        <f t="shared" si="31"/>
        <v>0</v>
      </c>
    </row>
    <row r="141" spans="1:24" ht="20.100000000000001" customHeight="1">
      <c r="K141" s="223"/>
      <c r="L141" s="223"/>
      <c r="M141" s="223"/>
      <c r="Q141" s="389" t="str">
        <f>Z29</f>
        <v>調理員</v>
      </c>
      <c r="R141" s="393">
        <f t="shared" si="32"/>
        <v>0</v>
      </c>
      <c r="S141" s="392">
        <f>SUMIFS(S$38:S$137,$J$38:$J$137,$Q141)</f>
        <v>0</v>
      </c>
      <c r="T141" s="375">
        <f t="shared" si="31"/>
        <v>0</v>
      </c>
      <c r="U141" s="315">
        <f t="shared" si="31"/>
        <v>0</v>
      </c>
      <c r="V141" s="315">
        <f t="shared" si="31"/>
        <v>0</v>
      </c>
      <c r="W141" s="315">
        <f t="shared" si="31"/>
        <v>0</v>
      </c>
      <c r="X141" s="392">
        <f t="shared" si="31"/>
        <v>0</v>
      </c>
    </row>
    <row r="142" spans="1:24" ht="20.100000000000001" customHeight="1">
      <c r="K142" s="223"/>
      <c r="L142" s="223"/>
      <c r="M142" s="223"/>
      <c r="Q142" s="389" t="str">
        <f>Z30</f>
        <v>事務員</v>
      </c>
      <c r="R142" s="393">
        <f t="shared" si="32"/>
        <v>0</v>
      </c>
      <c r="S142" s="392">
        <f>SUMIFS(S$38:S$137,$J$38:$J$137,$Q142)</f>
        <v>0</v>
      </c>
      <c r="T142" s="375">
        <f t="shared" si="31"/>
        <v>0</v>
      </c>
      <c r="U142" s="315">
        <f t="shared" si="31"/>
        <v>0</v>
      </c>
      <c r="V142" s="315">
        <f t="shared" si="31"/>
        <v>0</v>
      </c>
      <c r="W142" s="315">
        <f t="shared" si="31"/>
        <v>0</v>
      </c>
      <c r="X142" s="392">
        <f t="shared" si="31"/>
        <v>0</v>
      </c>
    </row>
    <row r="143" spans="1:24" ht="20.100000000000001" customHeight="1" thickBot="1">
      <c r="K143" s="251"/>
      <c r="L143" s="251"/>
      <c r="M143" s="251"/>
      <c r="Q143" s="394" t="str">
        <f>Z31</f>
        <v>その他</v>
      </c>
      <c r="R143" s="395">
        <f t="shared" si="32"/>
        <v>0</v>
      </c>
      <c r="S143" s="385">
        <f>SUMIFS(S$38:S$137,$J$38:$J$137,$Q143)</f>
        <v>0</v>
      </c>
      <c r="T143" s="383">
        <f t="shared" si="31"/>
        <v>0</v>
      </c>
      <c r="U143" s="332">
        <f t="shared" si="31"/>
        <v>0</v>
      </c>
      <c r="V143" s="332">
        <f t="shared" si="31"/>
        <v>0</v>
      </c>
      <c r="W143" s="332">
        <f t="shared" si="31"/>
        <v>0</v>
      </c>
      <c r="X143" s="385">
        <f t="shared" si="31"/>
        <v>0</v>
      </c>
    </row>
    <row r="144" spans="1:24" ht="20.100000000000001" customHeight="1">
      <c r="K144" s="251"/>
      <c r="L144" s="251"/>
      <c r="M144" s="251"/>
      <c r="Q144" s="200"/>
      <c r="S144" s="101"/>
    </row>
    <row r="145" spans="11:21" ht="20.100000000000001" customHeight="1">
      <c r="K145" s="251"/>
      <c r="L145" s="251"/>
      <c r="M145" s="251"/>
      <c r="Q145" s="200"/>
      <c r="S145" s="101"/>
    </row>
    <row r="146" spans="11:21" ht="20.100000000000001" customHeight="1">
      <c r="Q146" s="200"/>
      <c r="S146" s="101"/>
    </row>
    <row r="147" spans="11:21">
      <c r="Q147" s="200"/>
      <c r="S147" s="101"/>
    </row>
    <row r="148" spans="11:21">
      <c r="Q148" s="200"/>
      <c r="S148" s="101"/>
    </row>
    <row r="149" spans="11:21">
      <c r="Q149" s="200"/>
      <c r="S149" s="101"/>
    </row>
    <row r="150" spans="11:21">
      <c r="Q150" s="200"/>
      <c r="S150" s="101"/>
    </row>
    <row r="151" spans="11:21">
      <c r="Q151" s="200"/>
      <c r="S151" s="101"/>
    </row>
    <row r="152" spans="11:21">
      <c r="K152" s="251"/>
      <c r="L152" s="251"/>
      <c r="M152" s="251"/>
      <c r="Q152" s="200"/>
      <c r="S152" s="101"/>
      <c r="U152" s="156"/>
    </row>
    <row r="153" spans="11:21">
      <c r="Q153" s="200"/>
      <c r="S153" s="101"/>
    </row>
    <row r="154" spans="11:21">
      <c r="Q154" s="200"/>
      <c r="S154" s="101"/>
    </row>
    <row r="155" spans="11:21">
      <c r="Q155" s="200"/>
      <c r="S155" s="101"/>
    </row>
  </sheetData>
  <sheetProtection algorithmName="SHA-512" hashValue="UNKnxCTpWJbkVl7mPyawWWzLVHaZ5Li/2Ff4kYoSmFCOegIv6UHYXB643rQ+gF88z4F42ATEd/tR+0jyCJmo9g==" saltValue="N71N85Hpt+PduT2WFjdIyg==" spinCount="100000" sheet="1" objects="1" scenarios="1" selectLockedCells="1"/>
  <mergeCells count="52">
    <mergeCell ref="H1:J1"/>
    <mergeCell ref="A2:D2"/>
    <mergeCell ref="E2:F2"/>
    <mergeCell ref="B4:J4"/>
    <mergeCell ref="B5:D7"/>
    <mergeCell ref="F5:I5"/>
    <mergeCell ref="E6:E7"/>
    <mergeCell ref="F6:J7"/>
    <mergeCell ref="B17:J17"/>
    <mergeCell ref="A19:J19"/>
    <mergeCell ref="A20:J20"/>
    <mergeCell ref="A21:J21"/>
    <mergeCell ref="A22:J22"/>
    <mergeCell ref="B8:B10"/>
    <mergeCell ref="C8:F8"/>
    <mergeCell ref="G8:J8"/>
    <mergeCell ref="C9:E9"/>
    <mergeCell ref="F9:F10"/>
    <mergeCell ref="H9:I9"/>
    <mergeCell ref="J9:J10"/>
    <mergeCell ref="Z23:AE23"/>
    <mergeCell ref="A25:B25"/>
    <mergeCell ref="C25:D25"/>
    <mergeCell ref="E25:G25"/>
    <mergeCell ref="I25:I27"/>
    <mergeCell ref="J25:J27"/>
    <mergeCell ref="F26:F27"/>
    <mergeCell ref="L23:N23"/>
    <mergeCell ref="O23:P23"/>
    <mergeCell ref="R23:S23"/>
    <mergeCell ref="T23:X23"/>
    <mergeCell ref="H36:H37"/>
    <mergeCell ref="G26:G27"/>
    <mergeCell ref="H26:H27"/>
    <mergeCell ref="AC30:AD33"/>
    <mergeCell ref="A35:B35"/>
    <mergeCell ref="C35:D35"/>
    <mergeCell ref="E35:G35"/>
    <mergeCell ref="I35:I37"/>
    <mergeCell ref="J35:J37"/>
    <mergeCell ref="A36:A37"/>
    <mergeCell ref="B36:B37"/>
    <mergeCell ref="A26:A27"/>
    <mergeCell ref="B26:B27"/>
    <mergeCell ref="C26:C27"/>
    <mergeCell ref="D26:D27"/>
    <mergeCell ref="E26:E27"/>
    <mergeCell ref="C36:C37"/>
    <mergeCell ref="D36:D37"/>
    <mergeCell ref="E36:E37"/>
    <mergeCell ref="F36:F37"/>
    <mergeCell ref="G36:G37"/>
  </mergeCells>
  <phoneticPr fontId="1"/>
  <conditionalFormatting sqref="F38:F137">
    <cfRule type="expression" dxfId="44" priority="14">
      <formula>OR($E38="常勤",$E38="非常勤")</formula>
    </cfRule>
  </conditionalFormatting>
  <conditionalFormatting sqref="J38:J137 J28:J32">
    <cfRule type="containsText" dxfId="43" priority="13" operator="containsText" text="エラー">
      <formula>NOT(ISERROR(SEARCH("エラー",J28)))</formula>
    </cfRule>
  </conditionalFormatting>
  <conditionalFormatting sqref="G38:G137">
    <cfRule type="expression" dxfId="42" priority="15">
      <formula>$E38="非常勤"</formula>
    </cfRule>
  </conditionalFormatting>
  <conditionalFormatting sqref="F6">
    <cfRule type="expression" dxfId="41" priority="16">
      <formula>AND($F$5&gt;=150,NOT(ISTEXT($F$5)))</formula>
    </cfRule>
    <cfRule type="expression" dxfId="40" priority="17">
      <formula>AND($F$5&lt;150,NOT(ISTEXT($F$6)))</formula>
    </cfRule>
  </conditionalFormatting>
  <conditionalFormatting sqref="F5">
    <cfRule type="expression" dxfId="39" priority="18">
      <formula>OR($F$5=0,ISTEXT($F$5))</formula>
    </cfRule>
  </conditionalFormatting>
  <conditionalFormatting sqref="G36:G37">
    <cfRule type="containsText" dxfId="38" priority="12" operator="containsText" text="エラー">
      <formula>NOT(ISERROR(SEARCH("エラー",G36)))</formula>
    </cfRule>
  </conditionalFormatting>
  <conditionalFormatting sqref="F88:F106">
    <cfRule type="expression" dxfId="37" priority="10">
      <formula>OR($E88="常勤",$E88="非常勤")</formula>
    </cfRule>
  </conditionalFormatting>
  <conditionalFormatting sqref="J88:K106">
    <cfRule type="containsText" dxfId="36" priority="9" operator="containsText" text="エラー">
      <formula>NOT(ISERROR(SEARCH("エラー",J88)))</formula>
    </cfRule>
  </conditionalFormatting>
  <conditionalFormatting sqref="G88:G106">
    <cfRule type="expression" dxfId="35" priority="11">
      <formula>$E88="非常勤"</formula>
    </cfRule>
  </conditionalFormatting>
  <conditionalFormatting sqref="F125">
    <cfRule type="expression" dxfId="34" priority="7">
      <formula>OR($E125="常勤",$E125="非常勤")</formula>
    </cfRule>
  </conditionalFormatting>
  <conditionalFormatting sqref="J125:K125">
    <cfRule type="containsText" dxfId="33" priority="6" operator="containsText" text="エラー">
      <formula>NOT(ISERROR(SEARCH("エラー",J125)))</formula>
    </cfRule>
  </conditionalFormatting>
  <conditionalFormatting sqref="G125">
    <cfRule type="expression" dxfId="32" priority="8">
      <formula>$E125="非常勤"</formula>
    </cfRule>
  </conditionalFormatting>
  <conditionalFormatting sqref="G26:G27">
    <cfRule type="containsText" dxfId="31" priority="5" operator="containsText" text="エラー">
      <formula>NOT(ISERROR(SEARCH("エラー",G26)))</formula>
    </cfRule>
  </conditionalFormatting>
  <conditionalFormatting sqref="J32">
    <cfRule type="containsText" dxfId="30" priority="3" operator="containsText" text="エラー">
      <formula>NOT(ISERROR(SEARCH("エラー",J32)))</formula>
    </cfRule>
  </conditionalFormatting>
  <conditionalFormatting sqref="G28:G32">
    <cfRule type="expression" dxfId="29" priority="2">
      <formula>ISTEXT($G28)</formula>
    </cfRule>
    <cfRule type="expression" dxfId="28" priority="4">
      <formula>$E28="委託"</formula>
    </cfRule>
  </conditionalFormatting>
  <conditionalFormatting sqref="J31">
    <cfRule type="containsText" dxfId="27" priority="1" operator="containsText" text="エラー">
      <formula>NOT(ISERROR(SEARCH("エラー",J31)))</formula>
    </cfRule>
  </conditionalFormatting>
  <conditionalFormatting sqref="H28:H32 H38:H137">
    <cfRule type="expression" dxfId="26" priority="19">
      <formula>$H28&gt;$AE$26</formula>
    </cfRule>
  </conditionalFormatting>
  <dataValidations count="8">
    <dataValidation type="list" showInputMessage="1" showErrorMessage="1" sqref="C38:C137" xr:uid="{00000000-0002-0000-0900-000000000000}">
      <formula1>$Z$25:$Z$33</formula1>
    </dataValidation>
    <dataValidation type="decimal" operator="greaterThan" allowBlank="1" showInputMessage="1" showErrorMessage="1" sqref="G28:G32" xr:uid="{00000000-0002-0000-0900-000001000000}">
      <formula1>0</formula1>
    </dataValidation>
    <dataValidation type="decimal" allowBlank="1" showInputMessage="1" showErrorMessage="1" sqref="G38:G137" xr:uid="{00000000-0002-0000-0900-000002000000}">
      <formula1>0</formula1>
      <formula2>200</formula2>
    </dataValidation>
    <dataValidation type="decimal" errorStyle="warning" operator="greaterThanOrEqual" allowBlank="1" showInputMessage="1" showErrorMessage="1" errorTitle="150時間未満の場合" error="以下の理由欄に記載してください。" sqref="F5" xr:uid="{00000000-0002-0000-0900-000003000000}">
      <formula1>150</formula1>
    </dataValidation>
    <dataValidation type="list" showInputMessage="1" showErrorMessage="1" sqref="F38:F137" xr:uid="{00000000-0002-0000-0900-000004000000}">
      <formula1>INDIRECT($E38)</formula1>
    </dataValidation>
    <dataValidation type="date" operator="lessThanOrEqual" allowBlank="1" showInputMessage="1" showErrorMessage="1" errorTitle="雇用開始月日が不正です。" sqref="H38:H137 H28:H32" xr:uid="{00000000-0002-0000-0900-000005000000}">
      <formula1>$AE$26</formula1>
    </dataValidation>
    <dataValidation type="list" showInputMessage="1" showErrorMessage="1" sqref="E38:E137" xr:uid="{00000000-0002-0000-0900-000006000000}">
      <formula1>$AB$25:$AB$28</formula1>
    </dataValidation>
    <dataValidation type="list" showInputMessage="1" showErrorMessage="1" sqref="D38:D137 D28:D32" xr:uid="{00000000-0002-0000-0900-000007000000}">
      <formula1>$AA$25:$AA$29</formula1>
    </dataValidation>
  </dataValidations>
  <pageMargins left="0.59055118110236227" right="0.59055118110236227" top="0.55118110236220474" bottom="0.15748031496062992" header="0.31496062992125984" footer="0.31496062992125984"/>
  <pageSetup paperSize="9" scale="63" fitToHeight="2" orientation="portrait" r:id="rId1"/>
  <rowBreaks count="1" manualBreakCount="1">
    <brk id="92"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0000"/>
    <pageSetUpPr fitToPage="1"/>
  </sheetPr>
  <dimension ref="A1:AY107"/>
  <sheetViews>
    <sheetView view="pageBreakPreview" topLeftCell="B1" zoomScale="90" zoomScaleNormal="70" zoomScaleSheetLayoutView="90" workbookViewId="0">
      <pane xSplit="4" ySplit="6" topLeftCell="F7" activePane="bottomRight" state="frozen"/>
      <selection activeCell="K6" sqref="K6:O7"/>
      <selection pane="topRight" activeCell="K6" sqref="K6:O7"/>
      <selection pane="bottomLeft" activeCell="K6" sqref="K6:O7"/>
      <selection pane="bottomRight" activeCell="B1" sqref="B1:E1"/>
    </sheetView>
  </sheetViews>
  <sheetFormatPr defaultColWidth="9" defaultRowHeight="13.5" outlineLevelCol="1"/>
  <cols>
    <col min="1" max="1" width="4" style="59" hidden="1" customWidth="1"/>
    <col min="2" max="2" width="2.625" style="59" customWidth="1"/>
    <col min="3" max="3" width="20.125" style="59" customWidth="1"/>
    <col min="4" max="5" width="3.125" style="59" customWidth="1"/>
    <col min="6" max="36" width="5.625" style="59" customWidth="1"/>
    <col min="37" max="37" width="13.625" style="59" customWidth="1"/>
    <col min="38" max="38" width="50.625" style="59" customWidth="1"/>
    <col min="39" max="39" width="17.125" style="59" hidden="1" customWidth="1" outlineLevel="1"/>
    <col min="40" max="40" width="9" style="99" hidden="1" customWidth="1" outlineLevel="1"/>
    <col min="41" max="41" width="9" style="96" hidden="1" customWidth="1" outlineLevel="1"/>
    <col min="42" max="50" width="9" style="59" hidden="1" customWidth="1" outlineLevel="1"/>
    <col min="51" max="51" width="9" customWidth="1" collapsed="1"/>
    <col min="52" max="16384" width="9" style="59"/>
  </cols>
  <sheetData>
    <row r="1" spans="1:50" s="89" customFormat="1" ht="15" customHeight="1" thickBot="1">
      <c r="A1" s="83"/>
      <c r="B1" s="1767" t="s">
        <v>434</v>
      </c>
      <c r="C1" s="1767"/>
      <c r="D1" s="1767"/>
      <c r="E1" s="1767"/>
      <c r="F1" s="84"/>
      <c r="G1" s="1768" t="str">
        <f>AO1</f>
        <v/>
      </c>
      <c r="H1" s="1768"/>
      <c r="I1" s="100" t="s">
        <v>357</v>
      </c>
      <c r="J1" s="100">
        <f>AO2</f>
        <v>0</v>
      </c>
      <c r="K1" s="100" t="s">
        <v>358</v>
      </c>
      <c r="L1" s="1769" t="s">
        <v>359</v>
      </c>
      <c r="M1" s="1769"/>
      <c r="N1" s="1769"/>
      <c r="O1" s="1769"/>
      <c r="P1" s="1769"/>
      <c r="Q1" s="1769"/>
      <c r="R1" s="1769"/>
      <c r="S1" s="1769"/>
      <c r="T1" s="1769"/>
      <c r="U1" s="85"/>
      <c r="V1" s="85"/>
      <c r="W1" s="85"/>
      <c r="X1" s="85"/>
      <c r="Y1" s="85"/>
      <c r="Z1" s="85"/>
      <c r="AA1" s="85"/>
      <c r="AB1" s="85"/>
      <c r="AC1" s="1705" t="e">
        <f>AM2&amp;"様式3"&amp;AM3</f>
        <v>#N/A</v>
      </c>
      <c r="AD1" s="1705"/>
      <c r="AE1" s="1705"/>
      <c r="AF1" s="1705"/>
      <c r="AG1" s="1705"/>
      <c r="AH1" s="1705"/>
      <c r="AI1" s="1705"/>
      <c r="AJ1" s="1705"/>
      <c r="AK1" s="85"/>
      <c r="AL1" s="85"/>
      <c r="AM1" s="74" t="s">
        <v>475</v>
      </c>
      <c r="AN1" s="80" t="s">
        <v>357</v>
      </c>
      <c r="AO1" s="86" t="str">
        <f>【様式１】総括表・個票!D10</f>
        <v/>
      </c>
      <c r="AP1" s="87"/>
      <c r="AQ1" s="106" t="s">
        <v>360</v>
      </c>
      <c r="AR1" s="88">
        <v>1</v>
      </c>
      <c r="AS1" s="88">
        <v>2</v>
      </c>
      <c r="AT1" s="88">
        <v>3</v>
      </c>
      <c r="AU1" s="88">
        <v>4</v>
      </c>
      <c r="AV1" s="88">
        <v>5</v>
      </c>
      <c r="AW1" s="88">
        <v>6</v>
      </c>
      <c r="AX1" s="88">
        <v>7</v>
      </c>
    </row>
    <row r="2" spans="1:50" ht="15" customHeight="1" thickBot="1">
      <c r="A2" s="90"/>
      <c r="B2" s="91" t="s">
        <v>667</v>
      </c>
      <c r="C2" s="1746" t="s">
        <v>668</v>
      </c>
      <c r="D2" s="1746"/>
      <c r="E2" s="1747"/>
      <c r="F2" s="1770" t="e">
        <f>【様式１】総括表・個票!W4</f>
        <v>#N/A</v>
      </c>
      <c r="G2" s="1771"/>
      <c r="H2" s="1771"/>
      <c r="I2" s="1771"/>
      <c r="J2" s="1772"/>
      <c r="K2" s="1753" t="s">
        <v>526</v>
      </c>
      <c r="L2" s="1754"/>
      <c r="M2" s="1754"/>
      <c r="N2" s="1754"/>
      <c r="O2" s="1754"/>
      <c r="P2" s="1754"/>
      <c r="Q2" s="1754"/>
      <c r="R2" s="1754"/>
      <c r="S2" s="1754"/>
      <c r="T2" s="1754"/>
      <c r="U2" s="1754"/>
      <c r="V2" s="1754"/>
      <c r="W2" s="1754"/>
      <c r="X2" s="1754"/>
      <c r="Y2" s="1754"/>
      <c r="Z2" s="1754"/>
      <c r="AA2" s="1755" t="s">
        <v>918</v>
      </c>
      <c r="AB2" s="1756"/>
      <c r="AC2" s="1773"/>
      <c r="AD2" s="1774"/>
      <c r="AE2" s="57" t="s">
        <v>361</v>
      </c>
      <c r="AF2" s="1755" t="s">
        <v>669</v>
      </c>
      <c r="AG2" s="1755"/>
      <c r="AH2" s="1775">
        <f>SUM(AC2,ROUND(AC3/60,2))</f>
        <v>0</v>
      </c>
      <c r="AI2" s="1776"/>
      <c r="AJ2" s="1744" t="s">
        <v>362</v>
      </c>
      <c r="AK2" s="92"/>
      <c r="AL2" s="92"/>
      <c r="AM2" s="75" t="str">
        <f>【様式１】総括表・個票!$AI$2</f>
        <v>加-23_月申-</v>
      </c>
      <c r="AN2" s="86" t="s">
        <v>363</v>
      </c>
      <c r="AO2" s="86">
        <f>【様式１】総括表・個票!I10</f>
        <v>0</v>
      </c>
      <c r="AP2" s="93"/>
      <c r="AQ2" s="106" t="s">
        <v>364</v>
      </c>
      <c r="AR2" s="107" t="s">
        <v>365</v>
      </c>
      <c r="AS2" s="108" t="s">
        <v>366</v>
      </c>
      <c r="AT2" s="108" t="s">
        <v>367</v>
      </c>
      <c r="AU2" s="108" t="s">
        <v>368</v>
      </c>
      <c r="AV2" s="108" t="s">
        <v>369</v>
      </c>
      <c r="AW2" s="108" t="s">
        <v>370</v>
      </c>
      <c r="AX2" s="109" t="s">
        <v>371</v>
      </c>
    </row>
    <row r="3" spans="1:50" ht="15" customHeight="1" thickBot="1">
      <c r="A3" s="94"/>
      <c r="B3" s="91" t="s">
        <v>670</v>
      </c>
      <c r="C3" s="1746" t="s">
        <v>3</v>
      </c>
      <c r="D3" s="1746"/>
      <c r="E3" s="1747"/>
      <c r="F3" s="1748">
        <f>【様式１】総括表・個票!D13</f>
        <v>0</v>
      </c>
      <c r="G3" s="1749"/>
      <c r="H3" s="1749"/>
      <c r="I3" s="1749"/>
      <c r="J3" s="1750"/>
      <c r="K3" s="1759" t="s">
        <v>671</v>
      </c>
      <c r="L3" s="1760"/>
      <c r="M3" s="1760"/>
      <c r="N3" s="1760"/>
      <c r="O3" s="1760"/>
      <c r="P3" s="1760"/>
      <c r="Q3" s="1760"/>
      <c r="R3" s="1760"/>
      <c r="S3" s="1760"/>
      <c r="T3" s="1760"/>
      <c r="U3" s="1760"/>
      <c r="V3" s="1760"/>
      <c r="W3" s="1760"/>
      <c r="X3" s="1760"/>
      <c r="Y3" s="1760"/>
      <c r="Z3" s="1760"/>
      <c r="AA3" s="1757"/>
      <c r="AB3" s="1758"/>
      <c r="AC3" s="1751"/>
      <c r="AD3" s="1752"/>
      <c r="AE3" s="58" t="s">
        <v>372</v>
      </c>
      <c r="AF3" s="1757"/>
      <c r="AG3" s="1757"/>
      <c r="AH3" s="1777"/>
      <c r="AI3" s="1758"/>
      <c r="AJ3" s="1745"/>
      <c r="AK3" s="396" t="s">
        <v>672</v>
      </c>
      <c r="AL3" s="95"/>
      <c r="AM3" s="74" t="e">
        <f>【様式１】総括表・個票!$AI$3</f>
        <v>#N/A</v>
      </c>
      <c r="AN3" s="96"/>
      <c r="AQ3" s="110"/>
      <c r="AR3" s="97"/>
    </row>
    <row r="4" spans="1:50" ht="15" customHeight="1">
      <c r="A4" s="94"/>
      <c r="B4" s="1761" t="s">
        <v>673</v>
      </c>
      <c r="C4" s="1763" t="s">
        <v>373</v>
      </c>
      <c r="D4" s="1765" t="s">
        <v>374</v>
      </c>
      <c r="E4" s="1766"/>
      <c r="F4" s="397">
        <v>1</v>
      </c>
      <c r="G4" s="397">
        <v>2</v>
      </c>
      <c r="H4" s="397">
        <v>3</v>
      </c>
      <c r="I4" s="397">
        <v>4</v>
      </c>
      <c r="J4" s="397">
        <v>5</v>
      </c>
      <c r="K4" s="397">
        <v>6</v>
      </c>
      <c r="L4" s="397">
        <v>7</v>
      </c>
      <c r="M4" s="397">
        <v>8</v>
      </c>
      <c r="N4" s="397">
        <v>9</v>
      </c>
      <c r="O4" s="397">
        <v>10</v>
      </c>
      <c r="P4" s="397">
        <v>11</v>
      </c>
      <c r="Q4" s="397">
        <v>12</v>
      </c>
      <c r="R4" s="397">
        <v>13</v>
      </c>
      <c r="S4" s="397">
        <v>14</v>
      </c>
      <c r="T4" s="397">
        <v>15</v>
      </c>
      <c r="U4" s="397">
        <v>16</v>
      </c>
      <c r="V4" s="397">
        <v>17</v>
      </c>
      <c r="W4" s="397">
        <v>18</v>
      </c>
      <c r="X4" s="397">
        <v>19</v>
      </c>
      <c r="Y4" s="397">
        <v>20</v>
      </c>
      <c r="Z4" s="397">
        <v>21</v>
      </c>
      <c r="AA4" s="397">
        <v>22</v>
      </c>
      <c r="AB4" s="397">
        <v>23</v>
      </c>
      <c r="AC4" s="397">
        <v>24</v>
      </c>
      <c r="AD4" s="397">
        <v>25</v>
      </c>
      <c r="AE4" s="397">
        <v>26</v>
      </c>
      <c r="AF4" s="397">
        <v>27</v>
      </c>
      <c r="AG4" s="397">
        <v>28</v>
      </c>
      <c r="AH4" s="397" t="e">
        <f>IF(AG4="","",IF(MONTH(DATE($AO$1,$AO$2,AG4+1))=$AO$2,AG4+1,""))</f>
        <v>#VALUE!</v>
      </c>
      <c r="AI4" s="397" t="e">
        <f t="shared" ref="AI4" si="0">IF(AH4="","",IF(MONTH(DATE($AO$1,$AO$2,AH4+1))=$AO$2,AH4+1,""))</f>
        <v>#VALUE!</v>
      </c>
      <c r="AJ4" s="397" t="e">
        <f>IF(AI4="","",IF(MONTH(DATE($AO$1,$AO$2,AI4+1))=$AO$2,AI4+1,""))</f>
        <v>#VALUE!</v>
      </c>
      <c r="AK4" s="1736" t="s">
        <v>15</v>
      </c>
      <c r="AL4" s="98"/>
      <c r="AM4" s="98"/>
      <c r="AN4" s="59"/>
      <c r="AO4" s="59"/>
      <c r="AQ4" s="110"/>
    </row>
    <row r="5" spans="1:50" ht="15" customHeight="1">
      <c r="A5" s="94"/>
      <c r="B5" s="1762"/>
      <c r="C5" s="1764"/>
      <c r="D5" s="1738" t="s">
        <v>674</v>
      </c>
      <c r="E5" s="1739"/>
      <c r="F5" s="398" t="e">
        <f>IF(F4&lt;&gt;"",IF(OR(WEEKDAY(DATE($AO$1,$AO$2,F$4),2)&gt;6,COUNTIF('休日情報(要更新)'!$A$5:$J$32,DATE($AO$1,$AO$2,F$4)) &gt;=1),"○",""),"")</f>
        <v>#VALUE!</v>
      </c>
      <c r="G5" s="398" t="e">
        <f>IF(G4&lt;&gt;"",IF(OR(WEEKDAY(DATE($AO$1,$AO$2,G$4),2)&gt;6,COUNTIF('休日情報(要更新)'!$A$5:$J$32,DATE($AO$1,$AO$2,G$4)) &gt;=1),"○",""),"")</f>
        <v>#VALUE!</v>
      </c>
      <c r="H5" s="398" t="e">
        <f>IF(H4&lt;&gt;"",IF(OR(WEEKDAY(DATE($AO$1,$AO$2,H$4),2)&gt;6,COUNTIF('休日情報(要更新)'!$A$5:$J$32,DATE($AO$1,$AO$2,H$4)) &gt;=1),"○",""),"")</f>
        <v>#VALUE!</v>
      </c>
      <c r="I5" s="398" t="e">
        <f>IF(I4&lt;&gt;"",IF(OR(WEEKDAY(DATE($AO$1,$AO$2,I$4),2)&gt;6,COUNTIF('休日情報(要更新)'!$A$5:$J$32,DATE($AO$1,$AO$2,I$4)) &gt;=1),"○",""),"")</f>
        <v>#VALUE!</v>
      </c>
      <c r="J5" s="398" t="e">
        <f>IF(J4&lt;&gt;"",IF(OR(WEEKDAY(DATE($AO$1,$AO$2,J$4),2)&gt;6,COUNTIF('休日情報(要更新)'!$A$5:$J$32,DATE($AO$1,$AO$2,J$4)) &gt;=1),"○",""),"")</f>
        <v>#VALUE!</v>
      </c>
      <c r="K5" s="398" t="e">
        <f>IF(K4&lt;&gt;"",IF(OR(WEEKDAY(DATE($AO$1,$AO$2,K$4),2)&gt;6,COUNTIF('休日情報(要更新)'!$A$5:$J$32,DATE($AO$1,$AO$2,K$4)) &gt;=1),"○",""),"")</f>
        <v>#VALUE!</v>
      </c>
      <c r="L5" s="398" t="e">
        <f>IF(L4&lt;&gt;"",IF(OR(WEEKDAY(DATE($AO$1,$AO$2,L$4),2)&gt;6,COUNTIF('休日情報(要更新)'!$A$5:$J$32,DATE($AO$1,$AO$2,L$4)) &gt;=1),"○",""),"")</f>
        <v>#VALUE!</v>
      </c>
      <c r="M5" s="398" t="e">
        <f>IF(M4&lt;&gt;"",IF(OR(WEEKDAY(DATE($AO$1,$AO$2,M$4),2)&gt;6,COUNTIF('休日情報(要更新)'!$A$5:$J$32,DATE($AO$1,$AO$2,M$4)) &gt;=1),"○",""),"")</f>
        <v>#VALUE!</v>
      </c>
      <c r="N5" s="398" t="e">
        <f>IF(N4&lt;&gt;"",IF(OR(WEEKDAY(DATE($AO$1,$AO$2,N$4),2)&gt;6,COUNTIF('休日情報(要更新)'!$A$5:$J$32,DATE($AO$1,$AO$2,N$4)) &gt;=1),"○",""),"")</f>
        <v>#VALUE!</v>
      </c>
      <c r="O5" s="398" t="e">
        <f>IF(O4&lt;&gt;"",IF(OR(WEEKDAY(DATE($AO$1,$AO$2,O$4),2)&gt;6,COUNTIF('休日情報(要更新)'!$A$5:$J$32,DATE($AO$1,$AO$2,O$4)) &gt;=1),"○",""),"")</f>
        <v>#VALUE!</v>
      </c>
      <c r="P5" s="398" t="e">
        <f>IF(P4&lt;&gt;"",IF(OR(WEEKDAY(DATE($AO$1,$AO$2,P$4),2)&gt;6,COUNTIF('休日情報(要更新)'!$A$5:$J$32,DATE($AO$1,$AO$2,P$4)) &gt;=1),"○",""),"")</f>
        <v>#VALUE!</v>
      </c>
      <c r="Q5" s="398" t="e">
        <f>IF(Q4&lt;&gt;"",IF(OR(WEEKDAY(DATE($AO$1,$AO$2,Q$4),2)&gt;6,COUNTIF('休日情報(要更新)'!$A$5:$J$32,DATE($AO$1,$AO$2,Q$4)) &gt;=1),"○",""),"")</f>
        <v>#VALUE!</v>
      </c>
      <c r="R5" s="398" t="e">
        <f>IF(R4&lt;&gt;"",IF(OR(WEEKDAY(DATE($AO$1,$AO$2,R$4),2)&gt;6,COUNTIF('休日情報(要更新)'!$A$5:$J$32,DATE($AO$1,$AO$2,R$4)) &gt;=1),"○",""),"")</f>
        <v>#VALUE!</v>
      </c>
      <c r="S5" s="398" t="e">
        <f>IF(S4&lt;&gt;"",IF(OR(WEEKDAY(DATE($AO$1,$AO$2,S$4),2)&gt;6,COUNTIF('休日情報(要更新)'!$A$5:$J$32,DATE($AO$1,$AO$2,S$4)) &gt;=1),"○",""),"")</f>
        <v>#VALUE!</v>
      </c>
      <c r="T5" s="398" t="e">
        <f>IF(T4&lt;&gt;"",IF(OR(WEEKDAY(DATE($AO$1,$AO$2,T$4),2)&gt;6,COUNTIF('休日情報(要更新)'!$A$5:$J$32,DATE($AO$1,$AO$2,T$4)) &gt;=1),"○",""),"")</f>
        <v>#VALUE!</v>
      </c>
      <c r="U5" s="398" t="e">
        <f>IF(U4&lt;&gt;"",IF(OR(WEEKDAY(DATE($AO$1,$AO$2,U$4),2)&gt;6,COUNTIF('休日情報(要更新)'!$A$5:$J$32,DATE($AO$1,$AO$2,U$4)) &gt;=1),"○",""),"")</f>
        <v>#VALUE!</v>
      </c>
      <c r="V5" s="398" t="e">
        <f>IF(V4&lt;&gt;"",IF(OR(WEEKDAY(DATE($AO$1,$AO$2,V$4),2)&gt;6,COUNTIF('休日情報(要更新)'!$A$5:$J$32,DATE($AO$1,$AO$2,V$4)) &gt;=1),"○",""),"")</f>
        <v>#VALUE!</v>
      </c>
      <c r="W5" s="398" t="e">
        <f>IF(W4&lt;&gt;"",IF(OR(WEEKDAY(DATE($AO$1,$AO$2,W$4),2)&gt;6,COUNTIF('休日情報(要更新)'!$A$5:$J$32,DATE($AO$1,$AO$2,W$4)) &gt;=1),"○",""),"")</f>
        <v>#VALUE!</v>
      </c>
      <c r="X5" s="398" t="e">
        <f>IF(X4&lt;&gt;"",IF(OR(WEEKDAY(DATE($AO$1,$AO$2,X$4),2)&gt;6,COUNTIF('休日情報(要更新)'!$A$5:$J$32,DATE($AO$1,$AO$2,X$4)) &gt;=1),"○",""),"")</f>
        <v>#VALUE!</v>
      </c>
      <c r="Y5" s="398" t="e">
        <f>IF(Y4&lt;&gt;"",IF(OR(WEEKDAY(DATE($AO$1,$AO$2,Y$4),2)&gt;6,COUNTIF('休日情報(要更新)'!$A$5:$J$32,DATE($AO$1,$AO$2,Y$4)) &gt;=1),"○",""),"")</f>
        <v>#VALUE!</v>
      </c>
      <c r="Z5" s="398" t="e">
        <f>IF(Z4&lt;&gt;"",IF(OR(WEEKDAY(DATE($AO$1,$AO$2,Z$4),2)&gt;6,COUNTIF('休日情報(要更新)'!$A$5:$J$32,DATE($AO$1,$AO$2,Z$4)) &gt;=1),"○",""),"")</f>
        <v>#VALUE!</v>
      </c>
      <c r="AA5" s="398" t="e">
        <f>IF(AA4&lt;&gt;"",IF(OR(WEEKDAY(DATE($AO$1,$AO$2,AA$4),2)&gt;6,COUNTIF('休日情報(要更新)'!$A$5:$J$32,DATE($AO$1,$AO$2,AA$4)) &gt;=1),"○",""),"")</f>
        <v>#VALUE!</v>
      </c>
      <c r="AB5" s="398" t="e">
        <f>IF(AB4&lt;&gt;"",IF(OR(WEEKDAY(DATE($AO$1,$AO$2,AB$4),2)&gt;6,COUNTIF('休日情報(要更新)'!$A$5:$J$32,DATE($AO$1,$AO$2,AB$4)) &gt;=1),"○",""),"")</f>
        <v>#VALUE!</v>
      </c>
      <c r="AC5" s="398" t="e">
        <f>IF(AC4&lt;&gt;"",IF(OR(WEEKDAY(DATE($AO$1,$AO$2,AC$4),2)&gt;6,COUNTIF('休日情報(要更新)'!$A$5:$J$32,DATE($AO$1,$AO$2,AC$4)) &gt;=1),"○",""),"")</f>
        <v>#VALUE!</v>
      </c>
      <c r="AD5" s="398" t="e">
        <f>IF(AD4&lt;&gt;"",IF(OR(WEEKDAY(DATE($AO$1,$AO$2,AD$4),2)&gt;6,COUNTIF('休日情報(要更新)'!$A$5:$J$32,DATE($AO$1,$AO$2,AD$4)) &gt;=1),"○",""),"")</f>
        <v>#VALUE!</v>
      </c>
      <c r="AE5" s="398" t="e">
        <f>IF(AE4&lt;&gt;"",IF(OR(WEEKDAY(DATE($AO$1,$AO$2,AE$4),2)&gt;6,COUNTIF('休日情報(要更新)'!$A$5:$J$32,DATE($AO$1,$AO$2,AE$4)) &gt;=1),"○",""),"")</f>
        <v>#VALUE!</v>
      </c>
      <c r="AF5" s="398" t="e">
        <f>IF(AF4&lt;&gt;"",IF(OR(WEEKDAY(DATE($AO$1,$AO$2,AF$4),2)&gt;6,COUNTIF('休日情報(要更新)'!$A$5:$J$32,DATE($AO$1,$AO$2,AF$4)) &gt;=1),"○",""),"")</f>
        <v>#VALUE!</v>
      </c>
      <c r="AG5" s="398" t="e">
        <f>IF(AG4&lt;&gt;"",IF(OR(WEEKDAY(DATE($AO$1,$AO$2,AG$4),2)&gt;6,COUNTIF('休日情報(要更新)'!$A$5:$J$32,DATE($AO$1,$AO$2,AG$4)) &gt;=1),"○",""),"")</f>
        <v>#VALUE!</v>
      </c>
      <c r="AH5" s="398" t="e">
        <f>IF(AH4&lt;&gt;"",IF(OR(WEEKDAY(DATE($AO$1,$AO$2,AH$4),2)&gt;6,COUNTIF('休日情報(要更新)'!$A$5:$J$32,DATE($AO$1,$AO$2,AH$4)) &gt;=1),"○",""),"")</f>
        <v>#VALUE!</v>
      </c>
      <c r="AI5" s="398" t="e">
        <f>IF(AI4&lt;&gt;"",IF(OR(WEEKDAY(DATE($AO$1,$AO$2,AI$4),2)&gt;6,COUNTIF('休日情報(要更新)'!$A$5:$J$32,DATE($AO$1,$AO$2,AI$4)) &gt;=1),"○",""),"")</f>
        <v>#VALUE!</v>
      </c>
      <c r="AJ5" s="398" t="e">
        <f>IF(AJ4&lt;&gt;"",IF(OR(WEEKDAY(DATE($AO$1,$AO$2,AJ$4),2)&gt;6,COUNTIF('休日情報(要更新)'!$A$5:$J$32,DATE($AO$1,$AO$2,AJ$4)) &gt;=1),"○",""),"")</f>
        <v>#VALUE!</v>
      </c>
      <c r="AK5" s="1737"/>
      <c r="AL5" s="98"/>
      <c r="AM5" s="98"/>
      <c r="AN5" s="59"/>
      <c r="AO5" s="59"/>
      <c r="AQ5" s="110"/>
    </row>
    <row r="6" spans="1:50" ht="15" customHeight="1" thickBot="1">
      <c r="A6" s="94"/>
      <c r="B6" s="1762"/>
      <c r="C6" s="1745"/>
      <c r="D6" s="1740" t="s">
        <v>375</v>
      </c>
      <c r="E6" s="1741"/>
      <c r="F6" s="790" t="e">
        <f t="shared" ref="F6:AG6" si="1">HLOOKUP(WEEKDAY(DATE($AO$1,$AO$2,F$4)),$AR$1:$AX$2,2,FALSE)</f>
        <v>#VALUE!</v>
      </c>
      <c r="G6" s="790" t="e">
        <f t="shared" si="1"/>
        <v>#VALUE!</v>
      </c>
      <c r="H6" s="790" t="e">
        <f t="shared" si="1"/>
        <v>#VALUE!</v>
      </c>
      <c r="I6" s="790" t="e">
        <f t="shared" si="1"/>
        <v>#VALUE!</v>
      </c>
      <c r="J6" s="790" t="e">
        <f t="shared" si="1"/>
        <v>#VALUE!</v>
      </c>
      <c r="K6" s="790" t="e">
        <f t="shared" si="1"/>
        <v>#VALUE!</v>
      </c>
      <c r="L6" s="790" t="e">
        <f t="shared" si="1"/>
        <v>#VALUE!</v>
      </c>
      <c r="M6" s="790" t="e">
        <f t="shared" si="1"/>
        <v>#VALUE!</v>
      </c>
      <c r="N6" s="790" t="e">
        <f t="shared" si="1"/>
        <v>#VALUE!</v>
      </c>
      <c r="O6" s="790" t="e">
        <f t="shared" si="1"/>
        <v>#VALUE!</v>
      </c>
      <c r="P6" s="790" t="e">
        <f t="shared" si="1"/>
        <v>#VALUE!</v>
      </c>
      <c r="Q6" s="790" t="e">
        <f t="shared" si="1"/>
        <v>#VALUE!</v>
      </c>
      <c r="R6" s="790" t="e">
        <f t="shared" si="1"/>
        <v>#VALUE!</v>
      </c>
      <c r="S6" s="790" t="e">
        <f t="shared" si="1"/>
        <v>#VALUE!</v>
      </c>
      <c r="T6" s="790" t="e">
        <f t="shared" si="1"/>
        <v>#VALUE!</v>
      </c>
      <c r="U6" s="790" t="e">
        <f t="shared" si="1"/>
        <v>#VALUE!</v>
      </c>
      <c r="V6" s="790" t="e">
        <f t="shared" si="1"/>
        <v>#VALUE!</v>
      </c>
      <c r="W6" s="790" t="e">
        <f t="shared" si="1"/>
        <v>#VALUE!</v>
      </c>
      <c r="X6" s="790" t="e">
        <f t="shared" si="1"/>
        <v>#VALUE!</v>
      </c>
      <c r="Y6" s="790" t="e">
        <f t="shared" si="1"/>
        <v>#VALUE!</v>
      </c>
      <c r="Z6" s="790" t="e">
        <f t="shared" si="1"/>
        <v>#VALUE!</v>
      </c>
      <c r="AA6" s="790" t="e">
        <f t="shared" si="1"/>
        <v>#VALUE!</v>
      </c>
      <c r="AB6" s="790" t="e">
        <f t="shared" si="1"/>
        <v>#VALUE!</v>
      </c>
      <c r="AC6" s="790" t="e">
        <f t="shared" si="1"/>
        <v>#VALUE!</v>
      </c>
      <c r="AD6" s="790" t="e">
        <f t="shared" si="1"/>
        <v>#VALUE!</v>
      </c>
      <c r="AE6" s="790" t="e">
        <f t="shared" si="1"/>
        <v>#VALUE!</v>
      </c>
      <c r="AF6" s="790" t="e">
        <f t="shared" si="1"/>
        <v>#VALUE!</v>
      </c>
      <c r="AG6" s="790" t="e">
        <f t="shared" si="1"/>
        <v>#VALUE!</v>
      </c>
      <c r="AH6" s="790" t="e">
        <f>IF(AH4&lt;&gt;"",HLOOKUP(WEEKDAY(DATE($AO$1,$AO$2,AH$4)),$AR$1:$AX$2,2,FALSE),"")</f>
        <v>#VALUE!</v>
      </c>
      <c r="AI6" s="790" t="e">
        <f>IF(AI4&lt;&gt;"",HLOOKUP(WEEKDAY(DATE($AO$1,$AO$2,AI$4)),$AR$1:$AX$2,2,FALSE),"")</f>
        <v>#VALUE!</v>
      </c>
      <c r="AJ6" s="790" t="e">
        <f>IF(AJ4&lt;&gt;"",HLOOKUP(WEEKDAY(DATE($AO$1,$AO$2,AJ$4)),$AR$1:$AX$2,2,FALSE),"")</f>
        <v>#VALUE!</v>
      </c>
      <c r="AK6" s="1737"/>
      <c r="AL6" s="98"/>
      <c r="AM6" s="98"/>
      <c r="AN6" s="59"/>
      <c r="AO6" s="59"/>
      <c r="AQ6" s="110"/>
    </row>
    <row r="7" spans="1:50" ht="15" customHeight="1">
      <c r="A7" s="94"/>
      <c r="B7" s="126">
        <f>ROW()-6</f>
        <v>1</v>
      </c>
      <c r="C7" s="399" t="str">
        <f>IFERROR(INDEX(【様式2】職員名簿!$B$38:$B$137,MATCH($B7,【様式2】職員名簿!$N$38:$N$137,0),1),"")</f>
        <v/>
      </c>
      <c r="D7" s="1742" t="s">
        <v>376</v>
      </c>
      <c r="E7" s="1743"/>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400">
        <f>MIN(SUMIF($F$4:$AJ$4,"&gt;0",F7:AJ7),【様式2】職員名簿!$F$5)</f>
        <v>0</v>
      </c>
      <c r="AL7" s="111"/>
      <c r="AM7" s="111"/>
      <c r="AN7" s="59"/>
      <c r="AO7" s="59"/>
      <c r="AQ7" s="110"/>
    </row>
    <row r="8" spans="1:50" ht="15" customHeight="1">
      <c r="B8" s="128">
        <f t="shared" ref="B8:B106" si="2">ROW()-6</f>
        <v>2</v>
      </c>
      <c r="C8" s="401" t="str">
        <f>IFERROR(INDEX(【様式2】職員名簿!$B$38:$B$137,MATCH($B8,【様式2】職員名簿!$N$38:$N$137,0),1),"")</f>
        <v/>
      </c>
      <c r="D8" s="1734" t="s">
        <v>376</v>
      </c>
      <c r="E8" s="1735"/>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402">
        <f>MIN(SUMIF($F$4:$AJ$4,"&gt;0",F8:AJ8),【様式2】職員名簿!$F$5)</f>
        <v>0</v>
      </c>
    </row>
    <row r="9" spans="1:50" ht="15" customHeight="1">
      <c r="B9" s="128">
        <f t="shared" si="2"/>
        <v>3</v>
      </c>
      <c r="C9" s="401" t="str">
        <f>IFERROR(INDEX(【様式2】職員名簿!$B$38:$B$137,MATCH($B9,【様式2】職員名簿!$N$38:$N$137,0),1),"")</f>
        <v/>
      </c>
      <c r="D9" s="1734" t="s">
        <v>376</v>
      </c>
      <c r="E9" s="1735"/>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c r="AG9" s="129"/>
      <c r="AH9" s="129"/>
      <c r="AI9" s="129"/>
      <c r="AJ9" s="129"/>
      <c r="AK9" s="402">
        <f>MIN(SUMIF($F$4:$AJ$4,"&gt;0",F9:AJ9),【様式2】職員名簿!$F$5)</f>
        <v>0</v>
      </c>
    </row>
    <row r="10" spans="1:50" ht="15" customHeight="1">
      <c r="B10" s="128">
        <f t="shared" si="2"/>
        <v>4</v>
      </c>
      <c r="C10" s="401" t="str">
        <f>IFERROR(INDEX(【様式2】職員名簿!$B$38:$B$137,MATCH($B10,【様式2】職員名簿!$N$38:$N$137,0),1),"")</f>
        <v/>
      </c>
      <c r="D10" s="1734" t="s">
        <v>376</v>
      </c>
      <c r="E10" s="1735"/>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402">
        <f>MIN(SUMIF($F$4:$AJ$4,"&gt;0",F10:AJ10),【様式2】職員名簿!$F$5)</f>
        <v>0</v>
      </c>
    </row>
    <row r="11" spans="1:50" ht="15" customHeight="1">
      <c r="B11" s="128">
        <f t="shared" si="2"/>
        <v>5</v>
      </c>
      <c r="C11" s="401" t="str">
        <f>IFERROR(INDEX(【様式2】職員名簿!$B$38:$B$137,MATCH($B11,【様式2】職員名簿!$N$38:$N$137,0),1),"")</f>
        <v/>
      </c>
      <c r="D11" s="1734" t="s">
        <v>376</v>
      </c>
      <c r="E11" s="1735"/>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402">
        <f>MIN(SUMIF($F$4:$AJ$4,"&gt;0",F11:AJ11),【様式2】職員名簿!$F$5)</f>
        <v>0</v>
      </c>
    </row>
    <row r="12" spans="1:50" ht="15" customHeight="1">
      <c r="B12" s="128">
        <f t="shared" si="2"/>
        <v>6</v>
      </c>
      <c r="C12" s="401" t="str">
        <f>IFERROR(INDEX(【様式2】職員名簿!$B$38:$B$137,MATCH($B12,【様式2】職員名簿!$N$38:$N$137,0),1),"")</f>
        <v/>
      </c>
      <c r="D12" s="1734" t="s">
        <v>376</v>
      </c>
      <c r="E12" s="1735"/>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402">
        <f>MIN(SUMIF($F$4:$AJ$4,"&gt;0",F12:AJ12),【様式2】職員名簿!$F$5)</f>
        <v>0</v>
      </c>
    </row>
    <row r="13" spans="1:50" ht="15" customHeight="1">
      <c r="B13" s="128">
        <f t="shared" si="2"/>
        <v>7</v>
      </c>
      <c r="C13" s="401" t="str">
        <f>IFERROR(INDEX(【様式2】職員名簿!$B$38:$B$137,MATCH($B13,【様式2】職員名簿!$N$38:$N$137,0),1),"")</f>
        <v/>
      </c>
      <c r="D13" s="1734" t="s">
        <v>376</v>
      </c>
      <c r="E13" s="1735"/>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402">
        <f>MIN(SUMIF($F$4:$AJ$4,"&gt;0",F13:AJ13),【様式2】職員名簿!$F$5)</f>
        <v>0</v>
      </c>
    </row>
    <row r="14" spans="1:50" ht="15" customHeight="1">
      <c r="B14" s="128">
        <f t="shared" si="2"/>
        <v>8</v>
      </c>
      <c r="C14" s="401" t="str">
        <f>IFERROR(INDEX(【様式2】職員名簿!$B$38:$B$137,MATCH($B14,【様式2】職員名簿!$N$38:$N$137,0),1),"")</f>
        <v/>
      </c>
      <c r="D14" s="1734" t="s">
        <v>376</v>
      </c>
      <c r="E14" s="1735"/>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402">
        <f>MIN(SUMIF($F$4:$AJ$4,"&gt;0",F14:AJ14),【様式2】職員名簿!$F$5)</f>
        <v>0</v>
      </c>
    </row>
    <row r="15" spans="1:50" ht="15" customHeight="1">
      <c r="B15" s="128">
        <f t="shared" si="2"/>
        <v>9</v>
      </c>
      <c r="C15" s="401" t="str">
        <f>IFERROR(INDEX(【様式2】職員名簿!$B$38:$B$137,MATCH($B15,【様式2】職員名簿!$N$38:$N$137,0),1),"")</f>
        <v/>
      </c>
      <c r="D15" s="1734" t="s">
        <v>376</v>
      </c>
      <c r="E15" s="1735"/>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402">
        <f>MIN(SUMIF($F$4:$AJ$4,"&gt;0",F15:AJ15),【様式2】職員名簿!$F$5)</f>
        <v>0</v>
      </c>
    </row>
    <row r="16" spans="1:50" ht="15" customHeight="1">
      <c r="B16" s="128">
        <f t="shared" si="2"/>
        <v>10</v>
      </c>
      <c r="C16" s="401" t="str">
        <f>IFERROR(INDEX(【様式2】職員名簿!$B$38:$B$137,MATCH($B16,【様式2】職員名簿!$N$38:$N$137,0),1),"")</f>
        <v/>
      </c>
      <c r="D16" s="1734" t="s">
        <v>376</v>
      </c>
      <c r="E16" s="1735"/>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402">
        <f>MIN(SUMIF($F$4:$AJ$4,"&gt;0",F16:AJ16),【様式2】職員名簿!$F$5)</f>
        <v>0</v>
      </c>
    </row>
    <row r="17" spans="2:37" ht="15" customHeight="1">
      <c r="B17" s="128">
        <f t="shared" si="2"/>
        <v>11</v>
      </c>
      <c r="C17" s="401" t="str">
        <f>IFERROR(INDEX(【様式2】職員名簿!$B$38:$B$137,MATCH($B17,【様式2】職員名簿!$N$38:$N$137,0),1),"")</f>
        <v/>
      </c>
      <c r="D17" s="1734" t="s">
        <v>376</v>
      </c>
      <c r="E17" s="1735"/>
      <c r="F17" s="129"/>
      <c r="G17" s="129"/>
      <c r="H17" s="129"/>
      <c r="I17" s="129"/>
      <c r="J17" s="129"/>
      <c r="K17" s="129"/>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402">
        <f>MIN(SUMIF($F$4:$AJ$4,"&gt;0",F17:AJ17),【様式2】職員名簿!$F$5)</f>
        <v>0</v>
      </c>
    </row>
    <row r="18" spans="2:37" ht="15" customHeight="1">
      <c r="B18" s="128">
        <f t="shared" si="2"/>
        <v>12</v>
      </c>
      <c r="C18" s="401" t="str">
        <f>IFERROR(INDEX(【様式2】職員名簿!$B$38:$B$137,MATCH($B18,【様式2】職員名簿!$N$38:$N$137,0),1),"")</f>
        <v/>
      </c>
      <c r="D18" s="1734" t="s">
        <v>376</v>
      </c>
      <c r="E18" s="1735"/>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402">
        <f>MIN(SUMIF($F$4:$AJ$4,"&gt;0",F18:AJ18),【様式2】職員名簿!$F$5)</f>
        <v>0</v>
      </c>
    </row>
    <row r="19" spans="2:37" ht="15" customHeight="1">
      <c r="B19" s="128">
        <f t="shared" si="2"/>
        <v>13</v>
      </c>
      <c r="C19" s="401" t="str">
        <f>IFERROR(INDEX(【様式2】職員名簿!$B$38:$B$137,MATCH($B19,【様式2】職員名簿!$N$38:$N$137,0),1),"")</f>
        <v/>
      </c>
      <c r="D19" s="1734" t="s">
        <v>376</v>
      </c>
      <c r="E19" s="1735"/>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402">
        <f>MIN(SUMIF($F$4:$AJ$4,"&gt;0",F19:AJ19),【様式2】職員名簿!$F$5)</f>
        <v>0</v>
      </c>
    </row>
    <row r="20" spans="2:37" ht="15" customHeight="1">
      <c r="B20" s="128">
        <f t="shared" si="2"/>
        <v>14</v>
      </c>
      <c r="C20" s="401" t="str">
        <f>IFERROR(INDEX(【様式2】職員名簿!$B$38:$B$137,MATCH($B20,【様式2】職員名簿!$N$38:$N$137,0),1),"")</f>
        <v/>
      </c>
      <c r="D20" s="1734" t="s">
        <v>376</v>
      </c>
      <c r="E20" s="1735"/>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402">
        <f>MIN(SUMIF($F$4:$AJ$4,"&gt;0",F20:AJ20),【様式2】職員名簿!$F$5)</f>
        <v>0</v>
      </c>
    </row>
    <row r="21" spans="2:37" ht="15" customHeight="1">
      <c r="B21" s="128">
        <f t="shared" si="2"/>
        <v>15</v>
      </c>
      <c r="C21" s="401" t="str">
        <f>IFERROR(INDEX(【様式2】職員名簿!$B$38:$B$137,MATCH($B21,【様式2】職員名簿!$N$38:$N$137,0),1),"")</f>
        <v/>
      </c>
      <c r="D21" s="1734" t="s">
        <v>376</v>
      </c>
      <c r="E21" s="1735"/>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402">
        <f>MIN(SUMIF($F$4:$AJ$4,"&gt;0",F21:AJ21),【様式2】職員名簿!$F$5)</f>
        <v>0</v>
      </c>
    </row>
    <row r="22" spans="2:37" ht="15" customHeight="1">
      <c r="B22" s="128">
        <f t="shared" si="2"/>
        <v>16</v>
      </c>
      <c r="C22" s="401" t="str">
        <f>IFERROR(INDEX(【様式2】職員名簿!$B$38:$B$137,MATCH($B22,【様式2】職員名簿!$N$38:$N$137,0),1),"")</f>
        <v/>
      </c>
      <c r="D22" s="1734" t="s">
        <v>376</v>
      </c>
      <c r="E22" s="1735"/>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402">
        <f>MIN(SUMIF($F$4:$AJ$4,"&gt;0",F22:AJ22),【様式2】職員名簿!$F$5)</f>
        <v>0</v>
      </c>
    </row>
    <row r="23" spans="2:37" ht="15" customHeight="1">
      <c r="B23" s="128">
        <f t="shared" si="2"/>
        <v>17</v>
      </c>
      <c r="C23" s="401" t="str">
        <f>IFERROR(INDEX(【様式2】職員名簿!$B$38:$B$137,MATCH($B23,【様式2】職員名簿!$N$38:$N$137,0),1),"")</f>
        <v/>
      </c>
      <c r="D23" s="1734" t="s">
        <v>376</v>
      </c>
      <c r="E23" s="1735"/>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402">
        <f>MIN(SUMIF($F$4:$AJ$4,"&gt;0",F23:AJ23),【様式2】職員名簿!$F$5)</f>
        <v>0</v>
      </c>
    </row>
    <row r="24" spans="2:37" ht="15" customHeight="1">
      <c r="B24" s="128">
        <f t="shared" si="2"/>
        <v>18</v>
      </c>
      <c r="C24" s="401" t="str">
        <f>IFERROR(INDEX(【様式2】職員名簿!$B$38:$B$137,MATCH($B24,【様式2】職員名簿!$N$38:$N$137,0),1),"")</f>
        <v/>
      </c>
      <c r="D24" s="1734" t="s">
        <v>376</v>
      </c>
      <c r="E24" s="1735"/>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29"/>
      <c r="AI24" s="129"/>
      <c r="AJ24" s="129"/>
      <c r="AK24" s="402">
        <f>MIN(SUMIF($F$4:$AJ$4,"&gt;0",F24:AJ24),【様式2】職員名簿!$F$5)</f>
        <v>0</v>
      </c>
    </row>
    <row r="25" spans="2:37" ht="15" customHeight="1">
      <c r="B25" s="128">
        <f t="shared" si="2"/>
        <v>19</v>
      </c>
      <c r="C25" s="401" t="str">
        <f>IFERROR(INDEX(【様式2】職員名簿!$B$38:$B$137,MATCH($B25,【様式2】職員名簿!$N$38:$N$137,0),1),"")</f>
        <v/>
      </c>
      <c r="D25" s="1734" t="s">
        <v>376</v>
      </c>
      <c r="E25" s="1735"/>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29"/>
      <c r="AI25" s="129"/>
      <c r="AJ25" s="129"/>
      <c r="AK25" s="402">
        <f>MIN(SUMIF($F$4:$AJ$4,"&gt;0",F25:AJ25),【様式2】職員名簿!$F$5)</f>
        <v>0</v>
      </c>
    </row>
    <row r="26" spans="2:37" ht="15" customHeight="1">
      <c r="B26" s="128">
        <f t="shared" si="2"/>
        <v>20</v>
      </c>
      <c r="C26" s="401" t="str">
        <f>IFERROR(INDEX(【様式2】職員名簿!$B$38:$B$137,MATCH($B26,【様式2】職員名簿!$N$38:$N$137,0),1),"")</f>
        <v/>
      </c>
      <c r="D26" s="1734" t="s">
        <v>376</v>
      </c>
      <c r="E26" s="1735"/>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402">
        <f>MIN(SUMIF($F$4:$AJ$4,"&gt;0",F26:AJ26),【様式2】職員名簿!$F$5)</f>
        <v>0</v>
      </c>
    </row>
    <row r="27" spans="2:37" ht="15" customHeight="1">
      <c r="B27" s="128">
        <f t="shared" si="2"/>
        <v>21</v>
      </c>
      <c r="C27" s="401" t="str">
        <f>IFERROR(INDEX(【様式2】職員名簿!$B$38:$B$137,MATCH($B27,【様式2】職員名簿!$N$38:$N$137,0),1),"")</f>
        <v/>
      </c>
      <c r="D27" s="1734" t="s">
        <v>376</v>
      </c>
      <c r="E27" s="1735"/>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402">
        <f>MIN(SUMIF($F$4:$AJ$4,"&gt;0",F27:AJ27),【様式2】職員名簿!$F$5)</f>
        <v>0</v>
      </c>
    </row>
    <row r="28" spans="2:37" ht="15" customHeight="1">
      <c r="B28" s="128">
        <f t="shared" si="2"/>
        <v>22</v>
      </c>
      <c r="C28" s="401" t="str">
        <f>IFERROR(INDEX(【様式2】職員名簿!$B$38:$B$137,MATCH($B28,【様式2】職員名簿!$N$38:$N$137,0),1),"")</f>
        <v/>
      </c>
      <c r="D28" s="1734" t="s">
        <v>376</v>
      </c>
      <c r="E28" s="1735"/>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402">
        <f>MIN(SUMIF($F$4:$AJ$4,"&gt;0",F28:AJ28),【様式2】職員名簿!$F$5)</f>
        <v>0</v>
      </c>
    </row>
    <row r="29" spans="2:37" ht="15" customHeight="1">
      <c r="B29" s="128">
        <f t="shared" si="2"/>
        <v>23</v>
      </c>
      <c r="C29" s="401" t="str">
        <f>IFERROR(INDEX(【様式2】職員名簿!$B$38:$B$137,MATCH($B29,【様式2】職員名簿!$N$38:$N$137,0),1),"")</f>
        <v/>
      </c>
      <c r="D29" s="1734" t="s">
        <v>376</v>
      </c>
      <c r="E29" s="1735"/>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402">
        <f>MIN(SUMIF($F$4:$AJ$4,"&gt;0",F29:AJ29),【様式2】職員名簿!$F$5)</f>
        <v>0</v>
      </c>
    </row>
    <row r="30" spans="2:37" ht="15" customHeight="1">
      <c r="B30" s="128">
        <f t="shared" si="2"/>
        <v>24</v>
      </c>
      <c r="C30" s="401" t="str">
        <f>IFERROR(INDEX(【様式2】職員名簿!$B$38:$B$137,MATCH($B30,【様式2】職員名簿!$N$38:$N$137,0),1),"")</f>
        <v/>
      </c>
      <c r="D30" s="1734" t="s">
        <v>376</v>
      </c>
      <c r="E30" s="1735"/>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402">
        <f>MIN(SUMIF($F$4:$AJ$4,"&gt;0",F30:AJ30),【様式2】職員名簿!$F$5)</f>
        <v>0</v>
      </c>
    </row>
    <row r="31" spans="2:37" ht="15" customHeight="1">
      <c r="B31" s="128">
        <f t="shared" si="2"/>
        <v>25</v>
      </c>
      <c r="C31" s="401" t="str">
        <f>IFERROR(INDEX(【様式2】職員名簿!$B$38:$B$137,MATCH($B31,【様式2】職員名簿!$N$38:$N$137,0),1),"")</f>
        <v/>
      </c>
      <c r="D31" s="1734" t="s">
        <v>376</v>
      </c>
      <c r="E31" s="1735"/>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129"/>
      <c r="AJ31" s="129"/>
      <c r="AK31" s="402">
        <f>MIN(SUMIF($F$4:$AJ$4,"&gt;0",F31:AJ31),【様式2】職員名簿!$F$5)</f>
        <v>0</v>
      </c>
    </row>
    <row r="32" spans="2:37" ht="15" customHeight="1">
      <c r="B32" s="128">
        <f t="shared" si="2"/>
        <v>26</v>
      </c>
      <c r="C32" s="401" t="str">
        <f>IFERROR(INDEX(【様式2】職員名簿!$B$38:$B$137,MATCH($B32,【様式2】職員名簿!$N$38:$N$137,0),1),"")</f>
        <v/>
      </c>
      <c r="D32" s="1734" t="s">
        <v>376</v>
      </c>
      <c r="E32" s="1735"/>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402">
        <f>MIN(SUMIF($F$4:$AJ$4,"&gt;0",F32:AJ32),【様式2】職員名簿!$F$5)</f>
        <v>0</v>
      </c>
    </row>
    <row r="33" spans="2:37" ht="15" customHeight="1">
      <c r="B33" s="128">
        <f t="shared" si="2"/>
        <v>27</v>
      </c>
      <c r="C33" s="401" t="str">
        <f>IFERROR(INDEX(【様式2】職員名簿!$B$38:$B$137,MATCH($B33,【様式2】職員名簿!$N$38:$N$137,0),1),"")</f>
        <v/>
      </c>
      <c r="D33" s="1734" t="s">
        <v>376</v>
      </c>
      <c r="E33" s="1735"/>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402">
        <f>MIN(SUMIF($F$4:$AJ$4,"&gt;0",F33:AJ33),【様式2】職員名簿!$F$5)</f>
        <v>0</v>
      </c>
    </row>
    <row r="34" spans="2:37" ht="15" customHeight="1">
      <c r="B34" s="128">
        <f t="shared" si="2"/>
        <v>28</v>
      </c>
      <c r="C34" s="401" t="str">
        <f>IFERROR(INDEX(【様式2】職員名簿!$B$38:$B$137,MATCH($B34,【様式2】職員名簿!$N$38:$N$137,0),1),"")</f>
        <v/>
      </c>
      <c r="D34" s="1734" t="s">
        <v>376</v>
      </c>
      <c r="E34" s="1735"/>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402">
        <f>MIN(SUMIF($F$4:$AJ$4,"&gt;0",F34:AJ34),【様式2】職員名簿!$F$5)</f>
        <v>0</v>
      </c>
    </row>
    <row r="35" spans="2:37" ht="15" customHeight="1">
      <c r="B35" s="128">
        <f t="shared" si="2"/>
        <v>29</v>
      </c>
      <c r="C35" s="401" t="str">
        <f>IFERROR(INDEX(【様式2】職員名簿!$B$38:$B$137,MATCH($B35,【様式2】職員名簿!$N$38:$N$137,0),1),"")</f>
        <v/>
      </c>
      <c r="D35" s="1734" t="s">
        <v>376</v>
      </c>
      <c r="E35" s="1735"/>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402">
        <f>MIN(SUMIF($F$4:$AJ$4,"&gt;0",F35:AJ35),【様式2】職員名簿!$F$5)</f>
        <v>0</v>
      </c>
    </row>
    <row r="36" spans="2:37" ht="15" customHeight="1">
      <c r="B36" s="128">
        <f t="shared" si="2"/>
        <v>30</v>
      </c>
      <c r="C36" s="401" t="str">
        <f>IFERROR(INDEX(【様式2】職員名簿!$B$38:$B$137,MATCH($B36,【様式2】職員名簿!$N$38:$N$137,0),1),"")</f>
        <v/>
      </c>
      <c r="D36" s="1734" t="s">
        <v>376</v>
      </c>
      <c r="E36" s="1735"/>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402">
        <f>MIN(SUMIF($F$4:$AJ$4,"&gt;0",F36:AJ36),【様式2】職員名簿!$F$5)</f>
        <v>0</v>
      </c>
    </row>
    <row r="37" spans="2:37" ht="15" customHeight="1">
      <c r="B37" s="128">
        <f t="shared" si="2"/>
        <v>31</v>
      </c>
      <c r="C37" s="401" t="str">
        <f>IFERROR(INDEX(【様式2】職員名簿!$B$38:$B$137,MATCH($B37,【様式2】職員名簿!$N$38:$N$137,0),1),"")</f>
        <v/>
      </c>
      <c r="D37" s="1734" t="s">
        <v>376</v>
      </c>
      <c r="E37" s="1735"/>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402">
        <f>MIN(SUMIF($F$4:$AJ$4,"&gt;0",F37:AJ37),【様式2】職員名簿!$F$5)</f>
        <v>0</v>
      </c>
    </row>
    <row r="38" spans="2:37" ht="15" customHeight="1">
      <c r="B38" s="128">
        <f t="shared" si="2"/>
        <v>32</v>
      </c>
      <c r="C38" s="401" t="str">
        <f>IFERROR(INDEX(【様式2】職員名簿!$B$38:$B$137,MATCH($B38,【様式2】職員名簿!$N$38:$N$137,0),1),"")</f>
        <v/>
      </c>
      <c r="D38" s="1734" t="s">
        <v>376</v>
      </c>
      <c r="E38" s="1735"/>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402">
        <f>MIN(SUMIF($F$4:$AJ$4,"&gt;0",F38:AJ38),【様式2】職員名簿!$F$5)</f>
        <v>0</v>
      </c>
    </row>
    <row r="39" spans="2:37" ht="15" customHeight="1">
      <c r="B39" s="128">
        <f t="shared" si="2"/>
        <v>33</v>
      </c>
      <c r="C39" s="401" t="str">
        <f>IFERROR(INDEX(【様式2】職員名簿!$B$38:$B$137,MATCH($B39,【様式2】職員名簿!$N$38:$N$137,0),1),"")</f>
        <v/>
      </c>
      <c r="D39" s="1734" t="s">
        <v>376</v>
      </c>
      <c r="E39" s="1735"/>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402">
        <f>MIN(SUMIF($F$4:$AJ$4,"&gt;0",F39:AJ39),【様式2】職員名簿!$F$5)</f>
        <v>0</v>
      </c>
    </row>
    <row r="40" spans="2:37" ht="15" customHeight="1">
      <c r="B40" s="128">
        <f t="shared" si="2"/>
        <v>34</v>
      </c>
      <c r="C40" s="401" t="str">
        <f>IFERROR(INDEX(【様式2】職員名簿!$B$38:$B$137,MATCH($B40,【様式2】職員名簿!$N$38:$N$137,0),1),"")</f>
        <v/>
      </c>
      <c r="D40" s="1734" t="s">
        <v>376</v>
      </c>
      <c r="E40" s="1735"/>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402">
        <f>MIN(SUMIF($F$4:$AJ$4,"&gt;0",F40:AJ40),【様式2】職員名簿!$F$5)</f>
        <v>0</v>
      </c>
    </row>
    <row r="41" spans="2:37" ht="15" customHeight="1">
      <c r="B41" s="128">
        <f t="shared" si="2"/>
        <v>35</v>
      </c>
      <c r="C41" s="401" t="str">
        <f>IFERROR(INDEX(【様式2】職員名簿!$B$38:$B$137,MATCH($B41,【様式2】職員名簿!$N$38:$N$137,0),1),"")</f>
        <v/>
      </c>
      <c r="D41" s="1734" t="s">
        <v>376</v>
      </c>
      <c r="E41" s="1735"/>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c r="AK41" s="402">
        <f>MIN(SUMIF($F$4:$AJ$4,"&gt;0",F41:AJ41),【様式2】職員名簿!$F$5)</f>
        <v>0</v>
      </c>
    </row>
    <row r="42" spans="2:37" ht="15" customHeight="1">
      <c r="B42" s="128">
        <f t="shared" si="2"/>
        <v>36</v>
      </c>
      <c r="C42" s="401" t="str">
        <f>IFERROR(INDEX(【様式2】職員名簿!$B$38:$B$137,MATCH($B42,【様式2】職員名簿!$N$38:$N$137,0),1),"")</f>
        <v/>
      </c>
      <c r="D42" s="1734" t="s">
        <v>376</v>
      </c>
      <c r="E42" s="1735"/>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402">
        <f>MIN(SUMIF($F$4:$AJ$4,"&gt;0",F42:AJ42),【様式2】職員名簿!$F$5)</f>
        <v>0</v>
      </c>
    </row>
    <row r="43" spans="2:37" ht="15" customHeight="1">
      <c r="B43" s="128">
        <f t="shared" si="2"/>
        <v>37</v>
      </c>
      <c r="C43" s="401" t="str">
        <f>IFERROR(INDEX(【様式2】職員名簿!$B$38:$B$137,MATCH($B43,【様式2】職員名簿!$N$38:$N$137,0),1),"")</f>
        <v/>
      </c>
      <c r="D43" s="1734" t="s">
        <v>376</v>
      </c>
      <c r="E43" s="1735"/>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402">
        <f>MIN(SUMIF($F$4:$AJ$4,"&gt;0",F43:AJ43),【様式2】職員名簿!$F$5)</f>
        <v>0</v>
      </c>
    </row>
    <row r="44" spans="2:37" ht="15" customHeight="1">
      <c r="B44" s="128">
        <f t="shared" si="2"/>
        <v>38</v>
      </c>
      <c r="C44" s="401" t="str">
        <f>IFERROR(INDEX(【様式2】職員名簿!$B$38:$B$137,MATCH($B44,【様式2】職員名簿!$N$38:$N$137,0),1),"")</f>
        <v/>
      </c>
      <c r="D44" s="1734" t="s">
        <v>376</v>
      </c>
      <c r="E44" s="1735"/>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402">
        <f>MIN(SUMIF($F$4:$AJ$4,"&gt;0",F44:AJ44),【様式2】職員名簿!$F$5)</f>
        <v>0</v>
      </c>
    </row>
    <row r="45" spans="2:37" ht="15" customHeight="1">
      <c r="B45" s="128">
        <f t="shared" si="2"/>
        <v>39</v>
      </c>
      <c r="C45" s="401" t="str">
        <f>IFERROR(INDEX(【様式2】職員名簿!$B$38:$B$137,MATCH($B45,【様式2】職員名簿!$N$38:$N$137,0),1),"")</f>
        <v/>
      </c>
      <c r="D45" s="1734" t="s">
        <v>376</v>
      </c>
      <c r="E45" s="1735"/>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402">
        <f>MIN(SUMIF($F$4:$AJ$4,"&gt;0",F45:AJ45),【様式2】職員名簿!$F$5)</f>
        <v>0</v>
      </c>
    </row>
    <row r="46" spans="2:37" ht="15" customHeight="1">
      <c r="B46" s="128">
        <f t="shared" si="2"/>
        <v>40</v>
      </c>
      <c r="C46" s="401" t="str">
        <f>IFERROR(INDEX(【様式2】職員名簿!$B$38:$B$137,MATCH($B46,【様式2】職員名簿!$N$38:$N$137,0),1),"")</f>
        <v/>
      </c>
      <c r="D46" s="1734" t="s">
        <v>376</v>
      </c>
      <c r="E46" s="1735"/>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402">
        <f>MIN(SUMIF($F$4:$AJ$4,"&gt;0",F46:AJ46),【様式2】職員名簿!$F$5)</f>
        <v>0</v>
      </c>
    </row>
    <row r="47" spans="2:37" ht="15" customHeight="1">
      <c r="B47" s="128">
        <f t="shared" si="2"/>
        <v>41</v>
      </c>
      <c r="C47" s="401" t="str">
        <f>IFERROR(INDEX(【様式2】職員名簿!$B$38:$B$137,MATCH($B47,【様式2】職員名簿!$N$38:$N$137,0),1),"")</f>
        <v/>
      </c>
      <c r="D47" s="1734" t="s">
        <v>376</v>
      </c>
      <c r="E47" s="1735"/>
      <c r="F47" s="129"/>
      <c r="G47" s="129"/>
      <c r="H47" s="129"/>
      <c r="I47" s="129"/>
      <c r="J47" s="129"/>
      <c r="K47" s="129"/>
      <c r="L47" s="129"/>
      <c r="M47" s="129"/>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c r="AK47" s="402">
        <f>MIN(SUMIF($F$4:$AJ$4,"&gt;0",F47:AJ47),【様式2】職員名簿!$F$5)</f>
        <v>0</v>
      </c>
    </row>
    <row r="48" spans="2:37" ht="15" customHeight="1">
      <c r="B48" s="128">
        <f t="shared" si="2"/>
        <v>42</v>
      </c>
      <c r="C48" s="401" t="str">
        <f>IFERROR(INDEX(【様式2】職員名簿!$B$38:$B$137,MATCH($B48,【様式2】職員名簿!$N$38:$N$137,0),1),"")</f>
        <v/>
      </c>
      <c r="D48" s="1734" t="s">
        <v>376</v>
      </c>
      <c r="E48" s="1735"/>
      <c r="F48" s="129"/>
      <c r="G48" s="129"/>
      <c r="H48" s="129"/>
      <c r="I48" s="129"/>
      <c r="J48" s="129"/>
      <c r="K48" s="129"/>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402">
        <f>MIN(SUMIF($F$4:$AJ$4,"&gt;0",F48:AJ48),【様式2】職員名簿!$F$5)</f>
        <v>0</v>
      </c>
    </row>
    <row r="49" spans="2:37" ht="15" customHeight="1">
      <c r="B49" s="128">
        <f t="shared" si="2"/>
        <v>43</v>
      </c>
      <c r="C49" s="401" t="str">
        <f>IFERROR(INDEX(【様式2】職員名簿!$B$38:$B$137,MATCH($B49,【様式2】職員名簿!$N$38:$N$137,0),1),"")</f>
        <v/>
      </c>
      <c r="D49" s="1734" t="s">
        <v>376</v>
      </c>
      <c r="E49" s="1735"/>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c r="AK49" s="402">
        <f>MIN(SUMIF($F$4:$AJ$4,"&gt;0",F49:AJ49),【様式2】職員名簿!$F$5)</f>
        <v>0</v>
      </c>
    </row>
    <row r="50" spans="2:37" ht="15" customHeight="1">
      <c r="B50" s="128">
        <f t="shared" si="2"/>
        <v>44</v>
      </c>
      <c r="C50" s="401" t="str">
        <f>IFERROR(INDEX(【様式2】職員名簿!$B$38:$B$137,MATCH($B50,【様式2】職員名簿!$N$38:$N$137,0),1),"")</f>
        <v/>
      </c>
      <c r="D50" s="1734" t="s">
        <v>376</v>
      </c>
      <c r="E50" s="1735"/>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402">
        <f>MIN(SUMIF($F$4:$AJ$4,"&gt;0",F50:AJ50),【様式2】職員名簿!$F$5)</f>
        <v>0</v>
      </c>
    </row>
    <row r="51" spans="2:37" ht="15" customHeight="1">
      <c r="B51" s="128">
        <f t="shared" si="2"/>
        <v>45</v>
      </c>
      <c r="C51" s="401" t="str">
        <f>IFERROR(INDEX(【様式2】職員名簿!$B$38:$B$137,MATCH($B51,【様式2】職員名簿!$N$38:$N$137,0),1),"")</f>
        <v/>
      </c>
      <c r="D51" s="1734" t="s">
        <v>376</v>
      </c>
      <c r="E51" s="1735"/>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c r="AJ51" s="129"/>
      <c r="AK51" s="402">
        <f>MIN(SUMIF($F$4:$AJ$4,"&gt;0",F51:AJ51),【様式2】職員名簿!$F$5)</f>
        <v>0</v>
      </c>
    </row>
    <row r="52" spans="2:37" ht="15" customHeight="1">
      <c r="B52" s="128">
        <f t="shared" si="2"/>
        <v>46</v>
      </c>
      <c r="C52" s="401" t="str">
        <f>IFERROR(INDEX(【様式2】職員名簿!$B$38:$B$137,MATCH($B52,【様式2】職員名簿!$N$38:$N$137,0),1),"")</f>
        <v/>
      </c>
      <c r="D52" s="1734" t="s">
        <v>376</v>
      </c>
      <c r="E52" s="1735"/>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402">
        <f>MIN(SUMIF($F$4:$AJ$4,"&gt;0",F52:AJ52),【様式2】職員名簿!$F$5)</f>
        <v>0</v>
      </c>
    </row>
    <row r="53" spans="2:37" ht="15" customHeight="1">
      <c r="B53" s="128">
        <f t="shared" si="2"/>
        <v>47</v>
      </c>
      <c r="C53" s="401" t="str">
        <f>IFERROR(INDEX(【様式2】職員名簿!$B$38:$B$137,MATCH($B53,【様式2】職員名簿!$N$38:$N$137,0),1),"")</f>
        <v/>
      </c>
      <c r="D53" s="1734" t="s">
        <v>376</v>
      </c>
      <c r="E53" s="1735"/>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402">
        <f>MIN(SUMIF($F$4:$AJ$4,"&gt;0",F53:AJ53),【様式2】職員名簿!$F$5)</f>
        <v>0</v>
      </c>
    </row>
    <row r="54" spans="2:37" ht="15" customHeight="1">
      <c r="B54" s="128">
        <f t="shared" si="2"/>
        <v>48</v>
      </c>
      <c r="C54" s="401" t="str">
        <f>IFERROR(INDEX(【様式2】職員名簿!$B$38:$B$137,MATCH($B54,【様式2】職員名簿!$N$38:$N$137,0),1),"")</f>
        <v/>
      </c>
      <c r="D54" s="1734" t="s">
        <v>376</v>
      </c>
      <c r="E54" s="1735"/>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402">
        <f>MIN(SUMIF($F$4:$AJ$4,"&gt;0",F54:AJ54),【様式2】職員名簿!$F$5)</f>
        <v>0</v>
      </c>
    </row>
    <row r="55" spans="2:37" ht="15" customHeight="1">
      <c r="B55" s="128">
        <f t="shared" si="2"/>
        <v>49</v>
      </c>
      <c r="C55" s="401" t="str">
        <f>IFERROR(INDEX(【様式2】職員名簿!$B$38:$B$137,MATCH($B55,【様式2】職員名簿!$N$38:$N$137,0),1),"")</f>
        <v/>
      </c>
      <c r="D55" s="1734" t="s">
        <v>376</v>
      </c>
      <c r="E55" s="1735"/>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402">
        <f>MIN(SUMIF($F$4:$AJ$4,"&gt;0",F55:AJ55),【様式2】職員名簿!$F$5)</f>
        <v>0</v>
      </c>
    </row>
    <row r="56" spans="2:37" ht="15" customHeight="1">
      <c r="B56" s="128">
        <f t="shared" si="2"/>
        <v>50</v>
      </c>
      <c r="C56" s="401" t="str">
        <f>IFERROR(INDEX(【様式2】職員名簿!$B$38:$B$137,MATCH($B56,【様式2】職員名簿!$N$38:$N$137,0),1),"")</f>
        <v/>
      </c>
      <c r="D56" s="1734" t="s">
        <v>376</v>
      </c>
      <c r="E56" s="1735"/>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402">
        <f>MIN(SUMIF($F$4:$AJ$4,"&gt;0",F56:AJ56),【様式2】職員名簿!$F$5)</f>
        <v>0</v>
      </c>
    </row>
    <row r="57" spans="2:37" ht="15" customHeight="1">
      <c r="B57" s="128">
        <f t="shared" si="2"/>
        <v>51</v>
      </c>
      <c r="C57" s="401" t="str">
        <f>IFERROR(INDEX(【様式2】職員名簿!$B$38:$B$137,MATCH($B57,【様式2】職員名簿!$N$38:$N$137,0),1),"")</f>
        <v/>
      </c>
      <c r="D57" s="1734" t="s">
        <v>376</v>
      </c>
      <c r="E57" s="1735"/>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402">
        <f>MIN(SUMIF($F$4:$AJ$4,"&gt;0",F57:AJ57),【様式2】職員名簿!$F$5)</f>
        <v>0</v>
      </c>
    </row>
    <row r="58" spans="2:37" ht="15" customHeight="1">
      <c r="B58" s="128">
        <f t="shared" si="2"/>
        <v>52</v>
      </c>
      <c r="C58" s="401" t="str">
        <f>IFERROR(INDEX(【様式2】職員名簿!$B$38:$B$137,MATCH($B58,【様式2】職員名簿!$N$38:$N$137,0),1),"")</f>
        <v/>
      </c>
      <c r="D58" s="1734" t="s">
        <v>376</v>
      </c>
      <c r="E58" s="1735"/>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402">
        <f>MIN(SUMIF($F$4:$AJ$4,"&gt;0",F58:AJ58),【様式2】職員名簿!$F$5)</f>
        <v>0</v>
      </c>
    </row>
    <row r="59" spans="2:37" ht="15" customHeight="1">
      <c r="B59" s="128">
        <f t="shared" si="2"/>
        <v>53</v>
      </c>
      <c r="C59" s="401" t="str">
        <f>IFERROR(INDEX(【様式2】職員名簿!$B$38:$B$137,MATCH($B59,【様式2】職員名簿!$N$38:$N$137,0),1),"")</f>
        <v/>
      </c>
      <c r="D59" s="1734" t="s">
        <v>376</v>
      </c>
      <c r="E59" s="1735"/>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402">
        <f>MIN(SUMIF($F$4:$AJ$4,"&gt;0",F59:AJ59),【様式2】職員名簿!$F$5)</f>
        <v>0</v>
      </c>
    </row>
    <row r="60" spans="2:37" ht="15" customHeight="1">
      <c r="B60" s="128">
        <f t="shared" si="2"/>
        <v>54</v>
      </c>
      <c r="C60" s="401" t="str">
        <f>IFERROR(INDEX(【様式2】職員名簿!$B$38:$B$137,MATCH($B60,【様式2】職員名簿!$N$38:$N$137,0),1),"")</f>
        <v/>
      </c>
      <c r="D60" s="1734" t="s">
        <v>376</v>
      </c>
      <c r="E60" s="1735"/>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c r="AI60" s="129"/>
      <c r="AJ60" s="129"/>
      <c r="AK60" s="402">
        <f>MIN(SUMIF($F$4:$AJ$4,"&gt;0",F60:AJ60),【様式2】職員名簿!$F$5)</f>
        <v>0</v>
      </c>
    </row>
    <row r="61" spans="2:37" ht="15" customHeight="1">
      <c r="B61" s="128">
        <f t="shared" si="2"/>
        <v>55</v>
      </c>
      <c r="C61" s="401" t="str">
        <f>IFERROR(INDEX(【様式2】職員名簿!$B$38:$B$137,MATCH($B61,【様式2】職員名簿!$N$38:$N$137,0),1),"")</f>
        <v/>
      </c>
      <c r="D61" s="1734" t="s">
        <v>376</v>
      </c>
      <c r="E61" s="1735"/>
      <c r="F61" s="129"/>
      <c r="G61" s="129"/>
      <c r="H61" s="129"/>
      <c r="I61" s="129"/>
      <c r="J61" s="129"/>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c r="AI61" s="129"/>
      <c r="AJ61" s="129"/>
      <c r="AK61" s="402">
        <f>MIN(SUMIF($F$4:$AJ$4,"&gt;0",F61:AJ61),【様式2】職員名簿!$F$5)</f>
        <v>0</v>
      </c>
    </row>
    <row r="62" spans="2:37" ht="15" customHeight="1">
      <c r="B62" s="128">
        <f t="shared" si="2"/>
        <v>56</v>
      </c>
      <c r="C62" s="401" t="str">
        <f>IFERROR(INDEX(【様式2】職員名簿!$B$38:$B$137,MATCH($B62,【様式2】職員名簿!$N$38:$N$137,0),1),"")</f>
        <v/>
      </c>
      <c r="D62" s="1734" t="s">
        <v>376</v>
      </c>
      <c r="E62" s="1735"/>
      <c r="F62" s="129"/>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c r="AI62" s="129"/>
      <c r="AJ62" s="129"/>
      <c r="AK62" s="402">
        <f>MIN(SUMIF($F$4:$AJ$4,"&gt;0",F62:AJ62),【様式2】職員名簿!$F$5)</f>
        <v>0</v>
      </c>
    </row>
    <row r="63" spans="2:37" ht="15" customHeight="1">
      <c r="B63" s="128">
        <f t="shared" si="2"/>
        <v>57</v>
      </c>
      <c r="C63" s="401" t="str">
        <f>IFERROR(INDEX(【様式2】職員名簿!$B$38:$B$137,MATCH($B63,【様式2】職員名簿!$N$38:$N$137,0),1),"")</f>
        <v/>
      </c>
      <c r="D63" s="1734" t="s">
        <v>376</v>
      </c>
      <c r="E63" s="1735"/>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129"/>
      <c r="AK63" s="402">
        <f>MIN(SUMIF($F$4:$AJ$4,"&gt;0",F63:AJ63),【様式2】職員名簿!$F$5)</f>
        <v>0</v>
      </c>
    </row>
    <row r="64" spans="2:37" ht="15" customHeight="1">
      <c r="B64" s="128">
        <f t="shared" si="2"/>
        <v>58</v>
      </c>
      <c r="C64" s="401" t="str">
        <f>IFERROR(INDEX(【様式2】職員名簿!$B$38:$B$137,MATCH($B64,【様式2】職員名簿!$N$38:$N$137,0),1),"")</f>
        <v/>
      </c>
      <c r="D64" s="1734" t="s">
        <v>376</v>
      </c>
      <c r="E64" s="1735"/>
      <c r="F64" s="129"/>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29"/>
      <c r="AI64" s="129"/>
      <c r="AJ64" s="129"/>
      <c r="AK64" s="402">
        <f>MIN(SUMIF($F$4:$AJ$4,"&gt;0",F64:AJ64),【様式2】職員名簿!$F$5)</f>
        <v>0</v>
      </c>
    </row>
    <row r="65" spans="2:37" ht="15" customHeight="1">
      <c r="B65" s="128">
        <f t="shared" si="2"/>
        <v>59</v>
      </c>
      <c r="C65" s="401" t="str">
        <f>IFERROR(INDEX(【様式2】職員名簿!$B$38:$B$137,MATCH($B65,【様式2】職員名簿!$N$38:$N$137,0),1),"")</f>
        <v/>
      </c>
      <c r="D65" s="1734" t="s">
        <v>376</v>
      </c>
      <c r="E65" s="1735"/>
      <c r="F65" s="129"/>
      <c r="G65" s="129"/>
      <c r="H65" s="129"/>
      <c r="I65" s="129"/>
      <c r="J65" s="129"/>
      <c r="K65" s="129"/>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c r="AI65" s="129"/>
      <c r="AJ65" s="129"/>
      <c r="AK65" s="402">
        <f>MIN(SUMIF($F$4:$AJ$4,"&gt;0",F65:AJ65),【様式2】職員名簿!$F$5)</f>
        <v>0</v>
      </c>
    </row>
    <row r="66" spans="2:37" ht="15" customHeight="1">
      <c r="B66" s="128">
        <f t="shared" si="2"/>
        <v>60</v>
      </c>
      <c r="C66" s="401" t="str">
        <f>IFERROR(INDEX(【様式2】職員名簿!$B$38:$B$137,MATCH($B66,【様式2】職員名簿!$N$38:$N$137,0),1),"")</f>
        <v/>
      </c>
      <c r="D66" s="1734" t="s">
        <v>376</v>
      </c>
      <c r="E66" s="1735"/>
      <c r="F66" s="129"/>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29"/>
      <c r="AE66" s="129"/>
      <c r="AF66" s="129"/>
      <c r="AG66" s="129"/>
      <c r="AH66" s="129"/>
      <c r="AI66" s="129"/>
      <c r="AJ66" s="129"/>
      <c r="AK66" s="402">
        <f>MIN(SUMIF($F$4:$AJ$4,"&gt;0",F66:AJ66),【様式2】職員名簿!$F$5)</f>
        <v>0</v>
      </c>
    </row>
    <row r="67" spans="2:37" ht="15" customHeight="1">
      <c r="B67" s="128">
        <f t="shared" si="2"/>
        <v>61</v>
      </c>
      <c r="C67" s="401" t="str">
        <f>IFERROR(INDEX(【様式2】職員名簿!$B$38:$B$137,MATCH($B67,【様式2】職員名簿!$N$38:$N$137,0),1),"")</f>
        <v/>
      </c>
      <c r="D67" s="1734" t="s">
        <v>376</v>
      </c>
      <c r="E67" s="1735"/>
      <c r="F67" s="129"/>
      <c r="G67" s="129"/>
      <c r="H67" s="129"/>
      <c r="I67" s="129"/>
      <c r="J67" s="129"/>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29"/>
      <c r="AJ67" s="129"/>
      <c r="AK67" s="402">
        <f>MIN(SUMIF($F$4:$AJ$4,"&gt;0",F67:AJ67),【様式2】職員名簿!$F$5)</f>
        <v>0</v>
      </c>
    </row>
    <row r="68" spans="2:37" ht="15" customHeight="1">
      <c r="B68" s="128">
        <f t="shared" si="2"/>
        <v>62</v>
      </c>
      <c r="C68" s="401" t="str">
        <f>IFERROR(INDEX(【様式2】職員名簿!$B$38:$B$137,MATCH($B68,【様式2】職員名簿!$N$38:$N$137,0),1),"")</f>
        <v/>
      </c>
      <c r="D68" s="1734" t="s">
        <v>376</v>
      </c>
      <c r="E68" s="1735"/>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402">
        <f>MIN(SUMIF($F$4:$AJ$4,"&gt;0",F68:AJ68),【様式2】職員名簿!$F$5)</f>
        <v>0</v>
      </c>
    </row>
    <row r="69" spans="2:37" ht="15" customHeight="1">
      <c r="B69" s="128">
        <f t="shared" si="2"/>
        <v>63</v>
      </c>
      <c r="C69" s="401" t="str">
        <f>IFERROR(INDEX(【様式2】職員名簿!$B$38:$B$137,MATCH($B69,【様式2】職員名簿!$N$38:$N$137,0),1),"")</f>
        <v/>
      </c>
      <c r="D69" s="1734" t="s">
        <v>376</v>
      </c>
      <c r="E69" s="1735"/>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c r="AK69" s="402">
        <f>MIN(SUMIF($F$4:$AJ$4,"&gt;0",F69:AJ69),【様式2】職員名簿!$F$5)</f>
        <v>0</v>
      </c>
    </row>
    <row r="70" spans="2:37" ht="15" customHeight="1">
      <c r="B70" s="128">
        <f t="shared" si="2"/>
        <v>64</v>
      </c>
      <c r="C70" s="401" t="str">
        <f>IFERROR(INDEX(【様式2】職員名簿!$B$38:$B$137,MATCH($B70,【様式2】職員名簿!$N$38:$N$137,0),1),"")</f>
        <v/>
      </c>
      <c r="D70" s="1734" t="s">
        <v>376</v>
      </c>
      <c r="E70" s="1735"/>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c r="AI70" s="129"/>
      <c r="AJ70" s="129"/>
      <c r="AK70" s="402">
        <f>MIN(SUMIF($F$4:$AJ$4,"&gt;0",F70:AJ70),【様式2】職員名簿!$F$5)</f>
        <v>0</v>
      </c>
    </row>
    <row r="71" spans="2:37" ht="15" customHeight="1">
      <c r="B71" s="128">
        <f t="shared" si="2"/>
        <v>65</v>
      </c>
      <c r="C71" s="401" t="str">
        <f>IFERROR(INDEX(【様式2】職員名簿!$B$38:$B$137,MATCH($B71,【様式2】職員名簿!$N$38:$N$137,0),1),"")</f>
        <v/>
      </c>
      <c r="D71" s="1734" t="s">
        <v>376</v>
      </c>
      <c r="E71" s="1735"/>
      <c r="F71" s="129"/>
      <c r="G71" s="129"/>
      <c r="H71" s="129"/>
      <c r="I71" s="129"/>
      <c r="J71" s="129"/>
      <c r="K71" s="129"/>
      <c r="L71" s="129"/>
      <c r="M71" s="129"/>
      <c r="N71" s="129"/>
      <c r="O71" s="129"/>
      <c r="P71" s="129"/>
      <c r="Q71" s="129"/>
      <c r="R71" s="129"/>
      <c r="S71" s="129"/>
      <c r="T71" s="129"/>
      <c r="U71" s="129"/>
      <c r="V71" s="129"/>
      <c r="W71" s="129"/>
      <c r="X71" s="129"/>
      <c r="Y71" s="129"/>
      <c r="Z71" s="129"/>
      <c r="AA71" s="129"/>
      <c r="AB71" s="129"/>
      <c r="AC71" s="129"/>
      <c r="AD71" s="129"/>
      <c r="AE71" s="129"/>
      <c r="AF71" s="129"/>
      <c r="AG71" s="129"/>
      <c r="AH71" s="129"/>
      <c r="AI71" s="129"/>
      <c r="AJ71" s="129"/>
      <c r="AK71" s="402">
        <f>MIN(SUMIF($F$4:$AJ$4,"&gt;0",F71:AJ71),【様式2】職員名簿!$F$5)</f>
        <v>0</v>
      </c>
    </row>
    <row r="72" spans="2:37" ht="15" customHeight="1">
      <c r="B72" s="128">
        <f t="shared" si="2"/>
        <v>66</v>
      </c>
      <c r="C72" s="401" t="str">
        <f>IFERROR(INDEX(【様式2】職員名簿!$B$38:$B$137,MATCH($B72,【様式2】職員名簿!$N$38:$N$137,0),1),"")</f>
        <v/>
      </c>
      <c r="D72" s="1734" t="s">
        <v>376</v>
      </c>
      <c r="E72" s="1735"/>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c r="AK72" s="402">
        <f>MIN(SUMIF($F$4:$AJ$4,"&gt;0",F72:AJ72),【様式2】職員名簿!$F$5)</f>
        <v>0</v>
      </c>
    </row>
    <row r="73" spans="2:37" ht="15" customHeight="1">
      <c r="B73" s="128">
        <f t="shared" si="2"/>
        <v>67</v>
      </c>
      <c r="C73" s="401" t="str">
        <f>IFERROR(INDEX(【様式2】職員名簿!$B$38:$B$137,MATCH($B73,【様式2】職員名簿!$N$38:$N$137,0),1),"")</f>
        <v/>
      </c>
      <c r="D73" s="1734" t="s">
        <v>376</v>
      </c>
      <c r="E73" s="1735"/>
      <c r="F73" s="129"/>
      <c r="G73" s="129"/>
      <c r="H73" s="129"/>
      <c r="I73" s="129"/>
      <c r="J73" s="129"/>
      <c r="K73" s="129"/>
      <c r="L73" s="129"/>
      <c r="M73" s="129"/>
      <c r="N73" s="129"/>
      <c r="O73" s="129"/>
      <c r="P73" s="129"/>
      <c r="Q73" s="129"/>
      <c r="R73" s="129"/>
      <c r="S73" s="129"/>
      <c r="T73" s="129"/>
      <c r="U73" s="129"/>
      <c r="V73" s="129"/>
      <c r="W73" s="129"/>
      <c r="X73" s="129"/>
      <c r="Y73" s="129"/>
      <c r="Z73" s="129"/>
      <c r="AA73" s="129"/>
      <c r="AB73" s="129"/>
      <c r="AC73" s="129"/>
      <c r="AD73" s="129"/>
      <c r="AE73" s="129"/>
      <c r="AF73" s="129"/>
      <c r="AG73" s="129"/>
      <c r="AH73" s="129"/>
      <c r="AI73" s="129"/>
      <c r="AJ73" s="129"/>
      <c r="AK73" s="402">
        <f>MIN(SUMIF($F$4:$AJ$4,"&gt;0",F73:AJ73),【様式2】職員名簿!$F$5)</f>
        <v>0</v>
      </c>
    </row>
    <row r="74" spans="2:37" ht="15" customHeight="1">
      <c r="B74" s="128">
        <f t="shared" si="2"/>
        <v>68</v>
      </c>
      <c r="C74" s="401" t="str">
        <f>IFERROR(INDEX(【様式2】職員名簿!$B$38:$B$137,MATCH($B74,【様式2】職員名簿!$N$38:$N$137,0),1),"")</f>
        <v/>
      </c>
      <c r="D74" s="1734" t="s">
        <v>376</v>
      </c>
      <c r="E74" s="1735"/>
      <c r="F74" s="129"/>
      <c r="G74" s="129"/>
      <c r="H74" s="129"/>
      <c r="I74" s="129"/>
      <c r="J74" s="129"/>
      <c r="K74" s="129"/>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29"/>
      <c r="AI74" s="129"/>
      <c r="AJ74" s="129"/>
      <c r="AK74" s="402">
        <f>MIN(SUMIF($F$4:$AJ$4,"&gt;0",F74:AJ74),【様式2】職員名簿!$F$5)</f>
        <v>0</v>
      </c>
    </row>
    <row r="75" spans="2:37" ht="15" customHeight="1">
      <c r="B75" s="128">
        <f t="shared" si="2"/>
        <v>69</v>
      </c>
      <c r="C75" s="401" t="str">
        <f>IFERROR(INDEX(【様式2】職員名簿!$B$38:$B$137,MATCH($B75,【様式2】職員名簿!$N$38:$N$137,0),1),"")</f>
        <v/>
      </c>
      <c r="D75" s="1734" t="s">
        <v>376</v>
      </c>
      <c r="E75" s="1735"/>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402">
        <f>MIN(SUMIF($F$4:$AJ$4,"&gt;0",F75:AJ75),【様式2】職員名簿!$F$5)</f>
        <v>0</v>
      </c>
    </row>
    <row r="76" spans="2:37" ht="15" customHeight="1">
      <c r="B76" s="128">
        <f t="shared" si="2"/>
        <v>70</v>
      </c>
      <c r="C76" s="401" t="str">
        <f>IFERROR(INDEX(【様式2】職員名簿!$B$38:$B$137,MATCH($B76,【様式2】職員名簿!$N$38:$N$137,0),1),"")</f>
        <v/>
      </c>
      <c r="D76" s="1734" t="s">
        <v>376</v>
      </c>
      <c r="E76" s="1735"/>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29"/>
      <c r="AI76" s="129"/>
      <c r="AJ76" s="129"/>
      <c r="AK76" s="402">
        <f>MIN(SUMIF($F$4:$AJ$4,"&gt;0",F76:AJ76),【様式2】職員名簿!$F$5)</f>
        <v>0</v>
      </c>
    </row>
    <row r="77" spans="2:37" ht="15" customHeight="1">
      <c r="B77" s="128">
        <f t="shared" si="2"/>
        <v>71</v>
      </c>
      <c r="C77" s="401" t="str">
        <f>IFERROR(INDEX(【様式2】職員名簿!$B$38:$B$137,MATCH($B77,【様式2】職員名簿!$N$38:$N$137,0),1),"")</f>
        <v/>
      </c>
      <c r="D77" s="1734" t="s">
        <v>376</v>
      </c>
      <c r="E77" s="1735"/>
      <c r="F77" s="129"/>
      <c r="G77" s="129"/>
      <c r="H77" s="129"/>
      <c r="I77" s="129"/>
      <c r="J77" s="129"/>
      <c r="K77" s="129"/>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c r="AK77" s="402">
        <f>MIN(SUMIF($F$4:$AJ$4,"&gt;0",F77:AJ77),【様式2】職員名簿!$F$5)</f>
        <v>0</v>
      </c>
    </row>
    <row r="78" spans="2:37" ht="15" customHeight="1">
      <c r="B78" s="128">
        <f t="shared" si="2"/>
        <v>72</v>
      </c>
      <c r="C78" s="401" t="str">
        <f>IFERROR(INDEX(【様式2】職員名簿!$B$38:$B$137,MATCH($B78,【様式2】職員名簿!$N$38:$N$137,0),1),"")</f>
        <v/>
      </c>
      <c r="D78" s="1734" t="s">
        <v>376</v>
      </c>
      <c r="E78" s="1735"/>
      <c r="F78" s="129"/>
      <c r="G78" s="129"/>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129"/>
      <c r="AI78" s="129"/>
      <c r="AJ78" s="129"/>
      <c r="AK78" s="402">
        <f>MIN(SUMIF($F$4:$AJ$4,"&gt;0",F78:AJ78),【様式2】職員名簿!$F$5)</f>
        <v>0</v>
      </c>
    </row>
    <row r="79" spans="2:37" ht="15" customHeight="1">
      <c r="B79" s="128">
        <f t="shared" si="2"/>
        <v>73</v>
      </c>
      <c r="C79" s="401" t="str">
        <f>IFERROR(INDEX(【様式2】職員名簿!$B$38:$B$137,MATCH($B79,【様式2】職員名簿!$N$38:$N$137,0),1),"")</f>
        <v/>
      </c>
      <c r="D79" s="1734" t="s">
        <v>376</v>
      </c>
      <c r="E79" s="1735"/>
      <c r="F79" s="129"/>
      <c r="G79" s="129"/>
      <c r="H79" s="129"/>
      <c r="I79" s="129"/>
      <c r="J79" s="129"/>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c r="AI79" s="129"/>
      <c r="AJ79" s="129"/>
      <c r="AK79" s="402">
        <f>MIN(SUMIF($F$4:$AJ$4,"&gt;0",F79:AJ79),【様式2】職員名簿!$F$5)</f>
        <v>0</v>
      </c>
    </row>
    <row r="80" spans="2:37" ht="15" customHeight="1">
      <c r="B80" s="128">
        <f t="shared" si="2"/>
        <v>74</v>
      </c>
      <c r="C80" s="401" t="str">
        <f>IFERROR(INDEX(【様式2】職員名簿!$B$38:$B$137,MATCH($B80,【様式2】職員名簿!$N$38:$N$137,0),1),"")</f>
        <v/>
      </c>
      <c r="D80" s="1734" t="s">
        <v>376</v>
      </c>
      <c r="E80" s="1735"/>
      <c r="F80" s="129"/>
      <c r="G80" s="129"/>
      <c r="H80" s="129"/>
      <c r="I80" s="129"/>
      <c r="J80" s="129"/>
      <c r="K80" s="129"/>
      <c r="L80" s="129"/>
      <c r="M80" s="129"/>
      <c r="N80" s="129"/>
      <c r="O80" s="129"/>
      <c r="P80" s="129"/>
      <c r="Q80" s="129"/>
      <c r="R80" s="129"/>
      <c r="S80" s="129"/>
      <c r="T80" s="129"/>
      <c r="U80" s="129"/>
      <c r="V80" s="129"/>
      <c r="W80" s="129"/>
      <c r="X80" s="129"/>
      <c r="Y80" s="129"/>
      <c r="Z80" s="129"/>
      <c r="AA80" s="129"/>
      <c r="AB80" s="129"/>
      <c r="AC80" s="129"/>
      <c r="AD80" s="129"/>
      <c r="AE80" s="129"/>
      <c r="AF80" s="129"/>
      <c r="AG80" s="129"/>
      <c r="AH80" s="129"/>
      <c r="AI80" s="129"/>
      <c r="AJ80" s="129"/>
      <c r="AK80" s="402">
        <f>MIN(SUMIF($F$4:$AJ$4,"&gt;0",F80:AJ80),【様式2】職員名簿!$F$5)</f>
        <v>0</v>
      </c>
    </row>
    <row r="81" spans="2:37" ht="15" customHeight="1">
      <c r="B81" s="128">
        <f t="shared" si="2"/>
        <v>75</v>
      </c>
      <c r="C81" s="401" t="str">
        <f>IFERROR(INDEX(【様式2】職員名簿!$B$38:$B$137,MATCH($B81,【様式2】職員名簿!$N$38:$N$137,0),1),"")</f>
        <v/>
      </c>
      <c r="D81" s="1734" t="s">
        <v>376</v>
      </c>
      <c r="E81" s="1735"/>
      <c r="F81" s="129"/>
      <c r="G81" s="129"/>
      <c r="H81" s="129"/>
      <c r="I81" s="129"/>
      <c r="J81" s="129"/>
      <c r="K81" s="129"/>
      <c r="L81" s="129"/>
      <c r="M81" s="129"/>
      <c r="N81" s="129"/>
      <c r="O81" s="129"/>
      <c r="P81" s="129"/>
      <c r="Q81" s="129"/>
      <c r="R81" s="129"/>
      <c r="S81" s="129"/>
      <c r="T81" s="129"/>
      <c r="U81" s="129"/>
      <c r="V81" s="129"/>
      <c r="W81" s="129"/>
      <c r="X81" s="129"/>
      <c r="Y81" s="129"/>
      <c r="Z81" s="129"/>
      <c r="AA81" s="129"/>
      <c r="AB81" s="129"/>
      <c r="AC81" s="129"/>
      <c r="AD81" s="129"/>
      <c r="AE81" s="129"/>
      <c r="AF81" s="129"/>
      <c r="AG81" s="129"/>
      <c r="AH81" s="129"/>
      <c r="AI81" s="129"/>
      <c r="AJ81" s="129"/>
      <c r="AK81" s="402">
        <f>MIN(SUMIF($F$4:$AJ$4,"&gt;0",F81:AJ81),【様式2】職員名簿!$F$5)</f>
        <v>0</v>
      </c>
    </row>
    <row r="82" spans="2:37" ht="15" customHeight="1">
      <c r="B82" s="128">
        <f t="shared" si="2"/>
        <v>76</v>
      </c>
      <c r="C82" s="401" t="str">
        <f>IFERROR(INDEX(【様式2】職員名簿!$B$38:$B$137,MATCH($B82,【様式2】職員名簿!$N$38:$N$137,0),1),"")</f>
        <v/>
      </c>
      <c r="D82" s="1734" t="s">
        <v>376</v>
      </c>
      <c r="E82" s="1735"/>
      <c r="F82" s="129"/>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402">
        <f>MIN(SUMIF($F$4:$AJ$4,"&gt;0",F82:AJ82),【様式2】職員名簿!$F$5)</f>
        <v>0</v>
      </c>
    </row>
    <row r="83" spans="2:37" ht="15" customHeight="1">
      <c r="B83" s="128">
        <f t="shared" si="2"/>
        <v>77</v>
      </c>
      <c r="C83" s="401" t="str">
        <f>IFERROR(INDEX(【様式2】職員名簿!$B$38:$B$137,MATCH($B83,【様式2】職員名簿!$N$38:$N$137,0),1),"")</f>
        <v/>
      </c>
      <c r="D83" s="1734" t="s">
        <v>376</v>
      </c>
      <c r="E83" s="1735"/>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402">
        <f>MIN(SUMIF($F$4:$AJ$4,"&gt;0",F83:AJ83),【様式2】職員名簿!$F$5)</f>
        <v>0</v>
      </c>
    </row>
    <row r="84" spans="2:37" ht="15" customHeight="1">
      <c r="B84" s="128">
        <f t="shared" si="2"/>
        <v>78</v>
      </c>
      <c r="C84" s="401" t="str">
        <f>IFERROR(INDEX(【様式2】職員名簿!$B$38:$B$137,MATCH($B84,【様式2】職員名簿!$N$38:$N$137,0),1),"")</f>
        <v/>
      </c>
      <c r="D84" s="1734" t="s">
        <v>376</v>
      </c>
      <c r="E84" s="1735"/>
      <c r="F84" s="129"/>
      <c r="G84" s="129"/>
      <c r="H84" s="129"/>
      <c r="I84" s="129"/>
      <c r="J84" s="129"/>
      <c r="K84" s="129"/>
      <c r="L84" s="129"/>
      <c r="M84" s="129"/>
      <c r="N84" s="129"/>
      <c r="O84" s="129"/>
      <c r="P84" s="129"/>
      <c r="Q84" s="129"/>
      <c r="R84" s="129"/>
      <c r="S84" s="129"/>
      <c r="T84" s="129"/>
      <c r="U84" s="129"/>
      <c r="V84" s="129"/>
      <c r="W84" s="129"/>
      <c r="X84" s="129"/>
      <c r="Y84" s="129"/>
      <c r="Z84" s="129"/>
      <c r="AA84" s="129"/>
      <c r="AB84" s="129"/>
      <c r="AC84" s="129"/>
      <c r="AD84" s="129"/>
      <c r="AE84" s="129"/>
      <c r="AF84" s="129"/>
      <c r="AG84" s="129"/>
      <c r="AH84" s="129"/>
      <c r="AI84" s="129"/>
      <c r="AJ84" s="129"/>
      <c r="AK84" s="402">
        <f>MIN(SUMIF($F$4:$AJ$4,"&gt;0",F84:AJ84),【様式2】職員名簿!$F$5)</f>
        <v>0</v>
      </c>
    </row>
    <row r="85" spans="2:37" ht="15" customHeight="1">
      <c r="B85" s="128">
        <f t="shared" si="2"/>
        <v>79</v>
      </c>
      <c r="C85" s="401" t="str">
        <f>IFERROR(INDEX(【様式2】職員名簿!$B$38:$B$137,MATCH($B85,【様式2】職員名簿!$N$38:$N$137,0),1),"")</f>
        <v/>
      </c>
      <c r="D85" s="1734" t="s">
        <v>376</v>
      </c>
      <c r="E85" s="1735"/>
      <c r="F85" s="129"/>
      <c r="G85" s="129"/>
      <c r="H85" s="129"/>
      <c r="I85" s="129"/>
      <c r="J85" s="129"/>
      <c r="K85" s="129"/>
      <c r="L85" s="129"/>
      <c r="M85" s="129"/>
      <c r="N85" s="129"/>
      <c r="O85" s="129"/>
      <c r="P85" s="129"/>
      <c r="Q85" s="129"/>
      <c r="R85" s="129"/>
      <c r="S85" s="129"/>
      <c r="T85" s="129"/>
      <c r="U85" s="129"/>
      <c r="V85" s="129"/>
      <c r="W85" s="129"/>
      <c r="X85" s="129"/>
      <c r="Y85" s="129"/>
      <c r="Z85" s="129"/>
      <c r="AA85" s="129"/>
      <c r="AB85" s="129"/>
      <c r="AC85" s="129"/>
      <c r="AD85" s="129"/>
      <c r="AE85" s="129"/>
      <c r="AF85" s="129"/>
      <c r="AG85" s="129"/>
      <c r="AH85" s="129"/>
      <c r="AI85" s="129"/>
      <c r="AJ85" s="129"/>
      <c r="AK85" s="402">
        <f>MIN(SUMIF($F$4:$AJ$4,"&gt;0",F85:AJ85),【様式2】職員名簿!$F$5)</f>
        <v>0</v>
      </c>
    </row>
    <row r="86" spans="2:37" ht="15" customHeight="1">
      <c r="B86" s="128">
        <f t="shared" si="2"/>
        <v>80</v>
      </c>
      <c r="C86" s="401" t="str">
        <f>IFERROR(INDEX(【様式2】職員名簿!$B$38:$B$137,MATCH($B86,【様式2】職員名簿!$N$38:$N$137,0),1),"")</f>
        <v/>
      </c>
      <c r="D86" s="1734" t="s">
        <v>376</v>
      </c>
      <c r="E86" s="1735"/>
      <c r="F86" s="129"/>
      <c r="G86" s="129"/>
      <c r="H86" s="129"/>
      <c r="I86" s="129"/>
      <c r="J86" s="129"/>
      <c r="K86" s="129"/>
      <c r="L86" s="129"/>
      <c r="M86" s="129"/>
      <c r="N86" s="129"/>
      <c r="O86" s="129"/>
      <c r="P86" s="129"/>
      <c r="Q86" s="129"/>
      <c r="R86" s="129"/>
      <c r="S86" s="129"/>
      <c r="T86" s="129"/>
      <c r="U86" s="129"/>
      <c r="V86" s="129"/>
      <c r="W86" s="129"/>
      <c r="X86" s="129"/>
      <c r="Y86" s="129"/>
      <c r="Z86" s="129"/>
      <c r="AA86" s="129"/>
      <c r="AB86" s="129"/>
      <c r="AC86" s="129"/>
      <c r="AD86" s="129"/>
      <c r="AE86" s="129"/>
      <c r="AF86" s="129"/>
      <c r="AG86" s="129"/>
      <c r="AH86" s="129"/>
      <c r="AI86" s="129"/>
      <c r="AJ86" s="129"/>
      <c r="AK86" s="402">
        <f>MIN(SUMIF($F$4:$AJ$4,"&gt;0",F86:AJ86),【様式2】職員名簿!$F$5)</f>
        <v>0</v>
      </c>
    </row>
    <row r="87" spans="2:37" ht="15" customHeight="1">
      <c r="B87" s="128">
        <f t="shared" si="2"/>
        <v>81</v>
      </c>
      <c r="C87" s="401" t="str">
        <f>IFERROR(INDEX(【様式2】職員名簿!$B$38:$B$137,MATCH($B87,【様式2】職員名簿!$N$38:$N$137,0),1),"")</f>
        <v/>
      </c>
      <c r="D87" s="1734" t="s">
        <v>376</v>
      </c>
      <c r="E87" s="1735"/>
      <c r="F87" s="129"/>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c r="AK87" s="402">
        <f>MIN(SUMIF($F$4:$AJ$4,"&gt;0",F87:AJ87),【様式2】職員名簿!$F$5)</f>
        <v>0</v>
      </c>
    </row>
    <row r="88" spans="2:37" ht="15" customHeight="1">
      <c r="B88" s="128">
        <f t="shared" si="2"/>
        <v>82</v>
      </c>
      <c r="C88" s="401" t="str">
        <f>IFERROR(INDEX(【様式2】職員名簿!$B$38:$B$137,MATCH($B88,【様式2】職員名簿!$N$38:$N$137,0),1),"")</f>
        <v/>
      </c>
      <c r="D88" s="1734" t="s">
        <v>376</v>
      </c>
      <c r="E88" s="1735"/>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402">
        <f>MIN(SUMIF($F$4:$AJ$4,"&gt;0",F88:AJ88),【様式2】職員名簿!$F$5)</f>
        <v>0</v>
      </c>
    </row>
    <row r="89" spans="2:37" ht="15" customHeight="1">
      <c r="B89" s="128">
        <f t="shared" si="2"/>
        <v>83</v>
      </c>
      <c r="C89" s="401" t="str">
        <f>IFERROR(INDEX(【様式2】職員名簿!$B$38:$B$137,MATCH($B89,【様式2】職員名簿!$N$38:$N$137,0),1),"")</f>
        <v/>
      </c>
      <c r="D89" s="1734" t="s">
        <v>376</v>
      </c>
      <c r="E89" s="1735"/>
      <c r="F89" s="129"/>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29"/>
      <c r="AJ89" s="129"/>
      <c r="AK89" s="402">
        <f>MIN(SUMIF($F$4:$AJ$4,"&gt;0",F89:AJ89),【様式2】職員名簿!$F$5)</f>
        <v>0</v>
      </c>
    </row>
    <row r="90" spans="2:37" ht="15" customHeight="1">
      <c r="B90" s="128">
        <f t="shared" si="2"/>
        <v>84</v>
      </c>
      <c r="C90" s="401" t="str">
        <f>IFERROR(INDEX(【様式2】職員名簿!$B$38:$B$137,MATCH($B90,【様式2】職員名簿!$N$38:$N$137,0),1),"")</f>
        <v/>
      </c>
      <c r="D90" s="1734" t="s">
        <v>376</v>
      </c>
      <c r="E90" s="1735"/>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c r="AK90" s="402">
        <f>MIN(SUMIF($F$4:$AJ$4,"&gt;0",F90:AJ90),【様式2】職員名簿!$F$5)</f>
        <v>0</v>
      </c>
    </row>
    <row r="91" spans="2:37" ht="15" customHeight="1">
      <c r="B91" s="128">
        <f t="shared" si="2"/>
        <v>85</v>
      </c>
      <c r="C91" s="401" t="str">
        <f>IFERROR(INDEX(【様式2】職員名簿!$B$38:$B$137,MATCH($B91,【様式2】職員名簿!$N$38:$N$137,0),1),"")</f>
        <v/>
      </c>
      <c r="D91" s="1734" t="s">
        <v>376</v>
      </c>
      <c r="E91" s="1735"/>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402">
        <f>MIN(SUMIF($F$4:$AJ$4,"&gt;0",F91:AJ91),【様式2】職員名簿!$F$5)</f>
        <v>0</v>
      </c>
    </row>
    <row r="92" spans="2:37" ht="15" customHeight="1">
      <c r="B92" s="128">
        <f t="shared" si="2"/>
        <v>86</v>
      </c>
      <c r="C92" s="401" t="str">
        <f>IFERROR(INDEX(【様式2】職員名簿!$B$38:$B$137,MATCH($B92,【様式2】職員名簿!$N$38:$N$137,0),1),"")</f>
        <v/>
      </c>
      <c r="D92" s="1734" t="s">
        <v>376</v>
      </c>
      <c r="E92" s="1735"/>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402">
        <f>MIN(SUMIF($F$4:$AJ$4,"&gt;0",F92:AJ92),【様式2】職員名簿!$F$5)</f>
        <v>0</v>
      </c>
    </row>
    <row r="93" spans="2:37" ht="15" customHeight="1">
      <c r="B93" s="128">
        <f t="shared" si="2"/>
        <v>87</v>
      </c>
      <c r="C93" s="401" t="str">
        <f>IFERROR(INDEX(【様式2】職員名簿!$B$38:$B$137,MATCH($B93,【様式2】職員名簿!$N$38:$N$137,0),1),"")</f>
        <v/>
      </c>
      <c r="D93" s="1734" t="s">
        <v>376</v>
      </c>
      <c r="E93" s="1735"/>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402">
        <f>MIN(SUMIF($F$4:$AJ$4,"&gt;0",F93:AJ93),【様式2】職員名簿!$F$5)</f>
        <v>0</v>
      </c>
    </row>
    <row r="94" spans="2:37" ht="15" customHeight="1">
      <c r="B94" s="128">
        <f t="shared" si="2"/>
        <v>88</v>
      </c>
      <c r="C94" s="401" t="str">
        <f>IFERROR(INDEX(【様式2】職員名簿!$B$38:$B$137,MATCH($B94,【様式2】職員名簿!$N$38:$N$137,0),1),"")</f>
        <v/>
      </c>
      <c r="D94" s="1734" t="s">
        <v>376</v>
      </c>
      <c r="E94" s="1735"/>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402">
        <f>MIN(SUMIF($F$4:$AJ$4,"&gt;0",F94:AJ94),【様式2】職員名簿!$F$5)</f>
        <v>0</v>
      </c>
    </row>
    <row r="95" spans="2:37" ht="15" customHeight="1">
      <c r="B95" s="128">
        <f t="shared" si="2"/>
        <v>89</v>
      </c>
      <c r="C95" s="401" t="str">
        <f>IFERROR(INDEX(【様式2】職員名簿!$B$38:$B$137,MATCH($B95,【様式2】職員名簿!$N$38:$N$137,0),1),"")</f>
        <v/>
      </c>
      <c r="D95" s="1734" t="s">
        <v>376</v>
      </c>
      <c r="E95" s="1735"/>
      <c r="F95" s="129"/>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c r="AK95" s="402">
        <f>MIN(SUMIF($F$4:$AJ$4,"&gt;0",F95:AJ95),【様式2】職員名簿!$F$5)</f>
        <v>0</v>
      </c>
    </row>
    <row r="96" spans="2:37" ht="15" customHeight="1">
      <c r="B96" s="128">
        <f t="shared" si="2"/>
        <v>90</v>
      </c>
      <c r="C96" s="401" t="str">
        <f>IFERROR(INDEX(【様式2】職員名簿!$B$38:$B$137,MATCH($B96,【様式2】職員名簿!$N$38:$N$137,0),1),"")</f>
        <v/>
      </c>
      <c r="D96" s="1734" t="s">
        <v>376</v>
      </c>
      <c r="E96" s="1735"/>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402">
        <f>MIN(SUMIF($F$4:$AJ$4,"&gt;0",F96:AJ96),【様式2】職員名簿!$F$5)</f>
        <v>0</v>
      </c>
    </row>
    <row r="97" spans="2:37" ht="15" customHeight="1">
      <c r="B97" s="128">
        <f t="shared" si="2"/>
        <v>91</v>
      </c>
      <c r="C97" s="401" t="str">
        <f>IFERROR(INDEX(【様式2】職員名簿!$B$38:$B$137,MATCH($B97,【様式2】職員名簿!$N$38:$N$137,0),1),"")</f>
        <v/>
      </c>
      <c r="D97" s="1734" t="s">
        <v>376</v>
      </c>
      <c r="E97" s="1735"/>
      <c r="F97" s="129"/>
      <c r="G97" s="129"/>
      <c r="H97" s="129"/>
      <c r="I97" s="129"/>
      <c r="J97" s="129"/>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c r="AK97" s="402">
        <f>MIN(SUMIF($F$4:$AJ$4,"&gt;0",F97:AJ97),【様式2】職員名簿!$F$5)</f>
        <v>0</v>
      </c>
    </row>
    <row r="98" spans="2:37" ht="15" customHeight="1">
      <c r="B98" s="128">
        <f t="shared" si="2"/>
        <v>92</v>
      </c>
      <c r="C98" s="401" t="str">
        <f>IFERROR(INDEX(【様式2】職員名簿!$B$38:$B$137,MATCH($B98,【様式2】職員名簿!$N$38:$N$137,0),1),"")</f>
        <v/>
      </c>
      <c r="D98" s="1734" t="s">
        <v>376</v>
      </c>
      <c r="E98" s="1735"/>
      <c r="F98" s="129"/>
      <c r="G98" s="129"/>
      <c r="H98" s="129"/>
      <c r="I98" s="129"/>
      <c r="J98" s="129"/>
      <c r="K98" s="129"/>
      <c r="L98" s="129"/>
      <c r="M98" s="129"/>
      <c r="N98" s="129"/>
      <c r="O98" s="129"/>
      <c r="P98" s="129"/>
      <c r="Q98" s="129"/>
      <c r="R98" s="129"/>
      <c r="S98" s="129"/>
      <c r="T98" s="129"/>
      <c r="U98" s="129"/>
      <c r="V98" s="129"/>
      <c r="W98" s="129"/>
      <c r="X98" s="129"/>
      <c r="Y98" s="129"/>
      <c r="Z98" s="129"/>
      <c r="AA98" s="129"/>
      <c r="AB98" s="129"/>
      <c r="AC98" s="129"/>
      <c r="AD98" s="129"/>
      <c r="AE98" s="129"/>
      <c r="AF98" s="129"/>
      <c r="AG98" s="129"/>
      <c r="AH98" s="129"/>
      <c r="AI98" s="129"/>
      <c r="AJ98" s="129"/>
      <c r="AK98" s="402">
        <f>MIN(SUMIF($F$4:$AJ$4,"&gt;0",F98:AJ98),【様式2】職員名簿!$F$5)</f>
        <v>0</v>
      </c>
    </row>
    <row r="99" spans="2:37" ht="15" customHeight="1">
      <c r="B99" s="128">
        <f t="shared" si="2"/>
        <v>93</v>
      </c>
      <c r="C99" s="401" t="str">
        <f>IFERROR(INDEX(【様式2】職員名簿!$B$38:$B$137,MATCH($B99,【様式2】職員名簿!$N$38:$N$137,0),1),"")</f>
        <v/>
      </c>
      <c r="D99" s="1734" t="s">
        <v>376</v>
      </c>
      <c r="E99" s="1735"/>
      <c r="F99" s="129"/>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29"/>
      <c r="AK99" s="402">
        <f>MIN(SUMIF($F$4:$AJ$4,"&gt;0",F99:AJ99),【様式2】職員名簿!$F$5)</f>
        <v>0</v>
      </c>
    </row>
    <row r="100" spans="2:37" ht="15" customHeight="1">
      <c r="B100" s="128">
        <f t="shared" si="2"/>
        <v>94</v>
      </c>
      <c r="C100" s="401" t="str">
        <f>IFERROR(INDEX(【様式2】職員名簿!$B$38:$B$137,MATCH($B100,【様式2】職員名簿!$N$38:$N$137,0),1),"")</f>
        <v/>
      </c>
      <c r="D100" s="1734" t="s">
        <v>376</v>
      </c>
      <c r="E100" s="1735"/>
      <c r="F100" s="129"/>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29"/>
      <c r="AK100" s="402">
        <f>MIN(SUMIF($F$4:$AJ$4,"&gt;0",F100:AJ100),【様式2】職員名簿!$F$5)</f>
        <v>0</v>
      </c>
    </row>
    <row r="101" spans="2:37" ht="15" customHeight="1">
      <c r="B101" s="128">
        <f t="shared" si="2"/>
        <v>95</v>
      </c>
      <c r="C101" s="401" t="str">
        <f>IFERROR(INDEX(【様式2】職員名簿!$B$38:$B$137,MATCH($B101,【様式2】職員名簿!$N$38:$N$137,0),1),"")</f>
        <v/>
      </c>
      <c r="D101" s="1734" t="s">
        <v>376</v>
      </c>
      <c r="E101" s="1735"/>
      <c r="F101" s="129"/>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29"/>
      <c r="AK101" s="402">
        <f>MIN(SUMIF($F$4:$AJ$4,"&gt;0",F101:AJ101),【様式2】職員名簿!$F$5)</f>
        <v>0</v>
      </c>
    </row>
    <row r="102" spans="2:37" ht="15" customHeight="1">
      <c r="B102" s="128">
        <f t="shared" si="2"/>
        <v>96</v>
      </c>
      <c r="C102" s="401" t="str">
        <f>IFERROR(INDEX(【様式2】職員名簿!$B$38:$B$137,MATCH($B102,【様式2】職員名簿!$N$38:$N$137,0),1),"")</f>
        <v/>
      </c>
      <c r="D102" s="1734" t="s">
        <v>376</v>
      </c>
      <c r="E102" s="1735"/>
      <c r="F102" s="129"/>
      <c r="G102" s="129"/>
      <c r="H102" s="129"/>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29"/>
      <c r="AG102" s="129"/>
      <c r="AH102" s="129"/>
      <c r="AI102" s="129"/>
      <c r="AJ102" s="129"/>
      <c r="AK102" s="402">
        <f>MIN(SUMIF($F$4:$AJ$4,"&gt;0",F102:AJ102),【様式2】職員名簿!$F$5)</f>
        <v>0</v>
      </c>
    </row>
    <row r="103" spans="2:37" ht="15" customHeight="1">
      <c r="B103" s="128">
        <f t="shared" si="2"/>
        <v>97</v>
      </c>
      <c r="C103" s="401" t="str">
        <f>IFERROR(INDEX(【様式2】職員名簿!$B$38:$B$137,MATCH($B103,【様式2】職員名簿!$N$38:$N$137,0),1),"")</f>
        <v/>
      </c>
      <c r="D103" s="1734" t="s">
        <v>376</v>
      </c>
      <c r="E103" s="1735"/>
      <c r="F103" s="129"/>
      <c r="G103" s="129"/>
      <c r="H103" s="129"/>
      <c r="I103" s="129"/>
      <c r="J103" s="129"/>
      <c r="K103" s="129"/>
      <c r="L103" s="129"/>
      <c r="M103" s="129"/>
      <c r="N103" s="129"/>
      <c r="O103" s="129"/>
      <c r="P103" s="129"/>
      <c r="Q103" s="129"/>
      <c r="R103" s="129"/>
      <c r="S103" s="129"/>
      <c r="T103" s="129"/>
      <c r="U103" s="129"/>
      <c r="V103" s="129"/>
      <c r="W103" s="129"/>
      <c r="X103" s="129"/>
      <c r="Y103" s="129"/>
      <c r="Z103" s="129"/>
      <c r="AA103" s="129"/>
      <c r="AB103" s="129"/>
      <c r="AC103" s="129"/>
      <c r="AD103" s="129"/>
      <c r="AE103" s="129"/>
      <c r="AF103" s="129"/>
      <c r="AG103" s="129"/>
      <c r="AH103" s="129"/>
      <c r="AI103" s="129"/>
      <c r="AJ103" s="129"/>
      <c r="AK103" s="402">
        <f>MIN(SUMIF($F$4:$AJ$4,"&gt;0",F103:AJ103),【様式2】職員名簿!$F$5)</f>
        <v>0</v>
      </c>
    </row>
    <row r="104" spans="2:37" ht="15" customHeight="1">
      <c r="B104" s="128">
        <f t="shared" si="2"/>
        <v>98</v>
      </c>
      <c r="C104" s="401" t="str">
        <f>IFERROR(INDEX(【様式2】職員名簿!$B$38:$B$137,MATCH($B104,【様式2】職員名簿!$N$38:$N$137,0),1),"")</f>
        <v/>
      </c>
      <c r="D104" s="1734" t="s">
        <v>376</v>
      </c>
      <c r="E104" s="1735"/>
      <c r="F104" s="129"/>
      <c r="G104" s="129"/>
      <c r="H104" s="129"/>
      <c r="I104" s="129"/>
      <c r="J104" s="129"/>
      <c r="K104" s="129"/>
      <c r="L104" s="129"/>
      <c r="M104" s="129"/>
      <c r="N104" s="129"/>
      <c r="O104" s="129"/>
      <c r="P104" s="129"/>
      <c r="Q104" s="129"/>
      <c r="R104" s="129"/>
      <c r="S104" s="129"/>
      <c r="T104" s="129"/>
      <c r="U104" s="129"/>
      <c r="V104" s="129"/>
      <c r="W104" s="129"/>
      <c r="X104" s="129"/>
      <c r="Y104" s="129"/>
      <c r="Z104" s="129"/>
      <c r="AA104" s="129"/>
      <c r="AB104" s="129"/>
      <c r="AC104" s="129"/>
      <c r="AD104" s="129"/>
      <c r="AE104" s="129"/>
      <c r="AF104" s="129"/>
      <c r="AG104" s="129"/>
      <c r="AH104" s="129"/>
      <c r="AI104" s="129"/>
      <c r="AJ104" s="129"/>
      <c r="AK104" s="402">
        <f>MIN(SUMIF($F$4:$AJ$4,"&gt;0",F104:AJ104),【様式2】職員名簿!$F$5)</f>
        <v>0</v>
      </c>
    </row>
    <row r="105" spans="2:37" ht="15" customHeight="1">
      <c r="B105" s="128">
        <f t="shared" si="2"/>
        <v>99</v>
      </c>
      <c r="C105" s="401" t="str">
        <f>IFERROR(INDEX(【様式2】職員名簿!$B$38:$B$137,MATCH($B105,【様式2】職員名簿!$N$38:$N$137,0),1),"")</f>
        <v/>
      </c>
      <c r="D105" s="1734" t="s">
        <v>376</v>
      </c>
      <c r="E105" s="1735"/>
      <c r="F105" s="129"/>
      <c r="G105" s="129"/>
      <c r="H105" s="129"/>
      <c r="I105" s="129"/>
      <c r="J105" s="129"/>
      <c r="K105" s="129"/>
      <c r="L105" s="129"/>
      <c r="M105" s="129"/>
      <c r="N105" s="129"/>
      <c r="O105" s="129"/>
      <c r="P105" s="129"/>
      <c r="Q105" s="129"/>
      <c r="R105" s="129"/>
      <c r="S105" s="129"/>
      <c r="T105" s="129"/>
      <c r="U105" s="129"/>
      <c r="V105" s="129"/>
      <c r="W105" s="129"/>
      <c r="X105" s="129"/>
      <c r="Y105" s="129"/>
      <c r="Z105" s="129"/>
      <c r="AA105" s="129"/>
      <c r="AB105" s="129"/>
      <c r="AC105" s="129"/>
      <c r="AD105" s="129"/>
      <c r="AE105" s="129"/>
      <c r="AF105" s="129"/>
      <c r="AG105" s="129"/>
      <c r="AH105" s="129"/>
      <c r="AI105" s="129"/>
      <c r="AJ105" s="129"/>
      <c r="AK105" s="402">
        <f>MIN(SUMIF($F$4:$AJ$4,"&gt;0",F105:AJ105),【様式2】職員名簿!$F$5)</f>
        <v>0</v>
      </c>
    </row>
    <row r="106" spans="2:37" ht="15" customHeight="1" thickBot="1">
      <c r="B106" s="130">
        <f t="shared" si="2"/>
        <v>100</v>
      </c>
      <c r="C106" s="403" t="str">
        <f>IFERROR(INDEX(【様式2】職員名簿!$B$38:$B$137,MATCH($B106,【様式2】職員名簿!$N$38:$N$137,0),1),"")</f>
        <v/>
      </c>
      <c r="D106" s="1730" t="s">
        <v>376</v>
      </c>
      <c r="E106" s="1731"/>
      <c r="F106" s="131"/>
      <c r="G106" s="131"/>
      <c r="H106" s="131"/>
      <c r="I106" s="131"/>
      <c r="J106" s="131"/>
      <c r="K106" s="131"/>
      <c r="L106" s="131"/>
      <c r="M106" s="131"/>
      <c r="N106" s="131"/>
      <c r="O106" s="131"/>
      <c r="P106" s="131"/>
      <c r="Q106" s="131"/>
      <c r="R106" s="131"/>
      <c r="S106" s="131"/>
      <c r="T106" s="131"/>
      <c r="U106" s="131"/>
      <c r="V106" s="131"/>
      <c r="W106" s="131"/>
      <c r="X106" s="131"/>
      <c r="Y106" s="131"/>
      <c r="Z106" s="131"/>
      <c r="AA106" s="131"/>
      <c r="AB106" s="131"/>
      <c r="AC106" s="131"/>
      <c r="AD106" s="131"/>
      <c r="AE106" s="131"/>
      <c r="AF106" s="131"/>
      <c r="AG106" s="131"/>
      <c r="AH106" s="131"/>
      <c r="AI106" s="131"/>
      <c r="AJ106" s="131"/>
      <c r="AK106" s="404">
        <f>MIN(SUMIF($F$4:$AJ$4,"&gt;0",F106:AJ106),【様式2】職員名簿!$F$5)</f>
        <v>0</v>
      </c>
    </row>
    <row r="107" spans="2:37" ht="14.25" thickBot="1">
      <c r="B107" s="1732" t="s">
        <v>14</v>
      </c>
      <c r="C107" s="1733"/>
      <c r="D107" s="1733"/>
      <c r="E107" s="1733"/>
      <c r="F107" s="405">
        <f>SUM(F7:F106)</f>
        <v>0</v>
      </c>
      <c r="G107" s="405">
        <f t="shared" ref="G107:AK107" si="3">SUM(G7:G106)</f>
        <v>0</v>
      </c>
      <c r="H107" s="405">
        <f t="shared" si="3"/>
        <v>0</v>
      </c>
      <c r="I107" s="405">
        <f t="shared" si="3"/>
        <v>0</v>
      </c>
      <c r="J107" s="405">
        <f t="shared" si="3"/>
        <v>0</v>
      </c>
      <c r="K107" s="405">
        <f t="shared" si="3"/>
        <v>0</v>
      </c>
      <c r="L107" s="405">
        <f t="shared" si="3"/>
        <v>0</v>
      </c>
      <c r="M107" s="405">
        <f t="shared" si="3"/>
        <v>0</v>
      </c>
      <c r="N107" s="405">
        <f t="shared" si="3"/>
        <v>0</v>
      </c>
      <c r="O107" s="405">
        <f t="shared" si="3"/>
        <v>0</v>
      </c>
      <c r="P107" s="405">
        <f t="shared" si="3"/>
        <v>0</v>
      </c>
      <c r="Q107" s="405">
        <f t="shared" si="3"/>
        <v>0</v>
      </c>
      <c r="R107" s="405">
        <f t="shared" si="3"/>
        <v>0</v>
      </c>
      <c r="S107" s="405">
        <f t="shared" si="3"/>
        <v>0</v>
      </c>
      <c r="T107" s="405">
        <f t="shared" si="3"/>
        <v>0</v>
      </c>
      <c r="U107" s="405">
        <f t="shared" si="3"/>
        <v>0</v>
      </c>
      <c r="V107" s="405">
        <f t="shared" si="3"/>
        <v>0</v>
      </c>
      <c r="W107" s="405">
        <f t="shared" si="3"/>
        <v>0</v>
      </c>
      <c r="X107" s="405">
        <f t="shared" si="3"/>
        <v>0</v>
      </c>
      <c r="Y107" s="405">
        <f t="shared" si="3"/>
        <v>0</v>
      </c>
      <c r="Z107" s="405">
        <f t="shared" si="3"/>
        <v>0</v>
      </c>
      <c r="AA107" s="405">
        <f t="shared" si="3"/>
        <v>0</v>
      </c>
      <c r="AB107" s="405">
        <f t="shared" si="3"/>
        <v>0</v>
      </c>
      <c r="AC107" s="405">
        <f t="shared" si="3"/>
        <v>0</v>
      </c>
      <c r="AD107" s="405">
        <f t="shared" si="3"/>
        <v>0</v>
      </c>
      <c r="AE107" s="405">
        <f t="shared" si="3"/>
        <v>0</v>
      </c>
      <c r="AF107" s="405">
        <f t="shared" si="3"/>
        <v>0</v>
      </c>
      <c r="AG107" s="405">
        <f t="shared" si="3"/>
        <v>0</v>
      </c>
      <c r="AH107" s="405" t="e">
        <f>IF(AH4="",0,SUM(AH7:AH106))</f>
        <v>#VALUE!</v>
      </c>
      <c r="AI107" s="405" t="e">
        <f t="shared" ref="AI107:AJ107" si="4">IF(AI4="",0,SUM(AI7:AI106))</f>
        <v>#VALUE!</v>
      </c>
      <c r="AJ107" s="405" t="e">
        <f t="shared" si="4"/>
        <v>#VALUE!</v>
      </c>
      <c r="AK107" s="404">
        <f t="shared" si="3"/>
        <v>0</v>
      </c>
    </row>
  </sheetData>
  <sheetProtection algorithmName="SHA-512" hashValue="Gfbg903zt9NXnOOL3V+FFDGWIYpqy6VHlxSG8vJ3klfO1EBilcF80yOAkZ+EjdHt977/Vm6Ki2gnlZF4wQkQ3Q==" saltValue="1Lr0zcsS0CCJ3VXtsxP3hQ==" spinCount="100000" sheet="1" objects="1" scenarios="1"/>
  <mergeCells count="123">
    <mergeCell ref="B4:B6"/>
    <mergeCell ref="C4:C6"/>
    <mergeCell ref="D4:E4"/>
    <mergeCell ref="B1:E1"/>
    <mergeCell ref="G1:H1"/>
    <mergeCell ref="L1:T1"/>
    <mergeCell ref="AC1:AJ1"/>
    <mergeCell ref="C2:E2"/>
    <mergeCell ref="F2:J2"/>
    <mergeCell ref="AC2:AD2"/>
    <mergeCell ref="AF2:AG3"/>
    <mergeCell ref="AH2:AI3"/>
    <mergeCell ref="AK4:AK6"/>
    <mergeCell ref="D5:E5"/>
    <mergeCell ref="D6:E6"/>
    <mergeCell ref="D7:E7"/>
    <mergeCell ref="D8:E8"/>
    <mergeCell ref="D9:E9"/>
    <mergeCell ref="AJ2:AJ3"/>
    <mergeCell ref="C3:E3"/>
    <mergeCell ref="F3:J3"/>
    <mergeCell ref="AC3:AD3"/>
    <mergeCell ref="K2:Z2"/>
    <mergeCell ref="AA2:AB3"/>
    <mergeCell ref="K3:Z3"/>
    <mergeCell ref="D16:E16"/>
    <mergeCell ref="D17:E17"/>
    <mergeCell ref="D18:E18"/>
    <mergeCell ref="D19:E19"/>
    <mergeCell ref="D20:E20"/>
    <mergeCell ref="D21:E21"/>
    <mergeCell ref="D10:E10"/>
    <mergeCell ref="D11:E11"/>
    <mergeCell ref="D12:E12"/>
    <mergeCell ref="D13:E13"/>
    <mergeCell ref="D14:E14"/>
    <mergeCell ref="D15:E15"/>
    <mergeCell ref="D28:E28"/>
    <mergeCell ref="D29:E29"/>
    <mergeCell ref="D30:E30"/>
    <mergeCell ref="D31:E31"/>
    <mergeCell ref="D32:E32"/>
    <mergeCell ref="D33:E33"/>
    <mergeCell ref="D22:E22"/>
    <mergeCell ref="D23:E23"/>
    <mergeCell ref="D24:E24"/>
    <mergeCell ref="D25:E25"/>
    <mergeCell ref="D26:E26"/>
    <mergeCell ref="D27:E27"/>
    <mergeCell ref="D40:E40"/>
    <mergeCell ref="D41:E41"/>
    <mergeCell ref="D42:E42"/>
    <mergeCell ref="D43:E43"/>
    <mergeCell ref="D44:E44"/>
    <mergeCell ref="D45:E45"/>
    <mergeCell ref="D34:E34"/>
    <mergeCell ref="D35:E35"/>
    <mergeCell ref="D36:E36"/>
    <mergeCell ref="D37:E37"/>
    <mergeCell ref="D38:E38"/>
    <mergeCell ref="D39:E39"/>
    <mergeCell ref="D52:E52"/>
    <mergeCell ref="D53:E53"/>
    <mergeCell ref="D54:E54"/>
    <mergeCell ref="D55:E55"/>
    <mergeCell ref="D56:E56"/>
    <mergeCell ref="D57:E57"/>
    <mergeCell ref="D46:E46"/>
    <mergeCell ref="D47:E47"/>
    <mergeCell ref="D48:E48"/>
    <mergeCell ref="D49:E49"/>
    <mergeCell ref="D50:E50"/>
    <mergeCell ref="D51:E51"/>
    <mergeCell ref="D64:E64"/>
    <mergeCell ref="D65:E65"/>
    <mergeCell ref="D66:E66"/>
    <mergeCell ref="D67:E67"/>
    <mergeCell ref="D68:E68"/>
    <mergeCell ref="D69:E69"/>
    <mergeCell ref="D58:E58"/>
    <mergeCell ref="D59:E59"/>
    <mergeCell ref="D60:E60"/>
    <mergeCell ref="D61:E61"/>
    <mergeCell ref="D62:E62"/>
    <mergeCell ref="D63:E63"/>
    <mergeCell ref="D76:E76"/>
    <mergeCell ref="D77:E77"/>
    <mergeCell ref="D78:E78"/>
    <mergeCell ref="D79:E79"/>
    <mergeCell ref="D80:E80"/>
    <mergeCell ref="D81:E81"/>
    <mergeCell ref="D70:E70"/>
    <mergeCell ref="D71:E71"/>
    <mergeCell ref="D72:E72"/>
    <mergeCell ref="D73:E73"/>
    <mergeCell ref="D74:E74"/>
    <mergeCell ref="D75:E75"/>
    <mergeCell ref="D88:E88"/>
    <mergeCell ref="D89:E89"/>
    <mergeCell ref="D90:E90"/>
    <mergeCell ref="D91:E91"/>
    <mergeCell ref="D92:E92"/>
    <mergeCell ref="D93:E93"/>
    <mergeCell ref="D82:E82"/>
    <mergeCell ref="D83:E83"/>
    <mergeCell ref="D84:E84"/>
    <mergeCell ref="D85:E85"/>
    <mergeCell ref="D86:E86"/>
    <mergeCell ref="D87:E87"/>
    <mergeCell ref="D106:E106"/>
    <mergeCell ref="B107:E107"/>
    <mergeCell ref="D100:E100"/>
    <mergeCell ref="D101:E101"/>
    <mergeCell ref="D102:E102"/>
    <mergeCell ref="D103:E103"/>
    <mergeCell ref="D104:E104"/>
    <mergeCell ref="D105:E105"/>
    <mergeCell ref="D94:E94"/>
    <mergeCell ref="D95:E95"/>
    <mergeCell ref="D96:E96"/>
    <mergeCell ref="D97:E97"/>
    <mergeCell ref="D98:E98"/>
    <mergeCell ref="D99:E99"/>
  </mergeCells>
  <phoneticPr fontId="1"/>
  <conditionalFormatting sqref="F4:AJ6">
    <cfRule type="expression" dxfId="25" priority="11">
      <formula>F$5="○"</formula>
    </cfRule>
  </conditionalFormatting>
  <conditionalFormatting sqref="C7:C54 C95:C106">
    <cfRule type="expression" dxfId="24" priority="10">
      <formula>$C7&lt;&gt;""</formula>
    </cfRule>
  </conditionalFormatting>
  <conditionalFormatting sqref="C77:C86">
    <cfRule type="expression" dxfId="23" priority="9">
      <formula>$C77&lt;&gt;""</formula>
    </cfRule>
  </conditionalFormatting>
  <conditionalFormatting sqref="C76">
    <cfRule type="expression" dxfId="22" priority="8">
      <formula>$C76&lt;&gt;""</formula>
    </cfRule>
  </conditionalFormatting>
  <conditionalFormatting sqref="C66:C75">
    <cfRule type="expression" dxfId="21" priority="7">
      <formula>$C66&lt;&gt;""</formula>
    </cfRule>
  </conditionalFormatting>
  <conditionalFormatting sqref="C65">
    <cfRule type="expression" dxfId="20" priority="6">
      <formula>$C65&lt;&gt;""</formula>
    </cfRule>
  </conditionalFormatting>
  <conditionalFormatting sqref="C55:C64">
    <cfRule type="expression" dxfId="19" priority="5">
      <formula>$C55&lt;&gt;""</formula>
    </cfRule>
  </conditionalFormatting>
  <conditionalFormatting sqref="AH7:AJ106">
    <cfRule type="expression" dxfId="18" priority="4">
      <formula>NOT(AH$4&lt;&gt;"")</formula>
    </cfRule>
  </conditionalFormatting>
  <conditionalFormatting sqref="F7:AJ106">
    <cfRule type="expression" dxfId="17" priority="2">
      <formula>F$5="○"</formula>
    </cfRule>
  </conditionalFormatting>
  <conditionalFormatting sqref="F7:AI106">
    <cfRule type="expression" dxfId="16" priority="3">
      <formula>F$5="●"</formula>
    </cfRule>
  </conditionalFormatting>
  <conditionalFormatting sqref="C87:C94">
    <cfRule type="expression" dxfId="15" priority="1">
      <formula>$C87&lt;&gt;""</formula>
    </cfRule>
  </conditionalFormatting>
  <dataValidations count="4">
    <dataValidation type="whole" errorStyle="warning" allowBlank="1" showInputMessage="1" showErrorMessage="1" error="1～12の整数を入力してください。" sqref="AO2" xr:uid="{00000000-0002-0000-0A00-000000000000}">
      <formula1>1</formula1>
      <formula2>12</formula2>
    </dataValidation>
    <dataValidation errorStyle="warning" imeMode="hiragana" allowBlank="1" showInputMessage="1" showErrorMessage="1" sqref="C7:C106" xr:uid="{00000000-0002-0000-0A00-000001000000}"/>
    <dataValidation imeMode="halfAlpha" allowBlank="1" showInputMessage="1" showErrorMessage="1" sqref="AK7:AM7 AK8:AK106" xr:uid="{00000000-0002-0000-0A00-000002000000}"/>
    <dataValidation type="decimal" imeMode="halfAlpha" allowBlank="1" showErrorMessage="1" sqref="G7:AJ106" xr:uid="{00000000-0002-0000-0A00-000003000000}">
      <formula1>0</formula1>
      <formula2>24</formula2>
    </dataValidation>
  </dataValidations>
  <printOptions horizontalCentered="1"/>
  <pageMargins left="0" right="0" top="0.70866141732283472" bottom="0.59055118110236227" header="0" footer="0"/>
  <pageSetup paperSize="9" scale="60" fitToHeight="2" orientation="landscape" r:id="rId1"/>
  <headerFooter alignWithMargins="0">
    <oddHeader xml:space="preserve">&amp;R
</oddHeader>
  </headerFooter>
  <rowBreaks count="1" manualBreakCount="1">
    <brk id="94" min="1" max="36" man="1"/>
  </rowBreaks>
  <drawing r:id="rId2"/>
  <extLst>
    <ext xmlns:x14="http://schemas.microsoft.com/office/spreadsheetml/2009/9/main" uri="{CCE6A557-97BC-4b89-ADB6-D9C93CAAB3DF}">
      <x14:dataValidations xmlns:xm="http://schemas.microsoft.com/office/excel/2006/main" count="1">
        <x14:dataValidation type="decimal" imeMode="halfAlpha" allowBlank="1" showErrorMessage="1" xr:uid="{AC7B4BC9-BEE3-43C5-986A-7824F977CBF7}">
          <x14:formula1>
            <xm:f>0</xm:f>
          </x14:formula1>
          <x14:formula2>
            <xm:f>【様式2】職員名簿!$F$5</xm:f>
          </x14:formula2>
          <xm:sqref>F7:F106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FF0000"/>
    <pageSetUpPr fitToPage="1"/>
  </sheetPr>
  <dimension ref="A1:T33"/>
  <sheetViews>
    <sheetView view="pageBreakPreview" zoomScaleNormal="100" zoomScaleSheetLayoutView="100" workbookViewId="0"/>
  </sheetViews>
  <sheetFormatPr defaultRowHeight="12" outlineLevelCol="1"/>
  <cols>
    <col min="1" max="1" width="16.625" style="843" customWidth="1"/>
    <col min="2" max="2" width="12.5" style="843" customWidth="1"/>
    <col min="3" max="3" width="9.875" style="843" customWidth="1"/>
    <col min="4" max="5" width="18" style="843" customWidth="1"/>
    <col min="6" max="6" width="11.625" style="843" customWidth="1"/>
    <col min="7" max="7" width="50.625" style="843" customWidth="1"/>
    <col min="8" max="8" width="0" style="843" hidden="1" customWidth="1" outlineLevel="1"/>
    <col min="9" max="9" width="9" style="843" collapsed="1"/>
    <col min="10" max="256" width="9" style="843"/>
    <col min="257" max="257" width="17.25" style="843" customWidth="1"/>
    <col min="258" max="258" width="18.125" style="843" customWidth="1"/>
    <col min="259" max="259" width="12.25" style="843" customWidth="1"/>
    <col min="260" max="260" width="8.5" style="843" customWidth="1"/>
    <col min="261" max="261" width="9.5" style="843" customWidth="1"/>
    <col min="262" max="262" width="15.75" style="843" customWidth="1"/>
    <col min="263" max="263" width="12.5" style="843" customWidth="1"/>
    <col min="264" max="512" width="9" style="843"/>
    <col min="513" max="513" width="17.25" style="843" customWidth="1"/>
    <col min="514" max="514" width="18.125" style="843" customWidth="1"/>
    <col min="515" max="515" width="12.25" style="843" customWidth="1"/>
    <col min="516" max="516" width="8.5" style="843" customWidth="1"/>
    <col min="517" max="517" width="9.5" style="843" customWidth="1"/>
    <col min="518" max="518" width="15.75" style="843" customWidth="1"/>
    <col min="519" max="519" width="12.5" style="843" customWidth="1"/>
    <col min="520" max="768" width="9" style="843"/>
    <col min="769" max="769" width="17.25" style="843" customWidth="1"/>
    <col min="770" max="770" width="18.125" style="843" customWidth="1"/>
    <col min="771" max="771" width="12.25" style="843" customWidth="1"/>
    <col min="772" max="772" width="8.5" style="843" customWidth="1"/>
    <col min="773" max="773" width="9.5" style="843" customWidth="1"/>
    <col min="774" max="774" width="15.75" style="843" customWidth="1"/>
    <col min="775" max="775" width="12.5" style="843" customWidth="1"/>
    <col min="776" max="1024" width="9" style="843"/>
    <col min="1025" max="1025" width="17.25" style="843" customWidth="1"/>
    <col min="1026" max="1026" width="18.125" style="843" customWidth="1"/>
    <col min="1027" max="1027" width="12.25" style="843" customWidth="1"/>
    <col min="1028" max="1028" width="8.5" style="843" customWidth="1"/>
    <col min="1029" max="1029" width="9.5" style="843" customWidth="1"/>
    <col min="1030" max="1030" width="15.75" style="843" customWidth="1"/>
    <col min="1031" max="1031" width="12.5" style="843" customWidth="1"/>
    <col min="1032" max="1280" width="9" style="843"/>
    <col min="1281" max="1281" width="17.25" style="843" customWidth="1"/>
    <col min="1282" max="1282" width="18.125" style="843" customWidth="1"/>
    <col min="1283" max="1283" width="12.25" style="843" customWidth="1"/>
    <col min="1284" max="1284" width="8.5" style="843" customWidth="1"/>
    <col min="1285" max="1285" width="9.5" style="843" customWidth="1"/>
    <col min="1286" max="1286" width="15.75" style="843" customWidth="1"/>
    <col min="1287" max="1287" width="12.5" style="843" customWidth="1"/>
    <col min="1288" max="1536" width="9" style="843"/>
    <col min="1537" max="1537" width="17.25" style="843" customWidth="1"/>
    <col min="1538" max="1538" width="18.125" style="843" customWidth="1"/>
    <col min="1539" max="1539" width="12.25" style="843" customWidth="1"/>
    <col min="1540" max="1540" width="8.5" style="843" customWidth="1"/>
    <col min="1541" max="1541" width="9.5" style="843" customWidth="1"/>
    <col min="1542" max="1542" width="15.75" style="843" customWidth="1"/>
    <col min="1543" max="1543" width="12.5" style="843" customWidth="1"/>
    <col min="1544" max="1792" width="9" style="843"/>
    <col min="1793" max="1793" width="17.25" style="843" customWidth="1"/>
    <col min="1794" max="1794" width="18.125" style="843" customWidth="1"/>
    <col min="1795" max="1795" width="12.25" style="843" customWidth="1"/>
    <col min="1796" max="1796" width="8.5" style="843" customWidth="1"/>
    <col min="1797" max="1797" width="9.5" style="843" customWidth="1"/>
    <col min="1798" max="1798" width="15.75" style="843" customWidth="1"/>
    <col min="1799" max="1799" width="12.5" style="843" customWidth="1"/>
    <col min="1800" max="2048" width="9" style="843"/>
    <col min="2049" max="2049" width="17.25" style="843" customWidth="1"/>
    <col min="2050" max="2050" width="18.125" style="843" customWidth="1"/>
    <col min="2051" max="2051" width="12.25" style="843" customWidth="1"/>
    <col min="2052" max="2052" width="8.5" style="843" customWidth="1"/>
    <col min="2053" max="2053" width="9.5" style="843" customWidth="1"/>
    <col min="2054" max="2054" width="15.75" style="843" customWidth="1"/>
    <col min="2055" max="2055" width="12.5" style="843" customWidth="1"/>
    <col min="2056" max="2304" width="9" style="843"/>
    <col min="2305" max="2305" width="17.25" style="843" customWidth="1"/>
    <col min="2306" max="2306" width="18.125" style="843" customWidth="1"/>
    <col min="2307" max="2307" width="12.25" style="843" customWidth="1"/>
    <col min="2308" max="2308" width="8.5" style="843" customWidth="1"/>
    <col min="2309" max="2309" width="9.5" style="843" customWidth="1"/>
    <col min="2310" max="2310" width="15.75" style="843" customWidth="1"/>
    <col min="2311" max="2311" width="12.5" style="843" customWidth="1"/>
    <col min="2312" max="2560" width="9" style="843"/>
    <col min="2561" max="2561" width="17.25" style="843" customWidth="1"/>
    <col min="2562" max="2562" width="18.125" style="843" customWidth="1"/>
    <col min="2563" max="2563" width="12.25" style="843" customWidth="1"/>
    <col min="2564" max="2564" width="8.5" style="843" customWidth="1"/>
    <col min="2565" max="2565" width="9.5" style="843" customWidth="1"/>
    <col min="2566" max="2566" width="15.75" style="843" customWidth="1"/>
    <col min="2567" max="2567" width="12.5" style="843" customWidth="1"/>
    <col min="2568" max="2816" width="9" style="843"/>
    <col min="2817" max="2817" width="17.25" style="843" customWidth="1"/>
    <col min="2818" max="2818" width="18.125" style="843" customWidth="1"/>
    <col min="2819" max="2819" width="12.25" style="843" customWidth="1"/>
    <col min="2820" max="2820" width="8.5" style="843" customWidth="1"/>
    <col min="2821" max="2821" width="9.5" style="843" customWidth="1"/>
    <col min="2822" max="2822" width="15.75" style="843" customWidth="1"/>
    <col min="2823" max="2823" width="12.5" style="843" customWidth="1"/>
    <col min="2824" max="3072" width="9" style="843"/>
    <col min="3073" max="3073" width="17.25" style="843" customWidth="1"/>
    <col min="3074" max="3074" width="18.125" style="843" customWidth="1"/>
    <col min="3075" max="3075" width="12.25" style="843" customWidth="1"/>
    <col min="3076" max="3076" width="8.5" style="843" customWidth="1"/>
    <col min="3077" max="3077" width="9.5" style="843" customWidth="1"/>
    <col min="3078" max="3078" width="15.75" style="843" customWidth="1"/>
    <col min="3079" max="3079" width="12.5" style="843" customWidth="1"/>
    <col min="3080" max="3328" width="9" style="843"/>
    <col min="3329" max="3329" width="17.25" style="843" customWidth="1"/>
    <col min="3330" max="3330" width="18.125" style="843" customWidth="1"/>
    <col min="3331" max="3331" width="12.25" style="843" customWidth="1"/>
    <col min="3332" max="3332" width="8.5" style="843" customWidth="1"/>
    <col min="3333" max="3333" width="9.5" style="843" customWidth="1"/>
    <col min="3334" max="3334" width="15.75" style="843" customWidth="1"/>
    <col min="3335" max="3335" width="12.5" style="843" customWidth="1"/>
    <col min="3336" max="3584" width="9" style="843"/>
    <col min="3585" max="3585" width="17.25" style="843" customWidth="1"/>
    <col min="3586" max="3586" width="18.125" style="843" customWidth="1"/>
    <col min="3587" max="3587" width="12.25" style="843" customWidth="1"/>
    <col min="3588" max="3588" width="8.5" style="843" customWidth="1"/>
    <col min="3589" max="3589" width="9.5" style="843" customWidth="1"/>
    <col min="3590" max="3590" width="15.75" style="843" customWidth="1"/>
    <col min="3591" max="3591" width="12.5" style="843" customWidth="1"/>
    <col min="3592" max="3840" width="9" style="843"/>
    <col min="3841" max="3841" width="17.25" style="843" customWidth="1"/>
    <col min="3842" max="3842" width="18.125" style="843" customWidth="1"/>
    <col min="3843" max="3843" width="12.25" style="843" customWidth="1"/>
    <col min="3844" max="3844" width="8.5" style="843" customWidth="1"/>
    <col min="3845" max="3845" width="9.5" style="843" customWidth="1"/>
    <col min="3846" max="3846" width="15.75" style="843" customWidth="1"/>
    <col min="3847" max="3847" width="12.5" style="843" customWidth="1"/>
    <col min="3848" max="4096" width="9" style="843"/>
    <col min="4097" max="4097" width="17.25" style="843" customWidth="1"/>
    <col min="4098" max="4098" width="18.125" style="843" customWidth="1"/>
    <col min="4099" max="4099" width="12.25" style="843" customWidth="1"/>
    <col min="4100" max="4100" width="8.5" style="843" customWidth="1"/>
    <col min="4101" max="4101" width="9.5" style="843" customWidth="1"/>
    <col min="4102" max="4102" width="15.75" style="843" customWidth="1"/>
    <col min="4103" max="4103" width="12.5" style="843" customWidth="1"/>
    <col min="4104" max="4352" width="9" style="843"/>
    <col min="4353" max="4353" width="17.25" style="843" customWidth="1"/>
    <col min="4354" max="4354" width="18.125" style="843" customWidth="1"/>
    <col min="4355" max="4355" width="12.25" style="843" customWidth="1"/>
    <col min="4356" max="4356" width="8.5" style="843" customWidth="1"/>
    <col min="4357" max="4357" width="9.5" style="843" customWidth="1"/>
    <col min="4358" max="4358" width="15.75" style="843" customWidth="1"/>
    <col min="4359" max="4359" width="12.5" style="843" customWidth="1"/>
    <col min="4360" max="4608" width="9" style="843"/>
    <col min="4609" max="4609" width="17.25" style="843" customWidth="1"/>
    <col min="4610" max="4610" width="18.125" style="843" customWidth="1"/>
    <col min="4611" max="4611" width="12.25" style="843" customWidth="1"/>
    <col min="4612" max="4612" width="8.5" style="843" customWidth="1"/>
    <col min="4613" max="4613" width="9.5" style="843" customWidth="1"/>
    <col min="4614" max="4614" width="15.75" style="843" customWidth="1"/>
    <col min="4615" max="4615" width="12.5" style="843" customWidth="1"/>
    <col min="4616" max="4864" width="9" style="843"/>
    <col min="4865" max="4865" width="17.25" style="843" customWidth="1"/>
    <col min="4866" max="4866" width="18.125" style="843" customWidth="1"/>
    <col min="4867" max="4867" width="12.25" style="843" customWidth="1"/>
    <col min="4868" max="4868" width="8.5" style="843" customWidth="1"/>
    <col min="4869" max="4869" width="9.5" style="843" customWidth="1"/>
    <col min="4870" max="4870" width="15.75" style="843" customWidth="1"/>
    <col min="4871" max="4871" width="12.5" style="843" customWidth="1"/>
    <col min="4872" max="5120" width="9" style="843"/>
    <col min="5121" max="5121" width="17.25" style="843" customWidth="1"/>
    <col min="5122" max="5122" width="18.125" style="843" customWidth="1"/>
    <col min="5123" max="5123" width="12.25" style="843" customWidth="1"/>
    <col min="5124" max="5124" width="8.5" style="843" customWidth="1"/>
    <col min="5125" max="5125" width="9.5" style="843" customWidth="1"/>
    <col min="5126" max="5126" width="15.75" style="843" customWidth="1"/>
    <col min="5127" max="5127" width="12.5" style="843" customWidth="1"/>
    <col min="5128" max="5376" width="9" style="843"/>
    <col min="5377" max="5377" width="17.25" style="843" customWidth="1"/>
    <col min="5378" max="5378" width="18.125" style="843" customWidth="1"/>
    <col min="5379" max="5379" width="12.25" style="843" customWidth="1"/>
    <col min="5380" max="5380" width="8.5" style="843" customWidth="1"/>
    <col min="5381" max="5381" width="9.5" style="843" customWidth="1"/>
    <col min="5382" max="5382" width="15.75" style="843" customWidth="1"/>
    <col min="5383" max="5383" width="12.5" style="843" customWidth="1"/>
    <col min="5384" max="5632" width="9" style="843"/>
    <col min="5633" max="5633" width="17.25" style="843" customWidth="1"/>
    <col min="5634" max="5634" width="18.125" style="843" customWidth="1"/>
    <col min="5635" max="5635" width="12.25" style="843" customWidth="1"/>
    <col min="5636" max="5636" width="8.5" style="843" customWidth="1"/>
    <col min="5637" max="5637" width="9.5" style="843" customWidth="1"/>
    <col min="5638" max="5638" width="15.75" style="843" customWidth="1"/>
    <col min="5639" max="5639" width="12.5" style="843" customWidth="1"/>
    <col min="5640" max="5888" width="9" style="843"/>
    <col min="5889" max="5889" width="17.25" style="843" customWidth="1"/>
    <col min="5890" max="5890" width="18.125" style="843" customWidth="1"/>
    <col min="5891" max="5891" width="12.25" style="843" customWidth="1"/>
    <col min="5892" max="5892" width="8.5" style="843" customWidth="1"/>
    <col min="5893" max="5893" width="9.5" style="843" customWidth="1"/>
    <col min="5894" max="5894" width="15.75" style="843" customWidth="1"/>
    <col min="5895" max="5895" width="12.5" style="843" customWidth="1"/>
    <col min="5896" max="6144" width="9" style="843"/>
    <col min="6145" max="6145" width="17.25" style="843" customWidth="1"/>
    <col min="6146" max="6146" width="18.125" style="843" customWidth="1"/>
    <col min="6147" max="6147" width="12.25" style="843" customWidth="1"/>
    <col min="6148" max="6148" width="8.5" style="843" customWidth="1"/>
    <col min="6149" max="6149" width="9.5" style="843" customWidth="1"/>
    <col min="6150" max="6150" width="15.75" style="843" customWidth="1"/>
    <col min="6151" max="6151" width="12.5" style="843" customWidth="1"/>
    <col min="6152" max="6400" width="9" style="843"/>
    <col min="6401" max="6401" width="17.25" style="843" customWidth="1"/>
    <col min="6402" max="6402" width="18.125" style="843" customWidth="1"/>
    <col min="6403" max="6403" width="12.25" style="843" customWidth="1"/>
    <col min="6404" max="6404" width="8.5" style="843" customWidth="1"/>
    <col min="6405" max="6405" width="9.5" style="843" customWidth="1"/>
    <col min="6406" max="6406" width="15.75" style="843" customWidth="1"/>
    <col min="6407" max="6407" width="12.5" style="843" customWidth="1"/>
    <col min="6408" max="6656" width="9" style="843"/>
    <col min="6657" max="6657" width="17.25" style="843" customWidth="1"/>
    <col min="6658" max="6658" width="18.125" style="843" customWidth="1"/>
    <col min="6659" max="6659" width="12.25" style="843" customWidth="1"/>
    <col min="6660" max="6660" width="8.5" style="843" customWidth="1"/>
    <col min="6661" max="6661" width="9.5" style="843" customWidth="1"/>
    <col min="6662" max="6662" width="15.75" style="843" customWidth="1"/>
    <col min="6663" max="6663" width="12.5" style="843" customWidth="1"/>
    <col min="6664" max="6912" width="9" style="843"/>
    <col min="6913" max="6913" width="17.25" style="843" customWidth="1"/>
    <col min="6914" max="6914" width="18.125" style="843" customWidth="1"/>
    <col min="6915" max="6915" width="12.25" style="843" customWidth="1"/>
    <col min="6916" max="6916" width="8.5" style="843" customWidth="1"/>
    <col min="6917" max="6917" width="9.5" style="843" customWidth="1"/>
    <col min="6918" max="6918" width="15.75" style="843" customWidth="1"/>
    <col min="6919" max="6919" width="12.5" style="843" customWidth="1"/>
    <col min="6920" max="7168" width="9" style="843"/>
    <col min="7169" max="7169" width="17.25" style="843" customWidth="1"/>
    <col min="7170" max="7170" width="18.125" style="843" customWidth="1"/>
    <col min="7171" max="7171" width="12.25" style="843" customWidth="1"/>
    <col min="7172" max="7172" width="8.5" style="843" customWidth="1"/>
    <col min="7173" max="7173" width="9.5" style="843" customWidth="1"/>
    <col min="7174" max="7174" width="15.75" style="843" customWidth="1"/>
    <col min="7175" max="7175" width="12.5" style="843" customWidth="1"/>
    <col min="7176" max="7424" width="9" style="843"/>
    <col min="7425" max="7425" width="17.25" style="843" customWidth="1"/>
    <col min="7426" max="7426" width="18.125" style="843" customWidth="1"/>
    <col min="7427" max="7427" width="12.25" style="843" customWidth="1"/>
    <col min="7428" max="7428" width="8.5" style="843" customWidth="1"/>
    <col min="7429" max="7429" width="9.5" style="843" customWidth="1"/>
    <col min="7430" max="7430" width="15.75" style="843" customWidth="1"/>
    <col min="7431" max="7431" width="12.5" style="843" customWidth="1"/>
    <col min="7432" max="7680" width="9" style="843"/>
    <col min="7681" max="7681" width="17.25" style="843" customWidth="1"/>
    <col min="7682" max="7682" width="18.125" style="843" customWidth="1"/>
    <col min="7683" max="7683" width="12.25" style="843" customWidth="1"/>
    <col min="7684" max="7684" width="8.5" style="843" customWidth="1"/>
    <col min="7685" max="7685" width="9.5" style="843" customWidth="1"/>
    <col min="7686" max="7686" width="15.75" style="843" customWidth="1"/>
    <col min="7687" max="7687" width="12.5" style="843" customWidth="1"/>
    <col min="7688" max="7936" width="9" style="843"/>
    <col min="7937" max="7937" width="17.25" style="843" customWidth="1"/>
    <col min="7938" max="7938" width="18.125" style="843" customWidth="1"/>
    <col min="7939" max="7939" width="12.25" style="843" customWidth="1"/>
    <col min="7940" max="7940" width="8.5" style="843" customWidth="1"/>
    <col min="7941" max="7941" width="9.5" style="843" customWidth="1"/>
    <col min="7942" max="7942" width="15.75" style="843" customWidth="1"/>
    <col min="7943" max="7943" width="12.5" style="843" customWidth="1"/>
    <col min="7944" max="8192" width="9" style="843"/>
    <col min="8193" max="8193" width="17.25" style="843" customWidth="1"/>
    <col min="8194" max="8194" width="18.125" style="843" customWidth="1"/>
    <col min="8195" max="8195" width="12.25" style="843" customWidth="1"/>
    <col min="8196" max="8196" width="8.5" style="843" customWidth="1"/>
    <col min="8197" max="8197" width="9.5" style="843" customWidth="1"/>
    <col min="8198" max="8198" width="15.75" style="843" customWidth="1"/>
    <col min="8199" max="8199" width="12.5" style="843" customWidth="1"/>
    <col min="8200" max="8448" width="9" style="843"/>
    <col min="8449" max="8449" width="17.25" style="843" customWidth="1"/>
    <col min="8450" max="8450" width="18.125" style="843" customWidth="1"/>
    <col min="8451" max="8451" width="12.25" style="843" customWidth="1"/>
    <col min="8452" max="8452" width="8.5" style="843" customWidth="1"/>
    <col min="8453" max="8453" width="9.5" style="843" customWidth="1"/>
    <col min="8454" max="8454" width="15.75" style="843" customWidth="1"/>
    <col min="8455" max="8455" width="12.5" style="843" customWidth="1"/>
    <col min="8456" max="8704" width="9" style="843"/>
    <col min="8705" max="8705" width="17.25" style="843" customWidth="1"/>
    <col min="8706" max="8706" width="18.125" style="843" customWidth="1"/>
    <col min="8707" max="8707" width="12.25" style="843" customWidth="1"/>
    <col min="8708" max="8708" width="8.5" style="843" customWidth="1"/>
    <col min="8709" max="8709" width="9.5" style="843" customWidth="1"/>
    <col min="8710" max="8710" width="15.75" style="843" customWidth="1"/>
    <col min="8711" max="8711" width="12.5" style="843" customWidth="1"/>
    <col min="8712" max="8960" width="9" style="843"/>
    <col min="8961" max="8961" width="17.25" style="843" customWidth="1"/>
    <col min="8962" max="8962" width="18.125" style="843" customWidth="1"/>
    <col min="8963" max="8963" width="12.25" style="843" customWidth="1"/>
    <col min="8964" max="8964" width="8.5" style="843" customWidth="1"/>
    <col min="8965" max="8965" width="9.5" style="843" customWidth="1"/>
    <col min="8966" max="8966" width="15.75" style="843" customWidth="1"/>
    <col min="8967" max="8967" width="12.5" style="843" customWidth="1"/>
    <col min="8968" max="9216" width="9" style="843"/>
    <col min="9217" max="9217" width="17.25" style="843" customWidth="1"/>
    <col min="9218" max="9218" width="18.125" style="843" customWidth="1"/>
    <col min="9219" max="9219" width="12.25" style="843" customWidth="1"/>
    <col min="9220" max="9220" width="8.5" style="843" customWidth="1"/>
    <col min="9221" max="9221" width="9.5" style="843" customWidth="1"/>
    <col min="9222" max="9222" width="15.75" style="843" customWidth="1"/>
    <col min="9223" max="9223" width="12.5" style="843" customWidth="1"/>
    <col min="9224" max="9472" width="9" style="843"/>
    <col min="9473" max="9473" width="17.25" style="843" customWidth="1"/>
    <col min="9474" max="9474" width="18.125" style="843" customWidth="1"/>
    <col min="9475" max="9475" width="12.25" style="843" customWidth="1"/>
    <col min="9476" max="9476" width="8.5" style="843" customWidth="1"/>
    <col min="9477" max="9477" width="9.5" style="843" customWidth="1"/>
    <col min="9478" max="9478" width="15.75" style="843" customWidth="1"/>
    <col min="9479" max="9479" width="12.5" style="843" customWidth="1"/>
    <col min="9480" max="9728" width="9" style="843"/>
    <col min="9729" max="9729" width="17.25" style="843" customWidth="1"/>
    <col min="9730" max="9730" width="18.125" style="843" customWidth="1"/>
    <col min="9731" max="9731" width="12.25" style="843" customWidth="1"/>
    <col min="9732" max="9732" width="8.5" style="843" customWidth="1"/>
    <col min="9733" max="9733" width="9.5" style="843" customWidth="1"/>
    <col min="9734" max="9734" width="15.75" style="843" customWidth="1"/>
    <col min="9735" max="9735" width="12.5" style="843" customWidth="1"/>
    <col min="9736" max="9984" width="9" style="843"/>
    <col min="9985" max="9985" width="17.25" style="843" customWidth="1"/>
    <col min="9986" max="9986" width="18.125" style="843" customWidth="1"/>
    <col min="9987" max="9987" width="12.25" style="843" customWidth="1"/>
    <col min="9988" max="9988" width="8.5" style="843" customWidth="1"/>
    <col min="9989" max="9989" width="9.5" style="843" customWidth="1"/>
    <col min="9990" max="9990" width="15.75" style="843" customWidth="1"/>
    <col min="9991" max="9991" width="12.5" style="843" customWidth="1"/>
    <col min="9992" max="10240" width="9" style="843"/>
    <col min="10241" max="10241" width="17.25" style="843" customWidth="1"/>
    <col min="10242" max="10242" width="18.125" style="843" customWidth="1"/>
    <col min="10243" max="10243" width="12.25" style="843" customWidth="1"/>
    <col min="10244" max="10244" width="8.5" style="843" customWidth="1"/>
    <col min="10245" max="10245" width="9.5" style="843" customWidth="1"/>
    <col min="10246" max="10246" width="15.75" style="843" customWidth="1"/>
    <col min="10247" max="10247" width="12.5" style="843" customWidth="1"/>
    <col min="10248" max="10496" width="9" style="843"/>
    <col min="10497" max="10497" width="17.25" style="843" customWidth="1"/>
    <col min="10498" max="10498" width="18.125" style="843" customWidth="1"/>
    <col min="10499" max="10499" width="12.25" style="843" customWidth="1"/>
    <col min="10500" max="10500" width="8.5" style="843" customWidth="1"/>
    <col min="10501" max="10501" width="9.5" style="843" customWidth="1"/>
    <col min="10502" max="10502" width="15.75" style="843" customWidth="1"/>
    <col min="10503" max="10503" width="12.5" style="843" customWidth="1"/>
    <col min="10504" max="10752" width="9" style="843"/>
    <col min="10753" max="10753" width="17.25" style="843" customWidth="1"/>
    <col min="10754" max="10754" width="18.125" style="843" customWidth="1"/>
    <col min="10755" max="10755" width="12.25" style="843" customWidth="1"/>
    <col min="10756" max="10756" width="8.5" style="843" customWidth="1"/>
    <col min="10757" max="10757" width="9.5" style="843" customWidth="1"/>
    <col min="10758" max="10758" width="15.75" style="843" customWidth="1"/>
    <col min="10759" max="10759" width="12.5" style="843" customWidth="1"/>
    <col min="10760" max="11008" width="9" style="843"/>
    <col min="11009" max="11009" width="17.25" style="843" customWidth="1"/>
    <col min="11010" max="11010" width="18.125" style="843" customWidth="1"/>
    <col min="11011" max="11011" width="12.25" style="843" customWidth="1"/>
    <col min="11012" max="11012" width="8.5" style="843" customWidth="1"/>
    <col min="11013" max="11013" width="9.5" style="843" customWidth="1"/>
    <col min="11014" max="11014" width="15.75" style="843" customWidth="1"/>
    <col min="11015" max="11015" width="12.5" style="843" customWidth="1"/>
    <col min="11016" max="11264" width="9" style="843"/>
    <col min="11265" max="11265" width="17.25" style="843" customWidth="1"/>
    <col min="11266" max="11266" width="18.125" style="843" customWidth="1"/>
    <col min="11267" max="11267" width="12.25" style="843" customWidth="1"/>
    <col min="11268" max="11268" width="8.5" style="843" customWidth="1"/>
    <col min="11269" max="11269" width="9.5" style="843" customWidth="1"/>
    <col min="11270" max="11270" width="15.75" style="843" customWidth="1"/>
    <col min="11271" max="11271" width="12.5" style="843" customWidth="1"/>
    <col min="11272" max="11520" width="9" style="843"/>
    <col min="11521" max="11521" width="17.25" style="843" customWidth="1"/>
    <col min="11522" max="11522" width="18.125" style="843" customWidth="1"/>
    <col min="11523" max="11523" width="12.25" style="843" customWidth="1"/>
    <col min="11524" max="11524" width="8.5" style="843" customWidth="1"/>
    <col min="11525" max="11525" width="9.5" style="843" customWidth="1"/>
    <col min="11526" max="11526" width="15.75" style="843" customWidth="1"/>
    <col min="11527" max="11527" width="12.5" style="843" customWidth="1"/>
    <col min="11528" max="11776" width="9" style="843"/>
    <col min="11777" max="11777" width="17.25" style="843" customWidth="1"/>
    <col min="11778" max="11778" width="18.125" style="843" customWidth="1"/>
    <col min="11779" max="11779" width="12.25" style="843" customWidth="1"/>
    <col min="11780" max="11780" width="8.5" style="843" customWidth="1"/>
    <col min="11781" max="11781" width="9.5" style="843" customWidth="1"/>
    <col min="11782" max="11782" width="15.75" style="843" customWidth="1"/>
    <col min="11783" max="11783" width="12.5" style="843" customWidth="1"/>
    <col min="11784" max="12032" width="9" style="843"/>
    <col min="12033" max="12033" width="17.25" style="843" customWidth="1"/>
    <col min="12034" max="12034" width="18.125" style="843" customWidth="1"/>
    <col min="12035" max="12035" width="12.25" style="843" customWidth="1"/>
    <col min="12036" max="12036" width="8.5" style="843" customWidth="1"/>
    <col min="12037" max="12037" width="9.5" style="843" customWidth="1"/>
    <col min="12038" max="12038" width="15.75" style="843" customWidth="1"/>
    <col min="12039" max="12039" width="12.5" style="843" customWidth="1"/>
    <col min="12040" max="12288" width="9" style="843"/>
    <col min="12289" max="12289" width="17.25" style="843" customWidth="1"/>
    <col min="12290" max="12290" width="18.125" style="843" customWidth="1"/>
    <col min="12291" max="12291" width="12.25" style="843" customWidth="1"/>
    <col min="12292" max="12292" width="8.5" style="843" customWidth="1"/>
    <col min="12293" max="12293" width="9.5" style="843" customWidth="1"/>
    <col min="12294" max="12294" width="15.75" style="843" customWidth="1"/>
    <col min="12295" max="12295" width="12.5" style="843" customWidth="1"/>
    <col min="12296" max="12544" width="9" style="843"/>
    <col min="12545" max="12545" width="17.25" style="843" customWidth="1"/>
    <col min="12546" max="12546" width="18.125" style="843" customWidth="1"/>
    <col min="12547" max="12547" width="12.25" style="843" customWidth="1"/>
    <col min="12548" max="12548" width="8.5" style="843" customWidth="1"/>
    <col min="12549" max="12549" width="9.5" style="843" customWidth="1"/>
    <col min="12550" max="12550" width="15.75" style="843" customWidth="1"/>
    <col min="12551" max="12551" width="12.5" style="843" customWidth="1"/>
    <col min="12552" max="12800" width="9" style="843"/>
    <col min="12801" max="12801" width="17.25" style="843" customWidth="1"/>
    <col min="12802" max="12802" width="18.125" style="843" customWidth="1"/>
    <col min="12803" max="12803" width="12.25" style="843" customWidth="1"/>
    <col min="12804" max="12804" width="8.5" style="843" customWidth="1"/>
    <col min="12805" max="12805" width="9.5" style="843" customWidth="1"/>
    <col min="12806" max="12806" width="15.75" style="843" customWidth="1"/>
    <col min="12807" max="12807" width="12.5" style="843" customWidth="1"/>
    <col min="12808" max="13056" width="9" style="843"/>
    <col min="13057" max="13057" width="17.25" style="843" customWidth="1"/>
    <col min="13058" max="13058" width="18.125" style="843" customWidth="1"/>
    <col min="13059" max="13059" width="12.25" style="843" customWidth="1"/>
    <col min="13060" max="13060" width="8.5" style="843" customWidth="1"/>
    <col min="13061" max="13061" width="9.5" style="843" customWidth="1"/>
    <col min="13062" max="13062" width="15.75" style="843" customWidth="1"/>
    <col min="13063" max="13063" width="12.5" style="843" customWidth="1"/>
    <col min="13064" max="13312" width="9" style="843"/>
    <col min="13313" max="13313" width="17.25" style="843" customWidth="1"/>
    <col min="13314" max="13314" width="18.125" style="843" customWidth="1"/>
    <col min="13315" max="13315" width="12.25" style="843" customWidth="1"/>
    <col min="13316" max="13316" width="8.5" style="843" customWidth="1"/>
    <col min="13317" max="13317" width="9.5" style="843" customWidth="1"/>
    <col min="13318" max="13318" width="15.75" style="843" customWidth="1"/>
    <col min="13319" max="13319" width="12.5" style="843" customWidth="1"/>
    <col min="13320" max="13568" width="9" style="843"/>
    <col min="13569" max="13569" width="17.25" style="843" customWidth="1"/>
    <col min="13570" max="13570" width="18.125" style="843" customWidth="1"/>
    <col min="13571" max="13571" width="12.25" style="843" customWidth="1"/>
    <col min="13572" max="13572" width="8.5" style="843" customWidth="1"/>
    <col min="13573" max="13573" width="9.5" style="843" customWidth="1"/>
    <col min="13574" max="13574" width="15.75" style="843" customWidth="1"/>
    <col min="13575" max="13575" width="12.5" style="843" customWidth="1"/>
    <col min="13576" max="13824" width="9" style="843"/>
    <col min="13825" max="13825" width="17.25" style="843" customWidth="1"/>
    <col min="13826" max="13826" width="18.125" style="843" customWidth="1"/>
    <col min="13827" max="13827" width="12.25" style="843" customWidth="1"/>
    <col min="13828" max="13828" width="8.5" style="843" customWidth="1"/>
    <col min="13829" max="13829" width="9.5" style="843" customWidth="1"/>
    <col min="13830" max="13830" width="15.75" style="843" customWidth="1"/>
    <col min="13831" max="13831" width="12.5" style="843" customWidth="1"/>
    <col min="13832" max="14080" width="9" style="843"/>
    <col min="14081" max="14081" width="17.25" style="843" customWidth="1"/>
    <col min="14082" max="14082" width="18.125" style="843" customWidth="1"/>
    <col min="14083" max="14083" width="12.25" style="843" customWidth="1"/>
    <col min="14084" max="14084" width="8.5" style="843" customWidth="1"/>
    <col min="14085" max="14085" width="9.5" style="843" customWidth="1"/>
    <col min="14086" max="14086" width="15.75" style="843" customWidth="1"/>
    <col min="14087" max="14087" width="12.5" style="843" customWidth="1"/>
    <col min="14088" max="14336" width="9" style="843"/>
    <col min="14337" max="14337" width="17.25" style="843" customWidth="1"/>
    <col min="14338" max="14338" width="18.125" style="843" customWidth="1"/>
    <col min="14339" max="14339" width="12.25" style="843" customWidth="1"/>
    <col min="14340" max="14340" width="8.5" style="843" customWidth="1"/>
    <col min="14341" max="14341" width="9.5" style="843" customWidth="1"/>
    <col min="14342" max="14342" width="15.75" style="843" customWidth="1"/>
    <col min="14343" max="14343" width="12.5" style="843" customWidth="1"/>
    <col min="14344" max="14592" width="9" style="843"/>
    <col min="14593" max="14593" width="17.25" style="843" customWidth="1"/>
    <col min="14594" max="14594" width="18.125" style="843" customWidth="1"/>
    <col min="14595" max="14595" width="12.25" style="843" customWidth="1"/>
    <col min="14596" max="14596" width="8.5" style="843" customWidth="1"/>
    <col min="14597" max="14597" width="9.5" style="843" customWidth="1"/>
    <col min="14598" max="14598" width="15.75" style="843" customWidth="1"/>
    <col min="14599" max="14599" width="12.5" style="843" customWidth="1"/>
    <col min="14600" max="14848" width="9" style="843"/>
    <col min="14849" max="14849" width="17.25" style="843" customWidth="1"/>
    <col min="14850" max="14850" width="18.125" style="843" customWidth="1"/>
    <col min="14851" max="14851" width="12.25" style="843" customWidth="1"/>
    <col min="14852" max="14852" width="8.5" style="843" customWidth="1"/>
    <col min="14853" max="14853" width="9.5" style="843" customWidth="1"/>
    <col min="14854" max="14854" width="15.75" style="843" customWidth="1"/>
    <col min="14855" max="14855" width="12.5" style="843" customWidth="1"/>
    <col min="14856" max="15104" width="9" style="843"/>
    <col min="15105" max="15105" width="17.25" style="843" customWidth="1"/>
    <col min="15106" max="15106" width="18.125" style="843" customWidth="1"/>
    <col min="15107" max="15107" width="12.25" style="843" customWidth="1"/>
    <col min="15108" max="15108" width="8.5" style="843" customWidth="1"/>
    <col min="15109" max="15109" width="9.5" style="843" customWidth="1"/>
    <col min="15110" max="15110" width="15.75" style="843" customWidth="1"/>
    <col min="15111" max="15111" width="12.5" style="843" customWidth="1"/>
    <col min="15112" max="15360" width="9" style="843"/>
    <col min="15361" max="15361" width="17.25" style="843" customWidth="1"/>
    <col min="15362" max="15362" width="18.125" style="843" customWidth="1"/>
    <col min="15363" max="15363" width="12.25" style="843" customWidth="1"/>
    <col min="15364" max="15364" width="8.5" style="843" customWidth="1"/>
    <col min="15365" max="15365" width="9.5" style="843" customWidth="1"/>
    <col min="15366" max="15366" width="15.75" style="843" customWidth="1"/>
    <col min="15367" max="15367" width="12.5" style="843" customWidth="1"/>
    <col min="15368" max="15616" width="9" style="843"/>
    <col min="15617" max="15617" width="17.25" style="843" customWidth="1"/>
    <col min="15618" max="15618" width="18.125" style="843" customWidth="1"/>
    <col min="15619" max="15619" width="12.25" style="843" customWidth="1"/>
    <col min="15620" max="15620" width="8.5" style="843" customWidth="1"/>
    <col min="15621" max="15621" width="9.5" style="843" customWidth="1"/>
    <col min="15622" max="15622" width="15.75" style="843" customWidth="1"/>
    <col min="15623" max="15623" width="12.5" style="843" customWidth="1"/>
    <col min="15624" max="15872" width="9" style="843"/>
    <col min="15873" max="15873" width="17.25" style="843" customWidth="1"/>
    <col min="15874" max="15874" width="18.125" style="843" customWidth="1"/>
    <col min="15875" max="15875" width="12.25" style="843" customWidth="1"/>
    <col min="15876" max="15876" width="8.5" style="843" customWidth="1"/>
    <col min="15877" max="15877" width="9.5" style="843" customWidth="1"/>
    <col min="15878" max="15878" width="15.75" style="843" customWidth="1"/>
    <col min="15879" max="15879" width="12.5" style="843" customWidth="1"/>
    <col min="15880" max="16128" width="9" style="843"/>
    <col min="16129" max="16129" width="17.25" style="843" customWidth="1"/>
    <col min="16130" max="16130" width="18.125" style="843" customWidth="1"/>
    <col min="16131" max="16131" width="12.25" style="843" customWidth="1"/>
    <col min="16132" max="16132" width="8.5" style="843" customWidth="1"/>
    <col min="16133" max="16133" width="9.5" style="843" customWidth="1"/>
    <col min="16134" max="16134" width="15.75" style="843" customWidth="1"/>
    <col min="16135" max="16135" width="12.5" style="843" customWidth="1"/>
    <col min="16136" max="16384" width="9" style="843"/>
  </cols>
  <sheetData>
    <row r="1" spans="1:8" ht="18.75" customHeight="1">
      <c r="A1" s="841" t="s">
        <v>675</v>
      </c>
      <c r="B1" s="842"/>
      <c r="C1" s="842"/>
      <c r="D1" s="1798" t="e">
        <f>H2&amp;"様式4"&amp;H3</f>
        <v>#N/A</v>
      </c>
      <c r="E1" s="1798"/>
      <c r="F1" s="1798"/>
      <c r="G1" s="406"/>
      <c r="H1" s="74" t="s">
        <v>475</v>
      </c>
    </row>
    <row r="2" spans="1:8" ht="18.75" customHeight="1">
      <c r="A2" s="842"/>
      <c r="B2" s="842"/>
      <c r="C2" s="842"/>
      <c r="D2" s="842"/>
      <c r="E2" s="92"/>
      <c r="F2" s="92"/>
      <c r="G2" s="406"/>
      <c r="H2" s="75" t="str">
        <f>【様式１】総括表・個票!$AI$2</f>
        <v>加-23_月申-</v>
      </c>
    </row>
    <row r="3" spans="1:8" ht="14.25">
      <c r="A3" s="1799" t="str">
        <f>【様式2】職員名簿!A2</f>
        <v>2023年度</v>
      </c>
      <c r="B3" s="1799"/>
      <c r="C3" s="1799"/>
      <c r="D3" s="844" t="s">
        <v>676</v>
      </c>
      <c r="E3" s="844" t="str">
        <f>【様式2】職員名簿!G2</f>
        <v>【月分】</v>
      </c>
      <c r="F3" s="845"/>
      <c r="H3" s="74" t="e">
        <f>【様式１】総括表・個票!$AI$3</f>
        <v>#N/A</v>
      </c>
    </row>
    <row r="4" spans="1:8" ht="12.75" thickBot="1">
      <c r="A4" s="845"/>
      <c r="B4" s="845"/>
      <c r="C4" s="845"/>
      <c r="D4" s="846"/>
      <c r="E4" s="847"/>
      <c r="F4" s="847"/>
    </row>
    <row r="5" spans="1:8" s="852" customFormat="1" ht="18.75" customHeight="1">
      <c r="A5" s="848" t="s">
        <v>677</v>
      </c>
      <c r="B5" s="849" t="s">
        <v>678</v>
      </c>
      <c r="C5" s="849" t="s">
        <v>679</v>
      </c>
      <c r="D5" s="850" t="s">
        <v>937</v>
      </c>
      <c r="E5" s="850" t="s">
        <v>680</v>
      </c>
      <c r="F5" s="851" t="s">
        <v>643</v>
      </c>
    </row>
    <row r="6" spans="1:8" ht="30" customHeight="1">
      <c r="A6" s="1780"/>
      <c r="B6" s="856"/>
      <c r="C6" s="857"/>
      <c r="D6" s="1782"/>
      <c r="E6" s="1782"/>
      <c r="F6" s="1784"/>
    </row>
    <row r="7" spans="1:8" ht="30" customHeight="1">
      <c r="A7" s="1781"/>
      <c r="B7" s="856"/>
      <c r="C7" s="857"/>
      <c r="D7" s="1783"/>
      <c r="E7" s="1783"/>
      <c r="F7" s="1785"/>
    </row>
    <row r="8" spans="1:8" ht="30" customHeight="1">
      <c r="A8" s="1780"/>
      <c r="B8" s="856"/>
      <c r="C8" s="857"/>
      <c r="D8" s="1782"/>
      <c r="E8" s="1782"/>
      <c r="F8" s="1784"/>
    </row>
    <row r="9" spans="1:8" ht="30" customHeight="1">
      <c r="A9" s="1781"/>
      <c r="B9" s="856"/>
      <c r="C9" s="857"/>
      <c r="D9" s="1783"/>
      <c r="E9" s="1783"/>
      <c r="F9" s="1785"/>
    </row>
    <row r="10" spans="1:8" ht="30" customHeight="1">
      <c r="A10" s="1780"/>
      <c r="B10" s="856"/>
      <c r="C10" s="857"/>
      <c r="D10" s="1782"/>
      <c r="E10" s="1782"/>
      <c r="F10" s="1784"/>
    </row>
    <row r="11" spans="1:8" ht="30" customHeight="1">
      <c r="A11" s="1781"/>
      <c r="B11" s="856"/>
      <c r="C11" s="857"/>
      <c r="D11" s="1783"/>
      <c r="E11" s="1783"/>
      <c r="F11" s="1785"/>
    </row>
    <row r="12" spans="1:8" ht="30" customHeight="1">
      <c r="A12" s="1780"/>
      <c r="B12" s="856"/>
      <c r="C12" s="857"/>
      <c r="D12" s="1782"/>
      <c r="E12" s="1782"/>
      <c r="F12" s="1784"/>
    </row>
    <row r="13" spans="1:8" ht="30" customHeight="1">
      <c r="A13" s="1781"/>
      <c r="B13" s="856"/>
      <c r="C13" s="857"/>
      <c r="D13" s="1783"/>
      <c r="E13" s="1783"/>
      <c r="F13" s="1785"/>
    </row>
    <row r="14" spans="1:8" ht="30" customHeight="1">
      <c r="A14" s="1780"/>
      <c r="B14" s="856"/>
      <c r="C14" s="857"/>
      <c r="D14" s="1782"/>
      <c r="E14" s="1782"/>
      <c r="F14" s="1784"/>
    </row>
    <row r="15" spans="1:8" ht="30" customHeight="1">
      <c r="A15" s="1781"/>
      <c r="B15" s="856"/>
      <c r="C15" s="857"/>
      <c r="D15" s="1783"/>
      <c r="E15" s="1783"/>
      <c r="F15" s="1785"/>
    </row>
    <row r="16" spans="1:8" ht="30" customHeight="1">
      <c r="A16" s="1780"/>
      <c r="B16" s="856"/>
      <c r="C16" s="857"/>
      <c r="D16" s="1782"/>
      <c r="E16" s="1782"/>
      <c r="F16" s="1784"/>
    </row>
    <row r="17" spans="1:6" ht="30" customHeight="1">
      <c r="A17" s="1781"/>
      <c r="B17" s="856"/>
      <c r="C17" s="857"/>
      <c r="D17" s="1783"/>
      <c r="E17" s="1783"/>
      <c r="F17" s="1785"/>
    </row>
    <row r="18" spans="1:6" ht="30" customHeight="1">
      <c r="A18" s="1780"/>
      <c r="B18" s="856"/>
      <c r="C18" s="857"/>
      <c r="D18" s="1782"/>
      <c r="E18" s="1782"/>
      <c r="F18" s="1784"/>
    </row>
    <row r="19" spans="1:6" ht="30" customHeight="1">
      <c r="A19" s="1781"/>
      <c r="B19" s="856"/>
      <c r="C19" s="857"/>
      <c r="D19" s="1783"/>
      <c r="E19" s="1783"/>
      <c r="F19" s="1785"/>
    </row>
    <row r="20" spans="1:6" ht="30" customHeight="1">
      <c r="A20" s="1780"/>
      <c r="B20" s="856"/>
      <c r="C20" s="857"/>
      <c r="D20" s="1782"/>
      <c r="E20" s="1782"/>
      <c r="F20" s="1784"/>
    </row>
    <row r="21" spans="1:6" ht="30" customHeight="1">
      <c r="A21" s="1781"/>
      <c r="B21" s="856"/>
      <c r="C21" s="857"/>
      <c r="D21" s="1783"/>
      <c r="E21" s="1783"/>
      <c r="F21" s="1785"/>
    </row>
    <row r="22" spans="1:6" ht="30" customHeight="1">
      <c r="A22" s="1780"/>
      <c r="B22" s="856"/>
      <c r="C22" s="857"/>
      <c r="D22" s="1782"/>
      <c r="E22" s="1782"/>
      <c r="F22" s="1784"/>
    </row>
    <row r="23" spans="1:6" ht="30" customHeight="1">
      <c r="A23" s="1781"/>
      <c r="B23" s="856"/>
      <c r="C23" s="857"/>
      <c r="D23" s="1783"/>
      <c r="E23" s="1783"/>
      <c r="F23" s="1785"/>
    </row>
    <row r="24" spans="1:6" ht="30" customHeight="1">
      <c r="A24" s="1780"/>
      <c r="B24" s="856"/>
      <c r="C24" s="857"/>
      <c r="D24" s="1782"/>
      <c r="E24" s="1782"/>
      <c r="F24" s="1784"/>
    </row>
    <row r="25" spans="1:6" ht="30" customHeight="1" thickBot="1">
      <c r="A25" s="1781"/>
      <c r="B25" s="856"/>
      <c r="C25" s="857"/>
      <c r="D25" s="1783"/>
      <c r="E25" s="1783"/>
      <c r="F25" s="1785"/>
    </row>
    <row r="26" spans="1:6" ht="20.25" customHeight="1">
      <c r="A26" s="1786" t="s">
        <v>15</v>
      </c>
      <c r="B26" s="1788" t="s">
        <v>681</v>
      </c>
      <c r="C26" s="1789"/>
      <c r="D26" s="1790"/>
      <c r="E26" s="1791"/>
      <c r="F26" s="1792"/>
    </row>
    <row r="27" spans="1:6" ht="34.5" customHeight="1" thickBot="1">
      <c r="A27" s="1787"/>
      <c r="B27" s="1796">
        <f>SUM(C6:C25)</f>
        <v>0</v>
      </c>
      <c r="C27" s="1797">
        <v>0</v>
      </c>
      <c r="D27" s="1793"/>
      <c r="E27" s="1794"/>
      <c r="F27" s="1795"/>
    </row>
    <row r="28" spans="1:6" s="854" customFormat="1" ht="15" customHeight="1">
      <c r="A28" s="853"/>
      <c r="B28" s="853"/>
      <c r="C28" s="853"/>
      <c r="D28" s="853"/>
      <c r="E28" s="853"/>
      <c r="F28" s="853"/>
    </row>
    <row r="29" spans="1:6" s="854" customFormat="1" ht="15" customHeight="1">
      <c r="A29" s="855" t="s">
        <v>682</v>
      </c>
      <c r="B29" s="855"/>
      <c r="C29" s="855"/>
      <c r="D29" s="855"/>
      <c r="E29" s="855"/>
      <c r="F29" s="855"/>
    </row>
    <row r="30" spans="1:6" s="854" customFormat="1" ht="15" customHeight="1">
      <c r="A30" s="1778" t="s">
        <v>683</v>
      </c>
      <c r="B30" s="1778"/>
      <c r="C30" s="1778"/>
      <c r="D30" s="1778"/>
      <c r="E30" s="1778"/>
      <c r="F30" s="1778"/>
    </row>
    <row r="31" spans="1:6" s="854" customFormat="1" ht="15" customHeight="1">
      <c r="A31" s="1778" t="s">
        <v>684</v>
      </c>
      <c r="B31" s="1778"/>
      <c r="C31" s="1778"/>
      <c r="D31" s="1778"/>
      <c r="E31" s="1778"/>
      <c r="F31" s="1778"/>
    </row>
    <row r="32" spans="1:6" ht="10.5" customHeight="1"/>
    <row r="33" spans="11:20" ht="12.75" customHeight="1">
      <c r="K33" s="852"/>
      <c r="N33" s="1779"/>
      <c r="O33" s="1779"/>
      <c r="P33" s="1779"/>
      <c r="Q33" s="1779"/>
      <c r="R33" s="1779"/>
      <c r="S33" s="1779"/>
      <c r="T33" s="1779"/>
    </row>
  </sheetData>
  <sheetProtection selectLockedCells="1"/>
  <mergeCells count="49">
    <mergeCell ref="D1:F1"/>
    <mergeCell ref="A3:C3"/>
    <mergeCell ref="A6:A7"/>
    <mergeCell ref="D6:D7"/>
    <mergeCell ref="E6:E7"/>
    <mergeCell ref="F6:F7"/>
    <mergeCell ref="A8:A9"/>
    <mergeCell ref="D8:D9"/>
    <mergeCell ref="E8:E9"/>
    <mergeCell ref="F8:F9"/>
    <mergeCell ref="A10:A11"/>
    <mergeCell ref="D10:D11"/>
    <mergeCell ref="E10:E11"/>
    <mergeCell ref="F10:F11"/>
    <mergeCell ref="A12:A13"/>
    <mergeCell ref="D12:D13"/>
    <mergeCell ref="E12:E13"/>
    <mergeCell ref="F12:F13"/>
    <mergeCell ref="A14:A15"/>
    <mergeCell ref="D14:D15"/>
    <mergeCell ref="E14:E15"/>
    <mergeCell ref="F14:F15"/>
    <mergeCell ref="A16:A17"/>
    <mergeCell ref="D16:D17"/>
    <mergeCell ref="E16:E17"/>
    <mergeCell ref="F16:F17"/>
    <mergeCell ref="A18:A19"/>
    <mergeCell ref="D18:D19"/>
    <mergeCell ref="E18:E19"/>
    <mergeCell ref="F18:F19"/>
    <mergeCell ref="A20:A21"/>
    <mergeCell ref="D20:D21"/>
    <mergeCell ref="E20:E21"/>
    <mergeCell ref="F20:F21"/>
    <mergeCell ref="A22:A23"/>
    <mergeCell ref="D22:D23"/>
    <mergeCell ref="E22:E23"/>
    <mergeCell ref="F22:F23"/>
    <mergeCell ref="A30:F30"/>
    <mergeCell ref="A31:F31"/>
    <mergeCell ref="N33:T33"/>
    <mergeCell ref="A24:A25"/>
    <mergeCell ref="D24:D25"/>
    <mergeCell ref="E24:E25"/>
    <mergeCell ref="F24:F25"/>
    <mergeCell ref="A26:A27"/>
    <mergeCell ref="B26:C26"/>
    <mergeCell ref="D26:F27"/>
    <mergeCell ref="B27:C27"/>
  </mergeCells>
  <phoneticPr fontId="1"/>
  <pageMargins left="0.78740157480314965" right="0.78740157480314965" top="0.51181102362204722" bottom="0.51181102362204722" header="0.51181102362204722" footer="0.51181102362204722"/>
  <pageSetup paperSize="9" fitToHeight="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FF0000"/>
  </sheetPr>
  <dimension ref="A1:BP175"/>
  <sheetViews>
    <sheetView view="pageBreakPreview" zoomScale="85" zoomScaleNormal="85" zoomScaleSheetLayoutView="85" workbookViewId="0">
      <selection activeCell="H1" sqref="H1"/>
    </sheetView>
  </sheetViews>
  <sheetFormatPr defaultColWidth="9" defaultRowHeight="12" outlineLevelRow="1" outlineLevelCol="1"/>
  <cols>
    <col min="1" max="1" width="10.75" style="101" customWidth="1"/>
    <col min="2" max="15" width="10.625" style="101" customWidth="1"/>
    <col min="16" max="16" width="53.125" style="101" customWidth="1"/>
    <col min="17" max="19" width="5.625" style="101" hidden="1" customWidth="1" outlineLevel="1"/>
    <col min="20" max="20" width="5.25" style="101" hidden="1" customWidth="1" outlineLevel="1"/>
    <col min="21" max="28" width="5.625" style="101" hidden="1" customWidth="1" outlineLevel="1"/>
    <col min="29" max="29" width="7" style="101" hidden="1" customWidth="1" outlineLevel="1"/>
    <col min="30" max="36" width="5.625" style="101" hidden="1" customWidth="1" outlineLevel="1"/>
    <col min="37" max="37" width="13.625" style="101" hidden="1" customWidth="1" outlineLevel="1"/>
    <col min="38" max="38" width="13.125" style="101" hidden="1" customWidth="1" outlineLevel="1"/>
    <col min="39" max="67" width="9" style="101" hidden="1" customWidth="1" outlineLevel="1"/>
    <col min="68" max="68" width="9" style="101" collapsed="1"/>
    <col min="69" max="16384" width="9" style="101"/>
  </cols>
  <sheetData>
    <row r="1" spans="1:68" ht="15" customHeight="1" thickBot="1">
      <c r="A1" s="159" t="s">
        <v>685</v>
      </c>
      <c r="B1" s="154"/>
      <c r="C1" s="154"/>
      <c r="D1" s="154"/>
      <c r="E1" s="154"/>
      <c r="F1" s="154"/>
      <c r="G1" s="154"/>
      <c r="H1" s="154"/>
      <c r="I1" s="154"/>
      <c r="J1" s="1705" t="e">
        <f>Q2&amp;"様式5"&amp;Q3</f>
        <v>#N/A</v>
      </c>
      <c r="K1" s="1705"/>
      <c r="L1" s="1705"/>
      <c r="M1" s="1705"/>
      <c r="N1" s="1705"/>
      <c r="O1" s="1705"/>
      <c r="P1" s="779"/>
      <c r="Q1" s="74" t="s">
        <v>475</v>
      </c>
      <c r="AL1" s="115" t="s">
        <v>686</v>
      </c>
      <c r="AM1" s="115" t="s">
        <v>147</v>
      </c>
      <c r="AN1" s="278" t="s">
        <v>65</v>
      </c>
      <c r="AO1" s="2109" t="s">
        <v>80</v>
      </c>
      <c r="AP1" s="2109"/>
      <c r="AQ1" s="115"/>
      <c r="AR1" s="115" t="s">
        <v>65</v>
      </c>
      <c r="AS1" s="407" t="s">
        <v>687</v>
      </c>
      <c r="AT1" s="1947" t="s">
        <v>688</v>
      </c>
      <c r="AU1" s="1948"/>
      <c r="AV1" s="1948"/>
      <c r="AW1" s="1948"/>
      <c r="AX1" s="1948"/>
      <c r="AY1" s="1948"/>
      <c r="AZ1" s="1948"/>
      <c r="BA1" s="1948"/>
      <c r="BB1" s="1948"/>
      <c r="BC1" s="1948"/>
      <c r="BD1" s="1948"/>
      <c r="BE1" s="1948"/>
      <c r="BF1" s="1948"/>
      <c r="BG1" s="1948"/>
      <c r="BH1" s="1948"/>
      <c r="BI1" s="1948"/>
      <c r="BJ1" s="1948"/>
      <c r="BK1" s="1948"/>
      <c r="BL1" s="1948"/>
      <c r="BM1" s="1948"/>
      <c r="BN1" s="1948"/>
      <c r="BO1" s="1949"/>
      <c r="BP1" s="156"/>
    </row>
    <row r="2" spans="1:68" ht="15" customHeight="1" thickBot="1">
      <c r="A2" s="154"/>
      <c r="B2" s="154"/>
      <c r="C2" s="154"/>
      <c r="D2" s="154"/>
      <c r="E2" s="154"/>
      <c r="F2" s="154"/>
      <c r="G2" s="154"/>
      <c r="H2" s="154"/>
      <c r="I2" s="154"/>
      <c r="J2" s="154"/>
      <c r="K2" s="154"/>
      <c r="L2" s="225"/>
      <c r="M2" s="154"/>
      <c r="N2" s="225"/>
      <c r="O2" s="225"/>
      <c r="P2" s="779"/>
      <c r="Q2" s="75" t="str">
        <f>【様式１】総括表・個票!$AI$2</f>
        <v>加-23_月申-</v>
      </c>
      <c r="AL2" s="408" t="b">
        <f>AND(OR(AL3&gt;0,AL4&gt;0),ISNUMBER(AL3))</f>
        <v>0</v>
      </c>
      <c r="AM2" s="115">
        <f>【様式2】職員名簿!$F$5</f>
        <v>0</v>
      </c>
      <c r="AN2" s="278"/>
      <c r="AO2" s="115">
        <v>1</v>
      </c>
      <c r="AP2" s="115">
        <v>1</v>
      </c>
      <c r="AQ2" s="115"/>
      <c r="AR2" s="115"/>
      <c r="AS2" s="407" t="str">
        <f>【様式2】職員名簿!Z26</f>
        <v>施設長</v>
      </c>
      <c r="AT2" s="2110" t="s">
        <v>689</v>
      </c>
      <c r="AU2" s="1475"/>
      <c r="AV2" s="1475"/>
      <c r="AW2" s="1475"/>
      <c r="AX2" s="1475"/>
      <c r="AY2" s="2110" t="s">
        <v>690</v>
      </c>
      <c r="AZ2" s="2111"/>
      <c r="BA2" s="2112" t="s">
        <v>691</v>
      </c>
      <c r="BB2" s="2111"/>
      <c r="BC2" s="2112" t="s">
        <v>691</v>
      </c>
      <c r="BD2" s="2111"/>
      <c r="BE2" s="2110" t="s">
        <v>126</v>
      </c>
      <c r="BF2" s="2111"/>
      <c r="BG2" s="2110" t="s">
        <v>123</v>
      </c>
      <c r="BH2" s="2111"/>
      <c r="BI2" s="2110" t="s">
        <v>692</v>
      </c>
      <c r="BJ2" s="2111"/>
      <c r="BK2" s="2110" t="s">
        <v>693</v>
      </c>
      <c r="BL2" s="1475"/>
      <c r="BM2" s="2110" t="s">
        <v>694</v>
      </c>
      <c r="BN2" s="1475"/>
      <c r="BO2" s="1475"/>
    </row>
    <row r="3" spans="1:68" ht="15" customHeight="1" thickTop="1" thickBot="1">
      <c r="A3" s="154"/>
      <c r="B3" s="2142" t="str">
        <f>【様式2】職員名簿!A2</f>
        <v>2023年度</v>
      </c>
      <c r="C3" s="2142"/>
      <c r="D3" s="2126" t="s">
        <v>695</v>
      </c>
      <c r="E3" s="2126"/>
      <c r="F3" s="2126"/>
      <c r="G3" s="2126"/>
      <c r="H3" s="2126"/>
      <c r="I3" s="2126"/>
      <c r="J3" s="2126"/>
      <c r="K3" s="2126" t="str">
        <f>+"【"&amp;【様式１】総括表・個票!I10&amp;"月分】"</f>
        <v>【月分】</v>
      </c>
      <c r="L3" s="2126"/>
      <c r="M3" s="409"/>
      <c r="N3" s="409"/>
      <c r="O3" s="409"/>
      <c r="P3" s="410"/>
      <c r="Q3" s="74" t="e">
        <f>【様式１】総括表・個票!$AI$3</f>
        <v>#N/A</v>
      </c>
      <c r="AK3" s="411" t="s">
        <v>828</v>
      </c>
      <c r="AL3" s="412">
        <f>AM2/2</f>
        <v>0</v>
      </c>
      <c r="AN3" s="278" t="s">
        <v>696</v>
      </c>
      <c r="AO3" s="115">
        <v>46</v>
      </c>
      <c r="AP3" s="115">
        <v>2</v>
      </c>
      <c r="AQ3" s="115">
        <v>1</v>
      </c>
      <c r="AR3" s="115"/>
      <c r="AS3" s="407" t="str">
        <f>【様式2】職員名簿!Z27</f>
        <v>保育士</v>
      </c>
      <c r="AT3" s="271"/>
      <c r="AU3" s="184"/>
      <c r="AV3" s="184"/>
      <c r="AW3" s="184"/>
      <c r="AX3" s="413"/>
      <c r="AY3" s="271" t="str">
        <f>AS2</f>
        <v>施設長</v>
      </c>
      <c r="AZ3" s="2070" t="s">
        <v>697</v>
      </c>
      <c r="BA3" s="271" t="str">
        <f>AS3</f>
        <v>保育士</v>
      </c>
      <c r="BB3" s="2070" t="s">
        <v>697</v>
      </c>
      <c r="BC3" s="271" t="str">
        <f>AS3</f>
        <v>保育士</v>
      </c>
      <c r="BD3" s="2070" t="s">
        <v>697</v>
      </c>
      <c r="BE3" s="271" t="str">
        <f>AS4</f>
        <v>栄養士</v>
      </c>
      <c r="BF3" s="2070" t="s">
        <v>697</v>
      </c>
      <c r="BG3" s="271" t="str">
        <f>AS4</f>
        <v>栄養士</v>
      </c>
      <c r="BH3" s="2070" t="s">
        <v>697</v>
      </c>
      <c r="BI3" s="271" t="str">
        <f>AS6</f>
        <v>事務員</v>
      </c>
      <c r="BJ3" s="2070" t="s">
        <v>697</v>
      </c>
      <c r="BK3" s="271" t="s">
        <v>698</v>
      </c>
      <c r="BL3" s="2075" t="s">
        <v>697</v>
      </c>
      <c r="BM3" s="414"/>
      <c r="BN3" s="415"/>
      <c r="BO3" s="353"/>
    </row>
    <row r="4" spans="1:68" ht="15" customHeight="1" thickTop="1" thickBot="1">
      <c r="A4" s="159" t="s">
        <v>699</v>
      </c>
      <c r="B4" s="154"/>
      <c r="C4" s="416"/>
      <c r="D4" s="416"/>
      <c r="E4" s="416"/>
      <c r="F4" s="417"/>
      <c r="G4" s="417"/>
      <c r="H4" s="417"/>
      <c r="I4" s="417"/>
      <c r="J4" s="418"/>
      <c r="K4" s="417"/>
      <c r="L4" s="418"/>
      <c r="M4" s="154"/>
      <c r="N4" s="154"/>
      <c r="O4" s="154"/>
      <c r="AK4" s="411" t="s">
        <v>827</v>
      </c>
      <c r="AL4" s="412">
        <f>AM2/5*2</f>
        <v>0</v>
      </c>
      <c r="AN4" s="278" t="s">
        <v>700</v>
      </c>
      <c r="AO4" s="115">
        <v>151</v>
      </c>
      <c r="AP4" s="115">
        <v>3</v>
      </c>
      <c r="AQ4" s="115">
        <v>2</v>
      </c>
      <c r="AR4" s="115"/>
      <c r="AS4" s="407" t="str">
        <f>【様式2】職員名簿!Z28</f>
        <v>栄養士</v>
      </c>
      <c r="AT4" s="271"/>
      <c r="AU4" s="184"/>
      <c r="AV4" s="184"/>
      <c r="AW4" s="184"/>
      <c r="AX4" s="413"/>
      <c r="AY4" s="336"/>
      <c r="AZ4" s="2071"/>
      <c r="BB4" s="2071"/>
      <c r="BC4" s="101" t="s">
        <v>7</v>
      </c>
      <c r="BD4" s="2071"/>
      <c r="BF4" s="2071"/>
      <c r="BG4" s="271" t="str">
        <f>AS5</f>
        <v>調理員</v>
      </c>
      <c r="BH4" s="2071"/>
      <c r="BJ4" s="2071"/>
      <c r="BL4" s="2076"/>
      <c r="BM4" s="414"/>
      <c r="BN4" s="415"/>
      <c r="BO4" s="353"/>
    </row>
    <row r="5" spans="1:68" ht="15" customHeight="1" thickTop="1" thickBot="1">
      <c r="A5" s="154" t="s">
        <v>701</v>
      </c>
      <c r="B5" s="154"/>
      <c r="C5" s="154"/>
      <c r="D5" s="154"/>
      <c r="E5" s="154"/>
      <c r="F5" s="154"/>
      <c r="G5" s="154"/>
      <c r="H5" s="154"/>
      <c r="I5" s="154"/>
      <c r="J5" s="154"/>
      <c r="K5" s="154"/>
      <c r="L5" s="195"/>
      <c r="M5" s="154"/>
      <c r="N5" s="195"/>
      <c r="O5" s="195"/>
      <c r="P5" s="150"/>
      <c r="AO5" s="115">
        <v>241</v>
      </c>
      <c r="AP5" s="115">
        <v>3.5</v>
      </c>
      <c r="AQ5" s="115">
        <v>3</v>
      </c>
      <c r="AR5" s="115"/>
      <c r="AS5" s="407" t="str">
        <f>【様式2】職員名簿!Z29</f>
        <v>調理員</v>
      </c>
      <c r="AT5" s="281"/>
      <c r="AU5" s="283"/>
      <c r="AV5" s="283"/>
      <c r="AW5" s="283"/>
      <c r="AX5" s="782"/>
      <c r="AY5" s="419"/>
      <c r="AZ5" s="2072"/>
      <c r="BA5" s="420"/>
      <c r="BB5" s="2072"/>
      <c r="BC5" s="420"/>
      <c r="BD5" s="2072"/>
      <c r="BE5" s="420"/>
      <c r="BF5" s="2072"/>
      <c r="BH5" s="2072"/>
      <c r="BI5" s="420"/>
      <c r="BJ5" s="2072"/>
      <c r="BK5" s="420"/>
      <c r="BL5" s="2077"/>
      <c r="BM5" s="421"/>
      <c r="BN5" s="422"/>
      <c r="BO5" s="423"/>
    </row>
    <row r="6" spans="1:68" ht="15" customHeight="1" thickTop="1" thickBot="1">
      <c r="A6" s="2139" t="s">
        <v>127</v>
      </c>
      <c r="B6" s="658" t="s">
        <v>0</v>
      </c>
      <c r="C6" s="2073" t="s">
        <v>404</v>
      </c>
      <c r="D6" s="2074"/>
      <c r="E6" s="2074"/>
      <c r="F6" s="2074"/>
      <c r="G6" s="2074"/>
      <c r="H6" s="2074"/>
      <c r="I6" s="2074"/>
      <c r="J6" s="2074"/>
      <c r="K6" s="2074"/>
      <c r="L6" s="2074"/>
      <c r="M6" s="2074"/>
      <c r="N6" s="2141" t="s">
        <v>405</v>
      </c>
      <c r="O6" s="154"/>
      <c r="AO6" s="115">
        <v>271</v>
      </c>
      <c r="AP6" s="115">
        <v>5</v>
      </c>
      <c r="AQ6" s="115">
        <v>3.5</v>
      </c>
      <c r="AR6" s="115"/>
      <c r="AS6" s="407" t="str">
        <f>【様式2】職員名簿!Z30</f>
        <v>事務員</v>
      </c>
      <c r="AT6" s="424" t="s">
        <v>702</v>
      </c>
      <c r="AU6" s="425" t="s">
        <v>144</v>
      </c>
      <c r="AV6" s="425" t="s">
        <v>703</v>
      </c>
      <c r="AW6" s="425" t="s">
        <v>704</v>
      </c>
      <c r="AX6" s="169" t="s">
        <v>618</v>
      </c>
      <c r="AY6" s="168" t="s">
        <v>705</v>
      </c>
      <c r="AZ6" s="426" t="s">
        <v>619</v>
      </c>
      <c r="BA6" s="169" t="s">
        <v>705</v>
      </c>
      <c r="BB6" s="426" t="s">
        <v>650</v>
      </c>
      <c r="BC6" s="169" t="s">
        <v>705</v>
      </c>
      <c r="BD6" s="426" t="s">
        <v>706</v>
      </c>
      <c r="BE6" s="427" t="s">
        <v>705</v>
      </c>
      <c r="BF6" s="426" t="s">
        <v>126</v>
      </c>
      <c r="BG6" s="424" t="s">
        <v>705</v>
      </c>
      <c r="BH6" s="426" t="s">
        <v>123</v>
      </c>
      <c r="BI6" s="424" t="s">
        <v>705</v>
      </c>
      <c r="BJ6" s="426" t="s">
        <v>621</v>
      </c>
      <c r="BK6" s="424" t="s">
        <v>705</v>
      </c>
      <c r="BL6" s="426" t="s">
        <v>707</v>
      </c>
      <c r="BM6" s="428"/>
      <c r="BN6" s="426" t="s">
        <v>694</v>
      </c>
      <c r="BO6" s="429"/>
    </row>
    <row r="7" spans="1:68" ht="15" customHeight="1" thickBot="1">
      <c r="A7" s="2140"/>
      <c r="B7" s="430" t="s">
        <v>804</v>
      </c>
      <c r="C7" s="431" t="s">
        <v>402</v>
      </c>
      <c r="D7" s="430" t="s">
        <v>803</v>
      </c>
      <c r="E7" s="431" t="s">
        <v>708</v>
      </c>
      <c r="F7" s="710" t="s">
        <v>709</v>
      </c>
      <c r="G7" s="711" t="s">
        <v>710</v>
      </c>
      <c r="H7" s="711" t="s">
        <v>711</v>
      </c>
      <c r="I7" s="711" t="s">
        <v>712</v>
      </c>
      <c r="J7" s="712" t="s">
        <v>713</v>
      </c>
      <c r="K7" s="712" t="s">
        <v>714</v>
      </c>
      <c r="L7" s="713" t="s">
        <v>715</v>
      </c>
      <c r="M7" s="430" t="s">
        <v>14</v>
      </c>
      <c r="N7" s="1668"/>
      <c r="O7" s="154"/>
      <c r="AO7" s="115">
        <v>301</v>
      </c>
      <c r="AP7" s="115">
        <v>6</v>
      </c>
      <c r="AQ7" s="115">
        <v>4</v>
      </c>
      <c r="AR7" s="115"/>
      <c r="AS7" s="407" t="str">
        <f>【様式2】職員名簿!Z31</f>
        <v>その他</v>
      </c>
      <c r="AT7" s="258">
        <v>0</v>
      </c>
      <c r="AU7" s="260"/>
      <c r="AV7" s="260"/>
      <c r="AW7" s="260"/>
      <c r="AX7" s="432"/>
      <c r="AY7" s="433"/>
      <c r="AZ7" s="434"/>
      <c r="BA7" s="432"/>
      <c r="BB7" s="434"/>
      <c r="BC7" s="432"/>
      <c r="BD7" s="434"/>
      <c r="BE7" s="259"/>
      <c r="BF7" s="434"/>
      <c r="BG7" s="258"/>
      <c r="BH7" s="434"/>
      <c r="BI7" s="258"/>
      <c r="BJ7" s="434"/>
      <c r="BK7" s="258"/>
      <c r="BL7" s="434"/>
      <c r="BM7" s="803" t="str">
        <f>【様式2】職員名簿!C28</f>
        <v>保育士</v>
      </c>
      <c r="BN7" s="435" t="str">
        <f>IFERROR(IF(BM7=【様式2】職員名簿!$J28,【様式2】職員名簿!$B28,"×"),"×")</f>
        <v>×</v>
      </c>
      <c r="BO7" s="436">
        <f>【様式2】職員名簿!G28</f>
        <v>0</v>
      </c>
    </row>
    <row r="8" spans="1:68" ht="15" customHeight="1">
      <c r="A8" s="1814" t="s">
        <v>105</v>
      </c>
      <c r="B8" s="1817">
        <f>【様式１】総括表・個票!R15</f>
        <v>0</v>
      </c>
      <c r="C8" s="1838" t="s">
        <v>401</v>
      </c>
      <c r="D8" s="1842" t="s">
        <v>142</v>
      </c>
      <c r="E8" s="664" t="s">
        <v>716</v>
      </c>
      <c r="F8" s="858"/>
      <c r="G8" s="715"/>
      <c r="H8" s="715"/>
      <c r="I8" s="714" t="s">
        <v>718</v>
      </c>
      <c r="J8" s="715"/>
      <c r="K8" s="715"/>
      <c r="L8" s="716"/>
      <c r="M8" s="437">
        <f>SUM(F8:L8)</f>
        <v>0</v>
      </c>
      <c r="N8" s="438">
        <f>SUM(M8,M12)</f>
        <v>0</v>
      </c>
      <c r="O8" s="154"/>
      <c r="AO8" s="115">
        <v>451</v>
      </c>
      <c r="AP8" s="115">
        <v>8</v>
      </c>
      <c r="AQ8" s="115">
        <v>4.5</v>
      </c>
      <c r="AR8" s="115"/>
      <c r="AS8" s="439"/>
      <c r="AT8" s="271">
        <f t="shared" ref="AT8:AT39" si="0">ROW()-ROW($AT$7)</f>
        <v>1</v>
      </c>
      <c r="AU8" s="184" t="str">
        <f>AT8&amp;" "&amp;IF(AW8&lt;&gt;"-",【様式2】職員名簿!B38&amp;"/"&amp;AV8&amp;"/"&amp;AW8,"")</f>
        <v xml:space="preserve">1 </v>
      </c>
      <c r="AV8" s="184">
        <f>【様式2】職員名簿!E38</f>
        <v>0</v>
      </c>
      <c r="AW8" s="184" t="str">
        <f>IF(【様式2】職員名簿!J38="エラー","-",【様式2】職員名簿!J38)</f>
        <v>-</v>
      </c>
      <c r="AX8" s="413">
        <f>IF($AV8="常勤",$AM$2,IF($AV8="非常勤",【様式2】職員名簿!G38,0))</f>
        <v>0</v>
      </c>
      <c r="AY8" s="440">
        <f>IF($AW8=AY$3,COUNTIF($AW$8:$AW8,AY$3),0)</f>
        <v>0</v>
      </c>
      <c r="AZ8" s="441" t="str">
        <f t="shared" ref="AZ8:AZ39" si="1">IFERROR(INDEX($AU$8:$AU$107,MATCH($AT8,AY$8:AY$107,0),1),"")</f>
        <v/>
      </c>
      <c r="BA8" s="442">
        <f>IF($AW8=BA$3,COUNTIF($AW$8:$AW8,BA$3),0)</f>
        <v>0</v>
      </c>
      <c r="BB8" s="441" t="str">
        <f t="shared" ref="BB8:BB39" si="2">IFERROR(INDEX($AU$8:$AU$107,MATCH($AT8,BA$8:BA$107,0),1),"")</f>
        <v/>
      </c>
      <c r="BC8" s="442">
        <f>IF($AW8=BC$3,COUNTIFS($AW$8:$AW8,BC$3,$AV$8:$AV8,BC$4),0)</f>
        <v>0</v>
      </c>
      <c r="BD8" s="441" t="str">
        <f t="shared" ref="BD8:BD39" si="3">IFERROR(INDEX($AU$8:$AU$107,MATCH($AT8,BC$8:BC$107,0),1),"")</f>
        <v/>
      </c>
      <c r="BE8" s="272">
        <f>IF($AW8=BE$3,COUNTIF($AW$8:$AW8,BE$3),0)</f>
        <v>0</v>
      </c>
      <c r="BF8" s="441" t="str">
        <f t="shared" ref="BF8:BF39" si="4">IFERROR(INDEX($AU$8:$AU$107,MATCH($AT8,BE$8:BE$107,0),1),"")</f>
        <v/>
      </c>
      <c r="BG8" s="271">
        <f>IF(OR($AW8=BG$3,$AW8=BG$4),COUNTIF($AW$8:$AW8,BG$3)+COUNTIF($AW$8:$AW8,BG$4),0)</f>
        <v>0</v>
      </c>
      <c r="BH8" s="441" t="str">
        <f t="shared" ref="BH8:BH39" si="5">IFERROR(INDEX($AU$8:$AU$107,MATCH($AT8,BG$8:BG$107,0),1),"")</f>
        <v/>
      </c>
      <c r="BI8" s="271">
        <f>IF($AW8=BI$3,COUNTIF($AW$8:$AW8,BI$3),0)</f>
        <v>0</v>
      </c>
      <c r="BJ8" s="441" t="str">
        <f t="shared" ref="BJ8:BJ39" si="6">IFERROR(INDEX($AU$8:$AU$107,MATCH($AT8,BI$8:BI$107,0),1),"")</f>
        <v/>
      </c>
      <c r="BK8" s="271">
        <f>IF($AW8&lt;&gt;BK$3,COUNTIF($AW$8:$AW8,"&lt;&gt;"&amp;BK$3),0)</f>
        <v>0</v>
      </c>
      <c r="BL8" s="441" t="str">
        <f t="shared" ref="BL8:BL39" si="7">IFERROR(INDEX($AU$8:$AU$107,MATCH($AT8,BK$8:BK$107,0),1),"")</f>
        <v/>
      </c>
      <c r="BM8" s="442" t="str">
        <f>【様式2】職員名簿!C29</f>
        <v>栄養士（委託）</v>
      </c>
      <c r="BN8" s="441" t="str">
        <f>IFERROR(IF(BM8=【様式2】職員名簿!$J29,【様式2】職員名簿!$B29,"×"),"×")</f>
        <v>×</v>
      </c>
      <c r="BO8" s="443">
        <f>【様式2】職員名簿!G29</f>
        <v>0</v>
      </c>
    </row>
    <row r="9" spans="1:68" ht="15" customHeight="1">
      <c r="A9" s="1815"/>
      <c r="B9" s="1818"/>
      <c r="C9" s="1839"/>
      <c r="D9" s="1815"/>
      <c r="E9" s="665" t="s">
        <v>717</v>
      </c>
      <c r="F9" s="859"/>
      <c r="G9" s="718"/>
      <c r="H9" s="718"/>
      <c r="I9" s="717" t="s">
        <v>718</v>
      </c>
      <c r="J9" s="718"/>
      <c r="K9" s="718"/>
      <c r="L9" s="719"/>
      <c r="M9" s="444">
        <f>SUM(F9:L9)</f>
        <v>0</v>
      </c>
      <c r="N9" s="445">
        <f t="shared" ref="N9:N11" si="8">SUM(M9,M13)</f>
        <v>0</v>
      </c>
      <c r="O9" s="154"/>
      <c r="AQ9" s="115">
        <v>5</v>
      </c>
      <c r="AR9" s="115"/>
      <c r="AT9" s="271">
        <f t="shared" si="0"/>
        <v>2</v>
      </c>
      <c r="AU9" s="184" t="str">
        <f>AT9&amp;" "&amp;IF(AW9&lt;&gt;"-",【様式2】職員名簿!B39&amp;"/"&amp;AV9&amp;"/"&amp;AW9,"")</f>
        <v xml:space="preserve">2 </v>
      </c>
      <c r="AV9" s="184">
        <f>【様式2】職員名簿!E39</f>
        <v>0</v>
      </c>
      <c r="AW9" s="184" t="str">
        <f>IF(【様式2】職員名簿!J39="エラー","-",【様式2】職員名簿!J39)</f>
        <v>-</v>
      </c>
      <c r="AX9" s="413">
        <f>IF($AV9="常勤",$AM$2,IF($AV9="非常勤",【様式2】職員名簿!G39,0))</f>
        <v>0</v>
      </c>
      <c r="AY9" s="440">
        <f>IF($AW9=AY$3,COUNTIF($AW$8:$AW9,AY$3),0)</f>
        <v>0</v>
      </c>
      <c r="AZ9" s="441" t="str">
        <f t="shared" si="1"/>
        <v/>
      </c>
      <c r="BA9" s="442">
        <f>IF($AW9=BA$3,COUNTIF($AW$8:$AW9,BA$3),0)</f>
        <v>0</v>
      </c>
      <c r="BB9" s="441" t="str">
        <f t="shared" si="2"/>
        <v/>
      </c>
      <c r="BC9" s="442">
        <f>IF($AW9=BC$3,COUNTIFS($AW$8:$AW9,BC$3,$AV$8:$AV9,BC$4),0)</f>
        <v>0</v>
      </c>
      <c r="BD9" s="441" t="str">
        <f t="shared" si="3"/>
        <v/>
      </c>
      <c r="BE9" s="272">
        <f>IF($AW9=BE$3,COUNTIF($AW$8:$AW9,BE$3),0)</f>
        <v>0</v>
      </c>
      <c r="BF9" s="441" t="str">
        <f t="shared" si="4"/>
        <v/>
      </c>
      <c r="BG9" s="271">
        <f>IF(OR($AW9=BG$3,$AW9=BG$4),COUNTIF($AW$8:$AW9,BG$3)+COUNTIF($AW$8:$AW9,BG$4),0)</f>
        <v>0</v>
      </c>
      <c r="BH9" s="441" t="str">
        <f t="shared" si="5"/>
        <v/>
      </c>
      <c r="BI9" s="271">
        <f>IF($AW9=BI$3,COUNTIF($AW$8:$AW9,BI$3),0)</f>
        <v>0</v>
      </c>
      <c r="BJ9" s="441" t="str">
        <f t="shared" si="6"/>
        <v/>
      </c>
      <c r="BK9" s="271">
        <f>IF($AW9&lt;&gt;BK$3,COUNTIF($AW$8:$AW9,"&lt;&gt;"&amp;BK$3),0)</f>
        <v>0</v>
      </c>
      <c r="BL9" s="441" t="str">
        <f t="shared" si="7"/>
        <v/>
      </c>
      <c r="BM9" s="442" t="str">
        <f>【様式2】職員名簿!C30</f>
        <v>調理員（委託）</v>
      </c>
      <c r="BN9" s="441" t="str">
        <f>IFERROR(IF(BM9=【様式2】職員名簿!$J30,【様式2】職員名簿!$B30,"×"),"×")</f>
        <v>×</v>
      </c>
      <c r="BO9" s="443">
        <f>【様式2】職員名簿!G30</f>
        <v>0</v>
      </c>
    </row>
    <row r="10" spans="1:68" ht="15" customHeight="1">
      <c r="A10" s="1815"/>
      <c r="B10" s="1818"/>
      <c r="C10" s="1839"/>
      <c r="D10" s="1843" t="s">
        <v>146</v>
      </c>
      <c r="E10" s="666" t="s">
        <v>716</v>
      </c>
      <c r="F10" s="860"/>
      <c r="G10" s="721"/>
      <c r="H10" s="721"/>
      <c r="I10" s="720" t="s">
        <v>718</v>
      </c>
      <c r="J10" s="721"/>
      <c r="K10" s="721"/>
      <c r="L10" s="722"/>
      <c r="M10" s="446">
        <f>SUM(F10:L10)</f>
        <v>0</v>
      </c>
      <c r="N10" s="447">
        <f t="shared" si="8"/>
        <v>0</v>
      </c>
      <c r="O10" s="154"/>
      <c r="AQ10" s="115">
        <v>5.5</v>
      </c>
      <c r="AR10" s="115"/>
      <c r="AT10" s="271">
        <f t="shared" si="0"/>
        <v>3</v>
      </c>
      <c r="AU10" s="184" t="str">
        <f>AT10&amp;" "&amp;IF(AW10&lt;&gt;"-",【様式2】職員名簿!B40&amp;"/"&amp;AV10&amp;"/"&amp;AW10,"")</f>
        <v xml:space="preserve">3 </v>
      </c>
      <c r="AV10" s="184">
        <f>【様式2】職員名簿!E40</f>
        <v>0</v>
      </c>
      <c r="AW10" s="184" t="str">
        <f>IF(【様式2】職員名簿!J40="エラー","-",【様式2】職員名簿!J40)</f>
        <v>-</v>
      </c>
      <c r="AX10" s="413">
        <f>IF($AV10="常勤",$AM$2,IF($AV10="非常勤",【様式2】職員名簿!G40,0))</f>
        <v>0</v>
      </c>
      <c r="AY10" s="440">
        <f>IF($AW10=AY$3,COUNTIF($AW$8:$AW10,AY$3),0)</f>
        <v>0</v>
      </c>
      <c r="AZ10" s="441" t="str">
        <f t="shared" si="1"/>
        <v/>
      </c>
      <c r="BA10" s="442">
        <f>IF($AW10=BA$3,COUNTIF($AW$8:$AW10,BA$3),0)</f>
        <v>0</v>
      </c>
      <c r="BB10" s="441" t="str">
        <f t="shared" si="2"/>
        <v/>
      </c>
      <c r="BC10" s="442">
        <f>IF($AW10=BC$3,COUNTIFS($AW$8:$AW10,BC$3,$AV$8:$AV10,BC$4),0)</f>
        <v>0</v>
      </c>
      <c r="BD10" s="441" t="str">
        <f t="shared" si="3"/>
        <v/>
      </c>
      <c r="BE10" s="272">
        <f>IF($AW10=BE$3,COUNTIF($AW$8:$AW10,BE$3),0)</f>
        <v>0</v>
      </c>
      <c r="BF10" s="441" t="str">
        <f t="shared" si="4"/>
        <v/>
      </c>
      <c r="BG10" s="271">
        <f>IF(OR($AW10=BG$3,$AW10=BG$4),COUNTIF($AW$8:$AW10,BG$3)+COUNTIF($AW$8:$AW10,BG$4),0)</f>
        <v>0</v>
      </c>
      <c r="BH10" s="441" t="str">
        <f t="shared" si="5"/>
        <v/>
      </c>
      <c r="BI10" s="271">
        <f>IF($AW10=BI$3,COUNTIF($AW$8:$AW10,BI$3),0)</f>
        <v>0</v>
      </c>
      <c r="BJ10" s="441" t="str">
        <f t="shared" si="6"/>
        <v/>
      </c>
      <c r="BK10" s="271">
        <f>IF($AW10&lt;&gt;BK$3,COUNTIF($AW$8:$AW10,"&lt;&gt;"&amp;BK$3),0)</f>
        <v>0</v>
      </c>
      <c r="BL10" s="441" t="str">
        <f t="shared" si="7"/>
        <v/>
      </c>
      <c r="BM10" s="442" t="str">
        <f>【様式2】職員名簿!C31</f>
        <v>事務員（委託）</v>
      </c>
      <c r="BN10" s="441" t="str">
        <f>IFERROR(IF(BM10=【様式2】職員名簿!$J31,【様式2】職員名簿!$B31,"×"),"×")</f>
        <v>×</v>
      </c>
      <c r="BO10" s="443">
        <f>【様式2】職員名簿!G31</f>
        <v>0</v>
      </c>
    </row>
    <row r="11" spans="1:68" ht="15" customHeight="1" thickBot="1">
      <c r="A11" s="1815"/>
      <c r="B11" s="1818"/>
      <c r="C11" s="1840"/>
      <c r="D11" s="1844"/>
      <c r="E11" s="667" t="s">
        <v>717</v>
      </c>
      <c r="F11" s="861"/>
      <c r="G11" s="724"/>
      <c r="H11" s="724"/>
      <c r="I11" s="723" t="s">
        <v>718</v>
      </c>
      <c r="J11" s="724"/>
      <c r="K11" s="724"/>
      <c r="L11" s="725"/>
      <c r="M11" s="444">
        <f>SUM(F11:L11)</f>
        <v>0</v>
      </c>
      <c r="N11" s="668">
        <f t="shared" si="8"/>
        <v>0</v>
      </c>
      <c r="O11" s="154"/>
      <c r="AQ11" s="115">
        <v>6</v>
      </c>
      <c r="AR11" s="115"/>
      <c r="AT11" s="271">
        <f t="shared" si="0"/>
        <v>4</v>
      </c>
      <c r="AU11" s="184" t="str">
        <f>AT11&amp;" "&amp;IF(AW11&lt;&gt;"-",【様式2】職員名簿!B41&amp;"/"&amp;AV11&amp;"/"&amp;AW11,"")</f>
        <v xml:space="preserve">4 </v>
      </c>
      <c r="AV11" s="184">
        <f>【様式2】職員名簿!E41</f>
        <v>0</v>
      </c>
      <c r="AW11" s="184" t="str">
        <f>IF(【様式2】職員名簿!J41="エラー","-",【様式2】職員名簿!J41)</f>
        <v>-</v>
      </c>
      <c r="AX11" s="413">
        <f>IF($AV11="常勤",$AM$2,IF($AV11="非常勤",【様式2】職員名簿!G41,0))</f>
        <v>0</v>
      </c>
      <c r="AY11" s="440">
        <f>IF($AW11=AY$3,COUNTIF($AW$8:$AW11,AY$3),0)</f>
        <v>0</v>
      </c>
      <c r="AZ11" s="441" t="str">
        <f t="shared" si="1"/>
        <v/>
      </c>
      <c r="BA11" s="442">
        <f>IF($AW11=BA$3,COUNTIF($AW$8:$AW11,BA$3),0)</f>
        <v>0</v>
      </c>
      <c r="BB11" s="441" t="str">
        <f t="shared" si="2"/>
        <v/>
      </c>
      <c r="BC11" s="442">
        <f>IF($AW11=BC$3,COUNTIFS($AW$8:$AW11,BC$3,$AV$8:$AV11,BC$4),0)</f>
        <v>0</v>
      </c>
      <c r="BD11" s="441" t="str">
        <f t="shared" si="3"/>
        <v/>
      </c>
      <c r="BE11" s="272">
        <f>IF($AW11=BE$3,COUNTIF($AW$8:$AW11,BE$3),0)</f>
        <v>0</v>
      </c>
      <c r="BF11" s="441" t="str">
        <f t="shared" si="4"/>
        <v/>
      </c>
      <c r="BG11" s="271">
        <f>IF(OR($AW11=BG$3,$AW11=BG$4),COUNTIF($AW$8:$AW11,BG$3)+COUNTIF($AW$8:$AW11,BG$4),0)</f>
        <v>0</v>
      </c>
      <c r="BH11" s="441" t="str">
        <f t="shared" si="5"/>
        <v/>
      </c>
      <c r="BI11" s="271">
        <f>IF($AW11=BI$3,COUNTIF($AW$8:$AW11,BI$3),0)</f>
        <v>0</v>
      </c>
      <c r="BJ11" s="441" t="str">
        <f t="shared" si="6"/>
        <v/>
      </c>
      <c r="BK11" s="271">
        <f>IF($AW11&lt;&gt;BK$3,COUNTIF($AW$8:$AW11,"&lt;&gt;"&amp;BK$3),0)</f>
        <v>0</v>
      </c>
      <c r="BL11" s="441" t="str">
        <f t="shared" si="7"/>
        <v/>
      </c>
      <c r="BM11" s="442" t="str">
        <f>【様式2】職員名簿!C32</f>
        <v>その他（委託）</v>
      </c>
      <c r="BN11" s="448" t="str">
        <f>IFERROR(IF(BM11=【様式2】職員名簿!$J32,【様式2】職員名簿!$B32,"×"),"×")</f>
        <v>×</v>
      </c>
      <c r="BO11" s="443">
        <f>【様式2】職員名簿!G32</f>
        <v>0</v>
      </c>
    </row>
    <row r="12" spans="1:68" ht="15" customHeight="1" thickTop="1">
      <c r="A12" s="1815"/>
      <c r="B12" s="1818"/>
      <c r="C12" s="1841" t="s">
        <v>403</v>
      </c>
      <c r="D12" s="1842" t="s">
        <v>142</v>
      </c>
      <c r="E12" s="664" t="s">
        <v>716</v>
      </c>
      <c r="F12" s="858"/>
      <c r="G12" s="715"/>
      <c r="H12" s="715"/>
      <c r="I12" s="714" t="s">
        <v>718</v>
      </c>
      <c r="J12" s="715"/>
      <c r="K12" s="715"/>
      <c r="L12" s="716"/>
      <c r="M12" s="669">
        <f>SUM(F12:L12)</f>
        <v>0</v>
      </c>
      <c r="N12" s="670" t="s">
        <v>805</v>
      </c>
      <c r="O12" s="154"/>
      <c r="AQ12" s="115">
        <v>6.5</v>
      </c>
      <c r="AR12" s="115"/>
      <c r="AT12" s="271">
        <f t="shared" si="0"/>
        <v>5</v>
      </c>
      <c r="AU12" s="184" t="str">
        <f>AT12&amp;" "&amp;IF(AW12&lt;&gt;"-",【様式2】職員名簿!B42&amp;"/"&amp;AV12&amp;"/"&amp;AW12,"")</f>
        <v xml:space="preserve">5 </v>
      </c>
      <c r="AV12" s="184">
        <f>【様式2】職員名簿!E42</f>
        <v>0</v>
      </c>
      <c r="AW12" s="184" t="str">
        <f>IF(【様式2】職員名簿!J42="エラー","-",【様式2】職員名簿!J42)</f>
        <v>-</v>
      </c>
      <c r="AX12" s="413">
        <f>IF($AV12="常勤",$AM$2,IF($AV12="非常勤",【様式2】職員名簿!G42,0))</f>
        <v>0</v>
      </c>
      <c r="AY12" s="440">
        <f>IF($AW12=AY$3,COUNTIF($AW$8:$AW12,AY$3),0)</f>
        <v>0</v>
      </c>
      <c r="AZ12" s="441" t="str">
        <f t="shared" si="1"/>
        <v/>
      </c>
      <c r="BA12" s="442">
        <f>IF($AW12=BA$3,COUNTIF($AW$8:$AW12,BA$3),0)</f>
        <v>0</v>
      </c>
      <c r="BB12" s="441" t="str">
        <f t="shared" si="2"/>
        <v/>
      </c>
      <c r="BC12" s="442">
        <f>IF($AW12=BC$3,COUNTIFS($AW$8:$AW12,BC$3,$AV$8:$AV12,BC$4),0)</f>
        <v>0</v>
      </c>
      <c r="BD12" s="441" t="str">
        <f t="shared" si="3"/>
        <v/>
      </c>
      <c r="BE12" s="272">
        <f>IF($AW12=BE$3,COUNTIF($AW$8:$AW12,BE$3),0)</f>
        <v>0</v>
      </c>
      <c r="BF12" s="441" t="str">
        <f t="shared" si="4"/>
        <v/>
      </c>
      <c r="BG12" s="271">
        <f>IF(OR($AW12=BG$3,$AW12=BG$4),COUNTIF($AW$8:$AW12,BG$3)+COUNTIF($AW$8:$AW12,BG$4),0)</f>
        <v>0</v>
      </c>
      <c r="BH12" s="441" t="str">
        <f t="shared" si="5"/>
        <v/>
      </c>
      <c r="BI12" s="271">
        <f>IF($AW12=BI$3,COUNTIF($AW$8:$AW12,BI$3),0)</f>
        <v>0</v>
      </c>
      <c r="BJ12" s="441" t="str">
        <f t="shared" si="6"/>
        <v/>
      </c>
      <c r="BK12" s="271">
        <f>IF($AW12&lt;&gt;BK$3,COUNTIF($AW$8:$AW12,"&lt;&gt;"&amp;BK$3),0)</f>
        <v>0</v>
      </c>
      <c r="BL12" s="441" t="str">
        <f t="shared" si="7"/>
        <v/>
      </c>
      <c r="BM12" s="337"/>
      <c r="BN12" s="337"/>
    </row>
    <row r="13" spans="1:68" ht="15" customHeight="1">
      <c r="A13" s="1815"/>
      <c r="B13" s="1818"/>
      <c r="C13" s="1839"/>
      <c r="D13" s="1815"/>
      <c r="E13" s="665" t="s">
        <v>717</v>
      </c>
      <c r="F13" s="859"/>
      <c r="G13" s="718"/>
      <c r="H13" s="718"/>
      <c r="I13" s="717" t="s">
        <v>718</v>
      </c>
      <c r="J13" s="718"/>
      <c r="K13" s="718"/>
      <c r="L13" s="719"/>
      <c r="M13" s="663">
        <f t="shared" ref="M13:M15" si="9">SUM(F13:L13)</f>
        <v>0</v>
      </c>
      <c r="N13" s="671" t="s">
        <v>647</v>
      </c>
      <c r="O13" s="154"/>
      <c r="AQ13" s="115">
        <v>7</v>
      </c>
      <c r="AR13" s="115"/>
      <c r="AT13" s="271">
        <f t="shared" si="0"/>
        <v>6</v>
      </c>
      <c r="AU13" s="184" t="str">
        <f>AT13&amp;" "&amp;IF(AW13&lt;&gt;"-",【様式2】職員名簿!B43&amp;"/"&amp;AV13&amp;"/"&amp;AW13,"")</f>
        <v xml:space="preserve">6 </v>
      </c>
      <c r="AV13" s="184">
        <f>【様式2】職員名簿!E43</f>
        <v>0</v>
      </c>
      <c r="AW13" s="184" t="str">
        <f>IF(【様式2】職員名簿!J43="エラー","-",【様式2】職員名簿!J43)</f>
        <v>-</v>
      </c>
      <c r="AX13" s="413">
        <f>IF($AV13="常勤",$AM$2,IF($AV13="非常勤",【様式2】職員名簿!G43,0))</f>
        <v>0</v>
      </c>
      <c r="AY13" s="440">
        <f>IF($AW13=AY$3,COUNTIF($AW$8:$AW13,AY$3),0)</f>
        <v>0</v>
      </c>
      <c r="AZ13" s="441" t="str">
        <f t="shared" si="1"/>
        <v/>
      </c>
      <c r="BA13" s="442">
        <f>IF($AW13=BA$3,COUNTIF($AW$8:$AW13,BA$3),0)</f>
        <v>0</v>
      </c>
      <c r="BB13" s="441" t="str">
        <f t="shared" si="2"/>
        <v/>
      </c>
      <c r="BC13" s="442">
        <f>IF($AW13=BC$3,COUNTIFS($AW$8:$AW13,BC$3,$AV$8:$AV13,BC$4),0)</f>
        <v>0</v>
      </c>
      <c r="BD13" s="441" t="str">
        <f t="shared" si="3"/>
        <v/>
      </c>
      <c r="BE13" s="272">
        <f>IF($AW13=BE$3,COUNTIF($AW$8:$AW13,BE$3),0)</f>
        <v>0</v>
      </c>
      <c r="BF13" s="441" t="str">
        <f t="shared" si="4"/>
        <v/>
      </c>
      <c r="BG13" s="271">
        <f>IF(OR($AW13=BG$3,$AW13=BG$4),COUNTIF($AW$8:$AW13,BG$3)+COUNTIF($AW$8:$AW13,BG$4),0)</f>
        <v>0</v>
      </c>
      <c r="BH13" s="441" t="str">
        <f t="shared" si="5"/>
        <v/>
      </c>
      <c r="BI13" s="271">
        <f>IF($AW13=BI$3,COUNTIF($AW$8:$AW13,BI$3),0)</f>
        <v>0</v>
      </c>
      <c r="BJ13" s="441" t="str">
        <f t="shared" si="6"/>
        <v/>
      </c>
      <c r="BK13" s="271">
        <f>IF($AW13&lt;&gt;BK$3,COUNTIF($AW$8:$AW13,"&lt;&gt;"&amp;BK$3),0)</f>
        <v>0</v>
      </c>
      <c r="BL13" s="441" t="str">
        <f t="shared" si="7"/>
        <v/>
      </c>
      <c r="BM13" s="337"/>
      <c r="BN13" s="337"/>
    </row>
    <row r="14" spans="1:68" ht="15" customHeight="1">
      <c r="A14" s="1815"/>
      <c r="B14" s="1818"/>
      <c r="C14" s="1839"/>
      <c r="D14" s="1843" t="s">
        <v>146</v>
      </c>
      <c r="E14" s="666" t="s">
        <v>716</v>
      </c>
      <c r="F14" s="860"/>
      <c r="G14" s="721"/>
      <c r="H14" s="721"/>
      <c r="I14" s="720" t="s">
        <v>718</v>
      </c>
      <c r="J14" s="721"/>
      <c r="K14" s="721"/>
      <c r="L14" s="722"/>
      <c r="M14" s="444">
        <f>SUM(F14:L14)</f>
        <v>0</v>
      </c>
      <c r="N14" s="445" t="s">
        <v>719</v>
      </c>
      <c r="O14" s="154"/>
      <c r="AQ14" s="115">
        <v>7.5</v>
      </c>
      <c r="AR14" s="115"/>
      <c r="AT14" s="271">
        <f t="shared" si="0"/>
        <v>7</v>
      </c>
      <c r="AU14" s="184" t="str">
        <f>AT14&amp;" "&amp;IF(AW14&lt;&gt;"-",【様式2】職員名簿!B44&amp;"/"&amp;AV14&amp;"/"&amp;AW14,"")</f>
        <v xml:space="preserve">7 </v>
      </c>
      <c r="AV14" s="184">
        <f>【様式2】職員名簿!E44</f>
        <v>0</v>
      </c>
      <c r="AW14" s="184" t="str">
        <f>IF(【様式2】職員名簿!J44="エラー","-",【様式2】職員名簿!J44)</f>
        <v>-</v>
      </c>
      <c r="AX14" s="413">
        <f>IF($AV14="常勤",$AM$2,IF($AV14="非常勤",【様式2】職員名簿!G44,0))</f>
        <v>0</v>
      </c>
      <c r="AY14" s="440">
        <f>IF($AW14=AY$3,COUNTIF($AW$8:$AW14,AY$3),0)</f>
        <v>0</v>
      </c>
      <c r="AZ14" s="441" t="str">
        <f t="shared" si="1"/>
        <v/>
      </c>
      <c r="BA14" s="442">
        <f>IF($AW14=BA$3,COUNTIF($AW$8:$AW14,BA$3),0)</f>
        <v>0</v>
      </c>
      <c r="BB14" s="441" t="str">
        <f t="shared" si="2"/>
        <v/>
      </c>
      <c r="BC14" s="442">
        <f>IF($AW14=BC$3,COUNTIFS($AW$8:$AW14,BC$3,$AV$8:$AV14,BC$4),0)</f>
        <v>0</v>
      </c>
      <c r="BD14" s="441" t="str">
        <f t="shared" si="3"/>
        <v/>
      </c>
      <c r="BE14" s="272">
        <f>IF($AW14=BE$3,COUNTIF($AW$8:$AW14,BE$3),0)</f>
        <v>0</v>
      </c>
      <c r="BF14" s="441" t="str">
        <f t="shared" si="4"/>
        <v/>
      </c>
      <c r="BG14" s="271">
        <f>IF(OR($AW14=BG$3,$AW14=BG$4),COUNTIF($AW$8:$AW14,BG$3)+COUNTIF($AW$8:$AW14,BG$4),0)</f>
        <v>0</v>
      </c>
      <c r="BH14" s="441" t="str">
        <f t="shared" si="5"/>
        <v/>
      </c>
      <c r="BI14" s="271">
        <f>IF($AW14=BI$3,COUNTIF($AW$8:$AW14,BI$3),0)</f>
        <v>0</v>
      </c>
      <c r="BJ14" s="441" t="str">
        <f t="shared" si="6"/>
        <v/>
      </c>
      <c r="BK14" s="271">
        <f>IF($AW14&lt;&gt;BK$3,COUNTIF($AW$8:$AW14,"&lt;&gt;"&amp;BK$3),0)</f>
        <v>0</v>
      </c>
      <c r="BL14" s="441" t="str">
        <f t="shared" si="7"/>
        <v/>
      </c>
      <c r="BM14" s="337"/>
      <c r="BN14" s="337"/>
    </row>
    <row r="15" spans="1:68" ht="15" customHeight="1">
      <c r="A15" s="1816"/>
      <c r="B15" s="1819"/>
      <c r="C15" s="1840"/>
      <c r="D15" s="1844"/>
      <c r="E15" s="667" t="s">
        <v>717</v>
      </c>
      <c r="F15" s="861"/>
      <c r="G15" s="724"/>
      <c r="H15" s="724"/>
      <c r="I15" s="723" t="s">
        <v>718</v>
      </c>
      <c r="J15" s="724"/>
      <c r="K15" s="724"/>
      <c r="L15" s="725"/>
      <c r="M15" s="661">
        <f t="shared" si="9"/>
        <v>0</v>
      </c>
      <c r="N15" s="662" t="s">
        <v>720</v>
      </c>
      <c r="O15" s="154"/>
      <c r="AQ15" s="115">
        <v>8</v>
      </c>
      <c r="AR15" s="115"/>
      <c r="AT15" s="271">
        <f t="shared" si="0"/>
        <v>8</v>
      </c>
      <c r="AU15" s="184" t="str">
        <f>AT15&amp;" "&amp;IF(AW15&lt;&gt;"-",【様式2】職員名簿!B45&amp;"/"&amp;AV15&amp;"/"&amp;AW15,"")</f>
        <v xml:space="preserve">8 </v>
      </c>
      <c r="AV15" s="184">
        <f>【様式2】職員名簿!E45</f>
        <v>0</v>
      </c>
      <c r="AW15" s="184" t="str">
        <f>IF(【様式2】職員名簿!J45="エラー","-",【様式2】職員名簿!J45)</f>
        <v>-</v>
      </c>
      <c r="AX15" s="413">
        <f>IF($AV15="常勤",$AM$2,IF($AV15="非常勤",【様式2】職員名簿!G45,0))</f>
        <v>0</v>
      </c>
      <c r="AY15" s="440">
        <f>IF($AW15=AY$3,COUNTIF($AW$8:$AW15,AY$3),0)</f>
        <v>0</v>
      </c>
      <c r="AZ15" s="441" t="str">
        <f t="shared" si="1"/>
        <v/>
      </c>
      <c r="BA15" s="442">
        <f>IF($AW15=BA$3,COUNTIF($AW$8:$AW15,BA$3),0)</f>
        <v>0</v>
      </c>
      <c r="BB15" s="441" t="str">
        <f t="shared" si="2"/>
        <v/>
      </c>
      <c r="BC15" s="442">
        <f>IF($AW15=BC$3,COUNTIFS($AW$8:$AW15,BC$3,$AV$8:$AV15,BC$4),0)</f>
        <v>0</v>
      </c>
      <c r="BD15" s="441" t="str">
        <f t="shared" si="3"/>
        <v/>
      </c>
      <c r="BE15" s="272">
        <f>IF($AW15=BE$3,COUNTIF($AW$8:$AW15,BE$3),0)</f>
        <v>0</v>
      </c>
      <c r="BF15" s="441" t="str">
        <f t="shared" si="4"/>
        <v/>
      </c>
      <c r="BG15" s="271">
        <f>IF(OR($AW15=BG$3,$AW15=BG$4),COUNTIF($AW$8:$AW15,BG$3)+COUNTIF($AW$8:$AW15,BG$4),0)</f>
        <v>0</v>
      </c>
      <c r="BH15" s="441" t="str">
        <f t="shared" si="5"/>
        <v/>
      </c>
      <c r="BI15" s="271">
        <f>IF($AW15=BI$3,COUNTIF($AW$8:$AW15,BI$3),0)</f>
        <v>0</v>
      </c>
      <c r="BJ15" s="441" t="str">
        <f t="shared" si="6"/>
        <v/>
      </c>
      <c r="BK15" s="271">
        <f>IF($AW15&lt;&gt;BK$3,COUNTIF($AW$8:$AW15,"&lt;&gt;"&amp;BK$3),0)</f>
        <v>0</v>
      </c>
      <c r="BL15" s="441" t="str">
        <f t="shared" si="7"/>
        <v/>
      </c>
      <c r="BM15" s="337"/>
      <c r="BN15" s="337"/>
    </row>
    <row r="16" spans="1:68" ht="15" customHeight="1">
      <c r="A16" s="660" t="s">
        <v>406</v>
      </c>
      <c r="B16" s="659">
        <f>B8</f>
        <v>0</v>
      </c>
      <c r="C16" s="1820"/>
      <c r="D16" s="1821"/>
      <c r="E16" s="1822"/>
      <c r="F16" s="726">
        <f>SUM(F8:F15)</f>
        <v>0</v>
      </c>
      <c r="G16" s="727">
        <f t="shared" ref="G16:N16" si="10">SUM(G8:G15)</f>
        <v>0</v>
      </c>
      <c r="H16" s="727">
        <f t="shared" si="10"/>
        <v>0</v>
      </c>
      <c r="I16" s="727">
        <f t="shared" si="10"/>
        <v>0</v>
      </c>
      <c r="J16" s="727">
        <f t="shared" si="10"/>
        <v>0</v>
      </c>
      <c r="K16" s="727">
        <f t="shared" si="10"/>
        <v>0</v>
      </c>
      <c r="L16" s="728">
        <f t="shared" si="10"/>
        <v>0</v>
      </c>
      <c r="M16" s="449">
        <f t="shared" si="10"/>
        <v>0</v>
      </c>
      <c r="N16" s="449">
        <f t="shared" si="10"/>
        <v>0</v>
      </c>
      <c r="O16" s="154"/>
      <c r="AT16" s="271">
        <f t="shared" si="0"/>
        <v>9</v>
      </c>
      <c r="AU16" s="184" t="str">
        <f>AT16&amp;" "&amp;IF(AW16&lt;&gt;"-",【様式2】職員名簿!B46&amp;"/"&amp;AV16&amp;"/"&amp;AW16,"")</f>
        <v xml:space="preserve">9 </v>
      </c>
      <c r="AV16" s="184">
        <f>【様式2】職員名簿!E46</f>
        <v>0</v>
      </c>
      <c r="AW16" s="184" t="str">
        <f>IF(【様式2】職員名簿!J46="エラー","-",【様式2】職員名簿!J46)</f>
        <v>-</v>
      </c>
      <c r="AX16" s="413">
        <f>IF($AV16="常勤",$AM$2,IF($AV16="非常勤",【様式2】職員名簿!G46,0))</f>
        <v>0</v>
      </c>
      <c r="AY16" s="440">
        <f>IF($AW16=AY$3,COUNTIF($AW$8:$AW16,AY$3),0)</f>
        <v>0</v>
      </c>
      <c r="AZ16" s="441" t="str">
        <f t="shared" si="1"/>
        <v/>
      </c>
      <c r="BA16" s="442">
        <f>IF($AW16=BA$3,COUNTIF($AW$8:$AW16,BA$3),0)</f>
        <v>0</v>
      </c>
      <c r="BB16" s="441" t="str">
        <f t="shared" si="2"/>
        <v/>
      </c>
      <c r="BC16" s="442">
        <f>IF($AW16=BC$3,COUNTIFS($AW$8:$AW16,BC$3,$AV$8:$AV16,BC$4),0)</f>
        <v>0</v>
      </c>
      <c r="BD16" s="441" t="str">
        <f t="shared" si="3"/>
        <v/>
      </c>
      <c r="BE16" s="272">
        <f>IF($AW16=BE$3,COUNTIF($AW$8:$AW16,BE$3),0)</f>
        <v>0</v>
      </c>
      <c r="BF16" s="441" t="str">
        <f t="shared" si="4"/>
        <v/>
      </c>
      <c r="BG16" s="271">
        <f>IF(OR($AW16=BG$3,$AW16=BG$4),COUNTIF($AW$8:$AW16,BG$3)+COUNTIF($AW$8:$AW16,BG$4),0)</f>
        <v>0</v>
      </c>
      <c r="BH16" s="441" t="str">
        <f t="shared" si="5"/>
        <v/>
      </c>
      <c r="BI16" s="271">
        <f>IF($AW16=BI$3,COUNTIF($AW$8:$AW16,BI$3),0)</f>
        <v>0</v>
      </c>
      <c r="BJ16" s="441" t="str">
        <f t="shared" si="6"/>
        <v/>
      </c>
      <c r="BK16" s="271">
        <f>IF($AW16&lt;&gt;BK$3,COUNTIF($AW$8:$AW16,"&lt;&gt;"&amp;BK$3),0)</f>
        <v>0</v>
      </c>
      <c r="BL16" s="441" t="str">
        <f t="shared" si="7"/>
        <v/>
      </c>
      <c r="BM16" s="337"/>
      <c r="BN16" s="337"/>
    </row>
    <row r="17" spans="1:66" ht="15" customHeight="1">
      <c r="A17" s="515"/>
      <c r="B17" s="154"/>
      <c r="C17" s="154"/>
      <c r="D17" s="158"/>
      <c r="E17" s="158"/>
      <c r="F17" s="158"/>
      <c r="G17" s="158"/>
      <c r="H17" s="515"/>
      <c r="I17" s="158"/>
      <c r="J17" s="154"/>
      <c r="K17" s="154"/>
      <c r="L17" s="154"/>
      <c r="M17" s="154"/>
      <c r="N17" s="154"/>
      <c r="O17" s="154"/>
      <c r="AT17" s="271">
        <f t="shared" si="0"/>
        <v>10</v>
      </c>
      <c r="AU17" s="184" t="str">
        <f>AT17&amp;" "&amp;IF(AW17&lt;&gt;"-",【様式2】職員名簿!B47&amp;"/"&amp;AV17&amp;"/"&amp;AW17,"")</f>
        <v xml:space="preserve">10 </v>
      </c>
      <c r="AV17" s="184">
        <f>【様式2】職員名簿!E47</f>
        <v>0</v>
      </c>
      <c r="AW17" s="184" t="str">
        <f>IF(【様式2】職員名簿!J47="エラー","-",【様式2】職員名簿!J47)</f>
        <v>-</v>
      </c>
      <c r="AX17" s="413">
        <f>IF($AV17="常勤",$AM$2,IF($AV17="非常勤",【様式2】職員名簿!G47,0))</f>
        <v>0</v>
      </c>
      <c r="AY17" s="440">
        <f>IF($AW17=AY$3,COUNTIF($AW$8:$AW17,AY$3),0)</f>
        <v>0</v>
      </c>
      <c r="AZ17" s="441" t="str">
        <f t="shared" si="1"/>
        <v/>
      </c>
      <c r="BA17" s="442">
        <f>IF($AW17=BA$3,COUNTIF($AW$8:$AW17,BA$3),0)</f>
        <v>0</v>
      </c>
      <c r="BB17" s="441" t="str">
        <f t="shared" si="2"/>
        <v/>
      </c>
      <c r="BC17" s="442">
        <f>IF($AW17=BC$3,COUNTIFS($AW$8:$AW17,BC$3,$AV$8:$AV17,BC$4),0)</f>
        <v>0</v>
      </c>
      <c r="BD17" s="441" t="str">
        <f t="shared" si="3"/>
        <v/>
      </c>
      <c r="BE17" s="272">
        <f>IF($AW17=BE$3,COUNTIF($AW$8:$AW17,BE$3),0)</f>
        <v>0</v>
      </c>
      <c r="BF17" s="441" t="str">
        <f t="shared" si="4"/>
        <v/>
      </c>
      <c r="BG17" s="271">
        <f>IF(OR($AW17=BG$3,$AW17=BG$4),COUNTIF($AW$8:$AW17,BG$3)+COUNTIF($AW$8:$AW17,BG$4),0)</f>
        <v>0</v>
      </c>
      <c r="BH17" s="441" t="str">
        <f t="shared" si="5"/>
        <v/>
      </c>
      <c r="BI17" s="271">
        <f>IF($AW17=BI$3,COUNTIF($AW$8:$AW17,BI$3),0)</f>
        <v>0</v>
      </c>
      <c r="BJ17" s="441" t="str">
        <f t="shared" si="6"/>
        <v/>
      </c>
      <c r="BK17" s="271">
        <f>IF($AW17&lt;&gt;BK$3,COUNTIF($AW$8:$AW17,"&lt;&gt;"&amp;BK$3),0)</f>
        <v>0</v>
      </c>
      <c r="BL17" s="441" t="str">
        <f t="shared" si="7"/>
        <v/>
      </c>
      <c r="BM17" s="337"/>
      <c r="BN17" s="337"/>
    </row>
    <row r="18" spans="1:66" ht="15" customHeight="1" thickBot="1">
      <c r="A18" s="159" t="s">
        <v>721</v>
      </c>
      <c r="B18" s="154"/>
      <c r="C18" s="154"/>
      <c r="D18" s="154"/>
      <c r="E18" s="154"/>
      <c r="F18" s="154"/>
      <c r="G18" s="154"/>
      <c r="H18" s="154"/>
      <c r="I18" s="154"/>
      <c r="J18" s="154"/>
      <c r="K18" s="154"/>
      <c r="L18" s="154"/>
      <c r="M18" s="195"/>
      <c r="N18" s="154"/>
      <c r="O18" s="154"/>
      <c r="Q18" s="450"/>
      <c r="R18" s="450"/>
      <c r="S18" s="450"/>
      <c r="T18" s="450"/>
      <c r="U18" s="451"/>
      <c r="V18" s="451"/>
      <c r="W18" s="451"/>
      <c r="X18" s="451"/>
      <c r="Y18" s="451"/>
      <c r="Z18" s="451"/>
      <c r="AA18" s="451"/>
      <c r="AB18" s="451"/>
      <c r="AC18" s="451"/>
      <c r="AD18" s="451"/>
      <c r="AE18" s="451"/>
      <c r="AF18" s="451"/>
      <c r="AG18" s="451"/>
      <c r="AH18" s="451"/>
      <c r="AI18" s="451"/>
      <c r="AJ18" s="451"/>
      <c r="AT18" s="271">
        <f t="shared" si="0"/>
        <v>11</v>
      </c>
      <c r="AU18" s="184" t="str">
        <f>AT18&amp;" "&amp;IF(AW18&lt;&gt;"-",【様式2】職員名簿!B48&amp;"/"&amp;AV18&amp;"/"&amp;AW18,"")</f>
        <v xml:space="preserve">11 </v>
      </c>
      <c r="AV18" s="184">
        <f>【様式2】職員名簿!E48</f>
        <v>0</v>
      </c>
      <c r="AW18" s="184" t="str">
        <f>IF(【様式2】職員名簿!J48="エラー","-",【様式2】職員名簿!J48)</f>
        <v>-</v>
      </c>
      <c r="AX18" s="413">
        <f>IF($AV18="常勤",$AM$2,IF($AV18="非常勤",【様式2】職員名簿!G48,0))</f>
        <v>0</v>
      </c>
      <c r="AY18" s="440">
        <f>IF($AW18=AY$3,COUNTIF($AW$8:$AW18,AY$3),0)</f>
        <v>0</v>
      </c>
      <c r="AZ18" s="441" t="str">
        <f t="shared" si="1"/>
        <v/>
      </c>
      <c r="BA18" s="442">
        <f>IF($AW18=BA$3,COUNTIF($AW$8:$AW18,BA$3),0)</f>
        <v>0</v>
      </c>
      <c r="BB18" s="441" t="str">
        <f t="shared" si="2"/>
        <v/>
      </c>
      <c r="BC18" s="442">
        <f>IF($AW18=BC$3,COUNTIFS($AW$8:$AW18,BC$3,$AV$8:$AV18,BC$4),0)</f>
        <v>0</v>
      </c>
      <c r="BD18" s="441" t="str">
        <f t="shared" si="3"/>
        <v/>
      </c>
      <c r="BE18" s="272">
        <f>IF($AW18=BE$3,COUNTIF($AW$8:$AW18,BE$3),0)</f>
        <v>0</v>
      </c>
      <c r="BF18" s="441" t="str">
        <f t="shared" si="4"/>
        <v/>
      </c>
      <c r="BG18" s="271">
        <f>IF(OR($AW18=BG$3,$AW18=BG$4),COUNTIF($AW$8:$AW18,BG$3)+COUNTIF($AW$8:$AW18,BG$4),0)</f>
        <v>0</v>
      </c>
      <c r="BH18" s="441" t="str">
        <f t="shared" si="5"/>
        <v/>
      </c>
      <c r="BI18" s="271">
        <f>IF($AW18=BI$3,COUNTIF($AW$8:$AW18,BI$3),0)</f>
        <v>0</v>
      </c>
      <c r="BJ18" s="441" t="str">
        <f t="shared" si="6"/>
        <v/>
      </c>
      <c r="BK18" s="271">
        <f>IF($AW18&lt;&gt;BK$3,COUNTIF($AW$8:$AW18,"&lt;&gt;"&amp;BK$3),0)</f>
        <v>0</v>
      </c>
      <c r="BL18" s="441" t="str">
        <f t="shared" si="7"/>
        <v/>
      </c>
      <c r="BM18" s="337"/>
      <c r="BN18" s="337"/>
    </row>
    <row r="19" spans="1:66" ht="15" customHeight="1">
      <c r="A19" s="2131" t="s">
        <v>79</v>
      </c>
      <c r="B19" s="2132"/>
      <c r="C19" s="2133"/>
      <c r="D19" s="2134" t="s">
        <v>920</v>
      </c>
      <c r="E19" s="2135"/>
      <c r="F19" s="2135"/>
      <c r="G19" s="2135"/>
      <c r="H19" s="2135"/>
      <c r="I19" s="2135"/>
      <c r="J19" s="2135"/>
      <c r="K19" s="2135"/>
      <c r="L19" s="2135"/>
      <c r="M19" s="2136"/>
      <c r="N19" s="2137" t="s">
        <v>722</v>
      </c>
      <c r="O19" s="2138"/>
      <c r="P19" s="150"/>
      <c r="Q19" s="2078" t="s">
        <v>723</v>
      </c>
      <c r="R19" s="2079"/>
      <c r="S19" s="2093" t="s">
        <v>73</v>
      </c>
      <c r="T19" s="2096" t="s">
        <v>724</v>
      </c>
      <c r="U19" s="2098" t="s">
        <v>725</v>
      </c>
      <c r="V19" s="2078" t="s">
        <v>726</v>
      </c>
      <c r="W19" s="2101"/>
      <c r="X19" s="2101"/>
      <c r="Y19" s="2101"/>
      <c r="Z19" s="2101"/>
      <c r="AA19" s="2101"/>
      <c r="AB19" s="2101"/>
      <c r="AC19" s="2101"/>
      <c r="AD19" s="2101"/>
      <c r="AE19" s="2079"/>
      <c r="AF19" s="2078" t="s">
        <v>727</v>
      </c>
      <c r="AG19" s="2101"/>
      <c r="AH19" s="2103" t="s">
        <v>728</v>
      </c>
      <c r="AI19" s="2104"/>
      <c r="AJ19" s="2105"/>
      <c r="AT19" s="271">
        <f t="shared" si="0"/>
        <v>12</v>
      </c>
      <c r="AU19" s="184" t="str">
        <f>AT19&amp;" "&amp;IF(AW19&lt;&gt;"-",【様式2】職員名簿!B49&amp;"/"&amp;AV19&amp;"/"&amp;AW19,"")</f>
        <v xml:space="preserve">12 </v>
      </c>
      <c r="AV19" s="184">
        <f>【様式2】職員名簿!E49</f>
        <v>0</v>
      </c>
      <c r="AW19" s="184" t="str">
        <f>IF(【様式2】職員名簿!J49="エラー","-",【様式2】職員名簿!J49)</f>
        <v>-</v>
      </c>
      <c r="AX19" s="413">
        <f>IF($AV19="常勤",$AM$2,IF($AV19="非常勤",【様式2】職員名簿!G49,0))</f>
        <v>0</v>
      </c>
      <c r="AY19" s="440">
        <f>IF($AW19=AY$3,COUNTIF($AW$8:$AW19,AY$3),0)</f>
        <v>0</v>
      </c>
      <c r="AZ19" s="441" t="str">
        <f t="shared" si="1"/>
        <v/>
      </c>
      <c r="BA19" s="442">
        <f>IF($AW19=BA$3,COUNTIF($AW$8:$AW19,BA$3),0)</f>
        <v>0</v>
      </c>
      <c r="BB19" s="441" t="str">
        <f t="shared" si="2"/>
        <v/>
      </c>
      <c r="BC19" s="442">
        <f>IF($AW19=BC$3,COUNTIFS($AW$8:$AW19,BC$3,$AV$8:$AV19,BC$4),0)</f>
        <v>0</v>
      </c>
      <c r="BD19" s="441" t="str">
        <f t="shared" si="3"/>
        <v/>
      </c>
      <c r="BE19" s="272">
        <f>IF($AW19=BE$3,COUNTIF($AW$8:$AW19,BE$3),0)</f>
        <v>0</v>
      </c>
      <c r="BF19" s="441" t="str">
        <f t="shared" si="4"/>
        <v/>
      </c>
      <c r="BG19" s="271">
        <f>IF(OR($AW19=BG$3,$AW19=BG$4),COUNTIF($AW$8:$AW19,BG$3)+COUNTIF($AW$8:$AW19,BG$4),0)</f>
        <v>0</v>
      </c>
      <c r="BH19" s="441" t="str">
        <f t="shared" si="5"/>
        <v/>
      </c>
      <c r="BI19" s="271">
        <f>IF($AW19=BI$3,COUNTIF($AW$8:$AW19,BI$3),0)</f>
        <v>0</v>
      </c>
      <c r="BJ19" s="441" t="str">
        <f t="shared" si="6"/>
        <v/>
      </c>
      <c r="BK19" s="271">
        <f>IF($AW19&lt;&gt;BK$3,COUNTIF($AW$8:$AW19,"&lt;&gt;"&amp;BK$3),0)</f>
        <v>0</v>
      </c>
      <c r="BL19" s="441" t="str">
        <f t="shared" si="7"/>
        <v/>
      </c>
      <c r="BM19" s="337"/>
      <c r="BN19" s="337"/>
    </row>
    <row r="20" spans="1:66" ht="15" customHeight="1" thickBot="1">
      <c r="A20" s="2018" t="s">
        <v>127</v>
      </c>
      <c r="B20" s="1945" t="s">
        <v>729</v>
      </c>
      <c r="C20" s="2020"/>
      <c r="D20" s="2022" t="s">
        <v>687</v>
      </c>
      <c r="E20" s="2023"/>
      <c r="F20" s="2127" t="s">
        <v>919</v>
      </c>
      <c r="G20" s="2128"/>
      <c r="H20" s="2128"/>
      <c r="I20" s="2128"/>
      <c r="J20" s="2128"/>
      <c r="K20" s="2128"/>
      <c r="L20" s="2129" t="s">
        <v>730</v>
      </c>
      <c r="M20" s="2130"/>
      <c r="N20" s="2085" t="s">
        <v>731</v>
      </c>
      <c r="O20" s="2087"/>
      <c r="P20" s="150"/>
      <c r="Q20" s="2080"/>
      <c r="R20" s="2081"/>
      <c r="S20" s="2094"/>
      <c r="T20" s="2097"/>
      <c r="U20" s="2099"/>
      <c r="V20" s="2089" t="s">
        <v>732</v>
      </c>
      <c r="W20" s="2047" t="s">
        <v>733</v>
      </c>
      <c r="X20" s="2091" t="s">
        <v>734</v>
      </c>
      <c r="Y20" s="2106" t="s">
        <v>735</v>
      </c>
      <c r="Z20" s="2107"/>
      <c r="AA20" s="2108"/>
      <c r="AB20" s="2108"/>
      <c r="AC20" s="2108"/>
      <c r="AD20" s="2047" t="s">
        <v>314</v>
      </c>
      <c r="AE20" s="2049" t="s">
        <v>7</v>
      </c>
      <c r="AF20" s="2080"/>
      <c r="AG20" s="2102"/>
      <c r="AH20" s="1974" t="s">
        <v>736</v>
      </c>
      <c r="AI20" s="1976" t="s">
        <v>73</v>
      </c>
      <c r="AJ20" s="2082" t="s">
        <v>725</v>
      </c>
      <c r="AT20" s="271">
        <f t="shared" si="0"/>
        <v>13</v>
      </c>
      <c r="AU20" s="184" t="str">
        <f>AT20&amp;" "&amp;IF(AW20&lt;&gt;"-",【様式2】職員名簿!B50&amp;"/"&amp;AV20&amp;"/"&amp;AW20,"")</f>
        <v xml:space="preserve">13 </v>
      </c>
      <c r="AV20" s="184">
        <f>【様式2】職員名簿!E50</f>
        <v>0</v>
      </c>
      <c r="AW20" s="184" t="str">
        <f>IF(【様式2】職員名簿!J50="エラー","-",【様式2】職員名簿!J50)</f>
        <v>-</v>
      </c>
      <c r="AX20" s="413">
        <f>IF($AV20="常勤",$AM$2,IF($AV20="非常勤",【様式2】職員名簿!G50,0))</f>
        <v>0</v>
      </c>
      <c r="AY20" s="440">
        <f>IF($AW20=AY$3,COUNTIF($AW$8:$AW20,AY$3),0)</f>
        <v>0</v>
      </c>
      <c r="AZ20" s="441" t="str">
        <f t="shared" si="1"/>
        <v/>
      </c>
      <c r="BA20" s="442">
        <f>IF($AW20=BA$3,COUNTIF($AW$8:$AW20,BA$3),0)</f>
        <v>0</v>
      </c>
      <c r="BB20" s="441" t="str">
        <f t="shared" si="2"/>
        <v/>
      </c>
      <c r="BC20" s="442">
        <f>IF($AW20=BC$3,COUNTIFS($AW$8:$AW20,BC$3,$AV$8:$AV20,BC$4),0)</f>
        <v>0</v>
      </c>
      <c r="BD20" s="441" t="str">
        <f t="shared" si="3"/>
        <v/>
      </c>
      <c r="BE20" s="272">
        <f>IF($AW20=BE$3,COUNTIF($AW$8:$AW20,BE$3),0)</f>
        <v>0</v>
      </c>
      <c r="BF20" s="441" t="str">
        <f t="shared" si="4"/>
        <v/>
      </c>
      <c r="BG20" s="271">
        <f>IF(OR($AW20=BG$3,$AW20=BG$4),COUNTIF($AW$8:$AW20,BG$3)+COUNTIF($AW$8:$AW20,BG$4),0)</f>
        <v>0</v>
      </c>
      <c r="BH20" s="441" t="str">
        <f t="shared" si="5"/>
        <v/>
      </c>
      <c r="BI20" s="271">
        <f>IF($AW20=BI$3,COUNTIF($AW$8:$AW20,BI$3),0)</f>
        <v>0</v>
      </c>
      <c r="BJ20" s="441" t="str">
        <f t="shared" si="6"/>
        <v/>
      </c>
      <c r="BK20" s="271">
        <f>IF($AW20&lt;&gt;BK$3,COUNTIF($AW$8:$AW20,"&lt;&gt;"&amp;BK$3),0)</f>
        <v>0</v>
      </c>
      <c r="BL20" s="441" t="str">
        <f t="shared" si="7"/>
        <v/>
      </c>
      <c r="BM20" s="337"/>
      <c r="BN20" s="337"/>
    </row>
    <row r="21" spans="1:66" ht="15" customHeight="1" thickBot="1">
      <c r="A21" s="2019"/>
      <c r="B21" s="1946"/>
      <c r="C21" s="2021"/>
      <c r="D21" s="2024"/>
      <c r="E21" s="2025"/>
      <c r="F21" s="2084" t="s">
        <v>737</v>
      </c>
      <c r="G21" s="2084"/>
      <c r="H21" s="2084"/>
      <c r="I21" s="538" t="s">
        <v>921</v>
      </c>
      <c r="J21" s="797" t="s">
        <v>922</v>
      </c>
      <c r="K21" s="539" t="s">
        <v>923</v>
      </c>
      <c r="L21" s="738" t="str">
        <f>IF($AL$2,"下限：","")</f>
        <v/>
      </c>
      <c r="M21" s="693" t="str">
        <f>IF($AL$2,IF($AL$3&gt;0,"①"&amp;$AL$3/$AM$2,"")&amp;IF($AL$4&gt;0,"　②"&amp;$AL$4/$AM$2,""),"")</f>
        <v/>
      </c>
      <c r="N21" s="2086"/>
      <c r="O21" s="2088"/>
      <c r="P21" s="150"/>
      <c r="Q21" s="452" t="s">
        <v>738</v>
      </c>
      <c r="R21" s="802" t="s">
        <v>739</v>
      </c>
      <c r="S21" s="2095"/>
      <c r="T21" s="2097"/>
      <c r="U21" s="2100"/>
      <c r="V21" s="2089"/>
      <c r="W21" s="2090"/>
      <c r="X21" s="2092"/>
      <c r="Y21" s="453" t="s">
        <v>73</v>
      </c>
      <c r="Z21" s="454" t="s">
        <v>740</v>
      </c>
      <c r="AA21" s="454" t="s">
        <v>741</v>
      </c>
      <c r="AB21" s="454" t="s">
        <v>742</v>
      </c>
      <c r="AC21" s="455">
        <v>0</v>
      </c>
      <c r="AD21" s="2048"/>
      <c r="AE21" s="2050"/>
      <c r="AF21" s="452" t="s">
        <v>79</v>
      </c>
      <c r="AG21" s="456" t="s">
        <v>743</v>
      </c>
      <c r="AH21" s="1975"/>
      <c r="AI21" s="1977"/>
      <c r="AJ21" s="2083"/>
      <c r="AT21" s="271">
        <f t="shared" si="0"/>
        <v>14</v>
      </c>
      <c r="AU21" s="184" t="str">
        <f>AT21&amp;" "&amp;IF(AW21&lt;&gt;"-",【様式2】職員名簿!B51&amp;"/"&amp;AV21&amp;"/"&amp;AW21,"")</f>
        <v xml:space="preserve">14 </v>
      </c>
      <c r="AV21" s="184">
        <f>【様式2】職員名簿!E51</f>
        <v>0</v>
      </c>
      <c r="AW21" s="184" t="str">
        <f>IF(【様式2】職員名簿!J51="エラー","-",【様式2】職員名簿!J51)</f>
        <v>-</v>
      </c>
      <c r="AX21" s="413">
        <f>IF($AV21="常勤",$AM$2,IF($AV21="非常勤",【様式2】職員名簿!G51,0))</f>
        <v>0</v>
      </c>
      <c r="AY21" s="440">
        <f>IF($AW21=AY$3,COUNTIF($AW$8:$AW21,AY$3),0)</f>
        <v>0</v>
      </c>
      <c r="AZ21" s="441" t="str">
        <f t="shared" si="1"/>
        <v/>
      </c>
      <c r="BA21" s="442">
        <f>IF($AW21=BA$3,COUNTIF($AW$8:$AW21,BA$3),0)</f>
        <v>0</v>
      </c>
      <c r="BB21" s="441" t="str">
        <f t="shared" si="2"/>
        <v/>
      </c>
      <c r="BC21" s="442">
        <f>IF($AW21=BC$3,COUNTIFS($AW$8:$AW21,BC$3,$AV$8:$AV21,BC$4),0)</f>
        <v>0</v>
      </c>
      <c r="BD21" s="441" t="str">
        <f t="shared" si="3"/>
        <v/>
      </c>
      <c r="BE21" s="272">
        <f>IF($AW21=BE$3,COUNTIF($AW$8:$AW21,BE$3),0)</f>
        <v>0</v>
      </c>
      <c r="BF21" s="441" t="str">
        <f t="shared" si="4"/>
        <v/>
      </c>
      <c r="BG21" s="271">
        <f>IF(OR($AW21=BG$3,$AW21=BG$4),COUNTIF($AW$8:$AW21,BG$3)+COUNTIF($AW$8:$AW21,BG$4),0)</f>
        <v>0</v>
      </c>
      <c r="BH21" s="441" t="str">
        <f t="shared" si="5"/>
        <v/>
      </c>
      <c r="BI21" s="271">
        <f>IF($AW21=BI$3,COUNTIF($AW$8:$AW21,BI$3),0)</f>
        <v>0</v>
      </c>
      <c r="BJ21" s="441" t="str">
        <f t="shared" si="6"/>
        <v/>
      </c>
      <c r="BK21" s="271">
        <f>IF($AW21&lt;&gt;BK$3,COUNTIF($AW$8:$AW21,"&lt;&gt;"&amp;BK$3),0)</f>
        <v>0</v>
      </c>
      <c r="BL21" s="441" t="str">
        <f t="shared" si="7"/>
        <v/>
      </c>
      <c r="BM21" s="337"/>
      <c r="BN21" s="337"/>
    </row>
    <row r="22" spans="1:66" ht="15" customHeight="1" thickTop="1">
      <c r="A22" s="2026" t="s">
        <v>744</v>
      </c>
      <c r="B22" s="2119" t="s">
        <v>619</v>
      </c>
      <c r="C22" s="2120"/>
      <c r="D22" s="2121" t="str">
        <f>IF(W22,T22,"")</f>
        <v>施設長</v>
      </c>
      <c r="E22" s="2122"/>
      <c r="F22" s="2123"/>
      <c r="G22" s="2123"/>
      <c r="H22" s="2123"/>
      <c r="I22" s="739" t="str">
        <f>IF(OR(NOT(W22),U22=0),"",U22)</f>
        <v/>
      </c>
      <c r="J22" s="750" t="str">
        <f>IF(OR(F22=0,F22=""),"",IF(W22,IF(X22,IF(OR(Y22,V22=3),IF(AD22,IF(OR(AE22,V22=2,V22=3),"○","要常勤"),"時間無"),"重複"),"名簿無"),"対象外"))</f>
        <v/>
      </c>
      <c r="K22" s="751" t="s">
        <v>647</v>
      </c>
      <c r="L22" s="457" t="str">
        <f>IF(AI22=1,"調整①→",IF(AI22=5,"調整②→",IF(AI22=2,"",IF(AI22=3,"全計上→","エラー"))))</f>
        <v/>
      </c>
      <c r="M22" s="458">
        <f>IF(OR(AND(J22&lt;&gt;"",J22&lt;&gt;"○"),AI22=4),"×",IF(J22="",0,AJ22/$AM$2))</f>
        <v>0</v>
      </c>
      <c r="N22" s="459" t="str">
        <f t="shared" ref="N22:N34" si="11">IF(Q22,"○","×")</f>
        <v>○</v>
      </c>
      <c r="O22" s="699" t="str">
        <f>IF(Q22,IF(S22,"○","×"),"-")</f>
        <v>×</v>
      </c>
      <c r="P22" s="460"/>
      <c r="Q22" s="461" t="b">
        <f>TRUE()</f>
        <v>1</v>
      </c>
      <c r="R22" s="462" t="b">
        <f>【様式１】総括表・個票!AI154</f>
        <v>0</v>
      </c>
      <c r="S22" s="462" t="b">
        <f>AND(J22="○",O90&gt;=0)</f>
        <v>0</v>
      </c>
      <c r="T22" s="461" t="str">
        <f>$AZ$6</f>
        <v>施設長</v>
      </c>
      <c r="U22" s="803">
        <f>IFERROR(VLOOKUP($F22,$AU$8:$AX$107,4,FALSE),0)</f>
        <v>0</v>
      </c>
      <c r="V22" s="461">
        <v>2</v>
      </c>
      <c r="W22" s="461" t="b">
        <f>Q22</f>
        <v>1</v>
      </c>
      <c r="X22" s="463" t="b">
        <f t="shared" ref="X22" ca="1" si="12">COUNTIF(INDIRECT(T22),F22)&gt;0</f>
        <v>0</v>
      </c>
      <c r="Y22" s="464" t="b">
        <f>COUNTIF($AC$21:AC21,AC22)+COUNTIF(AC23:$AC$74,AC22)-COUNTIF(Z22:AB22,AC22)=0</f>
        <v>0</v>
      </c>
      <c r="Z22" s="461" t="s">
        <v>647</v>
      </c>
      <c r="AA22" s="461" t="s">
        <v>647</v>
      </c>
      <c r="AB22" s="461" t="s">
        <v>647</v>
      </c>
      <c r="AC22" s="804">
        <f>IF(V22=3,0,IFERROR(INDEX($AT$8:$AT$107,MATCH($F22,AU$8:AU$107,0),1),0))</f>
        <v>0</v>
      </c>
      <c r="AD22" s="463" t="b">
        <f t="shared" ref="AD22:AD48" si="13">U22&gt;0</f>
        <v>0</v>
      </c>
      <c r="AE22" s="464" t="b">
        <f>IFERROR(VLOOKUP($F22,$AU$8:$AX$107,2,FALSE),"")="常勤"</f>
        <v>0</v>
      </c>
      <c r="AF22" s="461" t="s">
        <v>745</v>
      </c>
      <c r="AG22" s="461" t="s">
        <v>718</v>
      </c>
      <c r="AH22" s="461">
        <v>1</v>
      </c>
      <c r="AI22" s="259">
        <f>IF(AND($W22,$J22="○"),IF($K22="-",IF($U22&lt;IF($AH22=5,$AL$4,$AL$3),$AH22,2),IF($K22=0,IF($U22&lt;IF($AH22=5,$AL$4,$AL$3),IF(OR($AH22=1,$AH22=5),$AH22,3),3),IF(K22&lt;IF($AH22=5,$AL$4,$AL$3),$AH22,IF($K22&gt;$U22,4,2)))),2)</f>
        <v>2</v>
      </c>
      <c r="AJ22" s="261">
        <f t="shared" ref="AJ22" si="14">IF(AI22=1,$AL$3,IF(AI22=5,$AL$4,IF(AI22=2,IF(K22="-",U22,K22),IF(AI22=3,U22,"×"))))</f>
        <v>0</v>
      </c>
      <c r="AT22" s="271">
        <f t="shared" si="0"/>
        <v>15</v>
      </c>
      <c r="AU22" s="184" t="str">
        <f>AT22&amp;" "&amp;IF(AW22&lt;&gt;"-",【様式2】職員名簿!B52&amp;"/"&amp;AV22&amp;"/"&amp;AW22,"")</f>
        <v xml:space="preserve">15 </v>
      </c>
      <c r="AV22" s="184">
        <f>【様式2】職員名簿!E52</f>
        <v>0</v>
      </c>
      <c r="AW22" s="184" t="str">
        <f>IF(【様式2】職員名簿!J52="エラー","-",【様式2】職員名簿!J52)</f>
        <v>-</v>
      </c>
      <c r="AX22" s="413">
        <f>IF($AV22="常勤",$AM$2,IF($AV22="非常勤",【様式2】職員名簿!G52,0))</f>
        <v>0</v>
      </c>
      <c r="AY22" s="440">
        <f>IF($AW22=AY$3,COUNTIF($AW$8:$AW22,AY$3),0)</f>
        <v>0</v>
      </c>
      <c r="AZ22" s="441" t="str">
        <f t="shared" si="1"/>
        <v/>
      </c>
      <c r="BA22" s="442">
        <f>IF($AW22=BA$3,COUNTIF($AW$8:$AW22,BA$3),0)</f>
        <v>0</v>
      </c>
      <c r="BB22" s="441" t="str">
        <f t="shared" si="2"/>
        <v/>
      </c>
      <c r="BC22" s="442">
        <f>IF($AW22=BC$3,COUNTIFS($AW$8:$AW22,BC$3,$AV$8:$AV22,BC$4),0)</f>
        <v>0</v>
      </c>
      <c r="BD22" s="441" t="str">
        <f t="shared" si="3"/>
        <v/>
      </c>
      <c r="BE22" s="272">
        <f>IF($AW22=BE$3,COUNTIF($AW$8:$AW22,BE$3),0)</f>
        <v>0</v>
      </c>
      <c r="BF22" s="441" t="str">
        <f t="shared" si="4"/>
        <v/>
      </c>
      <c r="BG22" s="271">
        <f>IF(OR($AW22=BG$3,$AW22=BG$4),COUNTIF($AW$8:$AW22,BG$3)+COUNTIF($AW$8:$AW22,BG$4),0)</f>
        <v>0</v>
      </c>
      <c r="BH22" s="441" t="str">
        <f t="shared" si="5"/>
        <v/>
      </c>
      <c r="BI22" s="271">
        <f>IF($AW22=BI$3,COUNTIF($AW$8:$AW22,BI$3),0)</f>
        <v>0</v>
      </c>
      <c r="BJ22" s="441" t="str">
        <f t="shared" si="6"/>
        <v/>
      </c>
      <c r="BK22" s="271">
        <f>IF($AW22&lt;&gt;BK$3,COUNTIF($AW$8:$AW22,"&lt;&gt;"&amp;BK$3),0)</f>
        <v>0</v>
      </c>
      <c r="BL22" s="441" t="str">
        <f t="shared" si="7"/>
        <v/>
      </c>
      <c r="BM22" s="337"/>
      <c r="BN22" s="337"/>
    </row>
    <row r="23" spans="1:66" ht="15" customHeight="1">
      <c r="A23" s="1869"/>
      <c r="B23" s="2124" t="s">
        <v>746</v>
      </c>
      <c r="C23" s="2125"/>
      <c r="D23" s="2056" t="str">
        <f t="shared" ref="D23" si="15">IF(W23,T23,"")</f>
        <v>保育士</v>
      </c>
      <c r="E23" s="2057"/>
      <c r="F23" s="2029" t="str">
        <f>IF(Q23,"必要保育従事者数１人","")</f>
        <v>必要保育従事者数１人</v>
      </c>
      <c r="G23" s="2030"/>
      <c r="H23" s="2030"/>
      <c r="I23" s="2030"/>
      <c r="J23" s="2030"/>
      <c r="K23" s="2031"/>
      <c r="L23" s="466" t="s">
        <v>745</v>
      </c>
      <c r="M23" s="467" t="s">
        <v>745</v>
      </c>
      <c r="N23" s="468" t="str">
        <f t="shared" si="11"/>
        <v>○</v>
      </c>
      <c r="O23" s="700" t="e">
        <f t="shared" ref="O23" si="16">IF(Q23,IF(S23,"○","×"),"-")</f>
        <v>#N/A</v>
      </c>
      <c r="P23" s="460"/>
      <c r="Q23" s="800" t="b">
        <f>TRUE()</f>
        <v>1</v>
      </c>
      <c r="R23" s="469" t="s">
        <v>647</v>
      </c>
      <c r="S23" s="469" t="e">
        <f>$O$92&gt;=0</f>
        <v>#N/A</v>
      </c>
      <c r="T23" s="470" t="str">
        <f>$BB$6</f>
        <v>保育士</v>
      </c>
      <c r="U23" s="442" t="s">
        <v>718</v>
      </c>
      <c r="V23" s="470" t="s">
        <v>718</v>
      </c>
      <c r="W23" s="470" t="b">
        <f>Q23</f>
        <v>1</v>
      </c>
      <c r="X23" s="463" t="s">
        <v>718</v>
      </c>
      <c r="Y23" s="464" t="s">
        <v>718</v>
      </c>
      <c r="Z23" s="801" t="s">
        <v>718</v>
      </c>
      <c r="AA23" s="801" t="s">
        <v>718</v>
      </c>
      <c r="AB23" s="801" t="s">
        <v>718</v>
      </c>
      <c r="AC23" s="804" t="s">
        <v>718</v>
      </c>
      <c r="AD23" s="272" t="s">
        <v>718</v>
      </c>
      <c r="AE23" s="413" t="s">
        <v>718</v>
      </c>
      <c r="AF23" s="470" t="s">
        <v>718</v>
      </c>
      <c r="AG23" s="470" t="s">
        <v>718</v>
      </c>
      <c r="AH23" s="470" t="s">
        <v>718</v>
      </c>
      <c r="AI23" s="272" t="s">
        <v>718</v>
      </c>
      <c r="AJ23" s="273" t="s">
        <v>718</v>
      </c>
      <c r="AT23" s="271">
        <f t="shared" si="0"/>
        <v>16</v>
      </c>
      <c r="AU23" s="184" t="str">
        <f>AT23&amp;" "&amp;IF(AW23&lt;&gt;"-",【様式2】職員名簿!B53&amp;"/"&amp;AV23&amp;"/"&amp;AW23,"")</f>
        <v xml:space="preserve">16 </v>
      </c>
      <c r="AV23" s="184">
        <f>【様式2】職員名簿!E53</f>
        <v>0</v>
      </c>
      <c r="AW23" s="184" t="str">
        <f>IF(【様式2】職員名簿!J53="エラー","-",【様式2】職員名簿!J53)</f>
        <v>-</v>
      </c>
      <c r="AX23" s="413">
        <f>IF($AV23="常勤",$AM$2,IF($AV23="非常勤",【様式2】職員名簿!G53,0))</f>
        <v>0</v>
      </c>
      <c r="AY23" s="440">
        <f>IF($AW23=AY$3,COUNTIF($AW$8:$AW23,AY$3),0)</f>
        <v>0</v>
      </c>
      <c r="AZ23" s="441" t="str">
        <f t="shared" si="1"/>
        <v/>
      </c>
      <c r="BA23" s="442">
        <f>IF($AW23=BA$3,COUNTIF($AW$8:$AW23,BA$3),0)</f>
        <v>0</v>
      </c>
      <c r="BB23" s="441" t="str">
        <f t="shared" si="2"/>
        <v/>
      </c>
      <c r="BC23" s="442">
        <f>IF($AW23=BC$3,COUNTIFS($AW$8:$AW23,BC$3,$AV$8:$AV23,BC$4),0)</f>
        <v>0</v>
      </c>
      <c r="BD23" s="441" t="str">
        <f t="shared" si="3"/>
        <v/>
      </c>
      <c r="BE23" s="272">
        <f>IF($AW23=BE$3,COUNTIF($AW$8:$AW23,BE$3),0)</f>
        <v>0</v>
      </c>
      <c r="BF23" s="441" t="str">
        <f t="shared" si="4"/>
        <v/>
      </c>
      <c r="BG23" s="271">
        <f>IF(OR($AW23=BG$3,$AW23=BG$4),COUNTIF($AW$8:$AW23,BG$3)+COUNTIF($AW$8:$AW23,BG$4),0)</f>
        <v>0</v>
      </c>
      <c r="BH23" s="441" t="str">
        <f t="shared" si="5"/>
        <v/>
      </c>
      <c r="BI23" s="271">
        <f>IF($AW23=BI$3,COUNTIF($AW$8:$AW23,BI$3),0)</f>
        <v>0</v>
      </c>
      <c r="BJ23" s="441" t="str">
        <f t="shared" si="6"/>
        <v/>
      </c>
      <c r="BK23" s="271">
        <f>IF($AW23&lt;&gt;BK$3,COUNTIF($AW$8:$AW23,"&lt;&gt;"&amp;BK$3),0)</f>
        <v>0</v>
      </c>
      <c r="BL23" s="441" t="str">
        <f t="shared" si="7"/>
        <v/>
      </c>
      <c r="BM23" s="337"/>
      <c r="BN23" s="337"/>
    </row>
    <row r="24" spans="1:66" ht="15" customHeight="1">
      <c r="A24" s="1869"/>
      <c r="B24" s="2148" t="s">
        <v>747</v>
      </c>
      <c r="C24" s="2149"/>
      <c r="D24" s="1991" t="str">
        <f>IF(W24,T24,"")</f>
        <v/>
      </c>
      <c r="E24" s="1992"/>
      <c r="F24" s="2032" t="e">
        <f>IF(Q25,"保育標準時間児童が利用する場合は常勤１名",IF(Q26,"保育標準時間児童が利用する場合は非常勤１名",""))</f>
        <v>#N/A</v>
      </c>
      <c r="G24" s="2033"/>
      <c r="H24" s="2033"/>
      <c r="I24" s="2033"/>
      <c r="J24" s="2033"/>
      <c r="K24" s="2034"/>
      <c r="L24" s="472" t="s">
        <v>718</v>
      </c>
      <c r="M24" s="473" t="s">
        <v>745</v>
      </c>
      <c r="N24" s="474" t="str">
        <f t="shared" si="11"/>
        <v>×</v>
      </c>
      <c r="O24" s="2143" t="str">
        <f>IF(Q24,IF(S24,"○","×"),"-")</f>
        <v>-</v>
      </c>
      <c r="P24" s="460"/>
      <c r="Q24" s="800" t="b">
        <f>SUM(N8,N10)&gt;=1</f>
        <v>0</v>
      </c>
      <c r="R24" s="469" t="e">
        <f>IF(D25="事保",1,IF(OR(D25="Ａ",D25="事小"),2,0))</f>
        <v>#N/A</v>
      </c>
      <c r="S24" s="469" t="e">
        <f>AND(O92&gt;=0,IF(Q25,S25,TRUE),IF(Q26,S26,TRUE),OR(Q25,Q26))</f>
        <v>#N/A</v>
      </c>
      <c r="T24" s="470" t="str">
        <f>$BB$6</f>
        <v>保育士</v>
      </c>
      <c r="U24" s="442" t="s">
        <v>718</v>
      </c>
      <c r="V24" s="470" t="s">
        <v>718</v>
      </c>
      <c r="W24" s="470" t="b">
        <f>Q24</f>
        <v>0</v>
      </c>
      <c r="X24" s="463" t="s">
        <v>718</v>
      </c>
      <c r="Y24" s="464" t="s">
        <v>718</v>
      </c>
      <c r="Z24" s="801" t="s">
        <v>718</v>
      </c>
      <c r="AA24" s="801" t="s">
        <v>718</v>
      </c>
      <c r="AB24" s="801" t="s">
        <v>718</v>
      </c>
      <c r="AC24" s="804" t="s">
        <v>718</v>
      </c>
      <c r="AD24" s="272" t="s">
        <v>718</v>
      </c>
      <c r="AE24" s="413" t="s">
        <v>718</v>
      </c>
      <c r="AF24" s="470" t="s">
        <v>718</v>
      </c>
      <c r="AG24" s="470" t="s">
        <v>718</v>
      </c>
      <c r="AH24" s="470" t="s">
        <v>718</v>
      </c>
      <c r="AI24" s="272" t="s">
        <v>718</v>
      </c>
      <c r="AJ24" s="273" t="s">
        <v>718</v>
      </c>
      <c r="AT24" s="271">
        <f t="shared" si="0"/>
        <v>17</v>
      </c>
      <c r="AU24" s="184" t="str">
        <f>AT24&amp;" "&amp;IF(AW24&lt;&gt;"-",【様式2】職員名簿!B54&amp;"/"&amp;AV24&amp;"/"&amp;AW24,"")</f>
        <v xml:space="preserve">17 </v>
      </c>
      <c r="AV24" s="184">
        <f>【様式2】職員名簿!E54</f>
        <v>0</v>
      </c>
      <c r="AW24" s="184" t="str">
        <f>IF(【様式2】職員名簿!J54="エラー","-",【様式2】職員名簿!J54)</f>
        <v>-</v>
      </c>
      <c r="AX24" s="413">
        <f>IF($AV24="常勤",$AM$2,IF($AV24="非常勤",【様式2】職員名簿!G54,0))</f>
        <v>0</v>
      </c>
      <c r="AY24" s="440">
        <f>IF($AW24=AY$3,COUNTIF($AW$8:$AW24,AY$3),0)</f>
        <v>0</v>
      </c>
      <c r="AZ24" s="441" t="str">
        <f t="shared" si="1"/>
        <v/>
      </c>
      <c r="BA24" s="442">
        <f>IF($AW24=BA$3,COUNTIF($AW$8:$AW24,BA$3),0)</f>
        <v>0</v>
      </c>
      <c r="BB24" s="441" t="str">
        <f t="shared" si="2"/>
        <v/>
      </c>
      <c r="BC24" s="442">
        <f>IF($AW24=BC$3,COUNTIFS($AW$8:$AW24,BC$3,$AV$8:$AV24,BC$4),0)</f>
        <v>0</v>
      </c>
      <c r="BD24" s="441" t="str">
        <f t="shared" si="3"/>
        <v/>
      </c>
      <c r="BE24" s="272">
        <f>IF($AW24=BE$3,COUNTIF($AW$8:$AW24,BE$3),0)</f>
        <v>0</v>
      </c>
      <c r="BF24" s="441" t="str">
        <f t="shared" si="4"/>
        <v/>
      </c>
      <c r="BG24" s="271">
        <f>IF(OR($AW24=BG$3,$AW24=BG$4),COUNTIF($AW$8:$AW24,BG$3)+COUNTIF($AW$8:$AW24,BG$4),0)</f>
        <v>0</v>
      </c>
      <c r="BH24" s="441" t="str">
        <f t="shared" si="5"/>
        <v/>
      </c>
      <c r="BI24" s="271">
        <f>IF($AW24=BI$3,COUNTIF($AW$8:$AW24,BI$3),0)</f>
        <v>0</v>
      </c>
      <c r="BJ24" s="441" t="str">
        <f t="shared" si="6"/>
        <v/>
      </c>
      <c r="BK24" s="271">
        <f>IF($AW24&lt;&gt;BK$3,COUNTIF($AW$8:$AW24,"&lt;&gt;"&amp;BK$3),0)</f>
        <v>0</v>
      </c>
      <c r="BL24" s="441" t="str">
        <f t="shared" si="7"/>
        <v/>
      </c>
      <c r="BM24" s="337"/>
      <c r="BN24" s="337"/>
    </row>
    <row r="25" spans="1:66" ht="15" customHeight="1">
      <c r="A25" s="1869"/>
      <c r="B25" s="2150"/>
      <c r="C25" s="2151"/>
      <c r="D25" s="2154" t="e">
        <f>【様式１】総括表・個票!L12</f>
        <v>#N/A</v>
      </c>
      <c r="E25" s="696" t="e">
        <f>IF(W25,T25,"")</f>
        <v>#N/A</v>
      </c>
      <c r="F25" s="2032" t="e">
        <f>IF(Q25,"常勤１名","")</f>
        <v>#N/A</v>
      </c>
      <c r="G25" s="2033"/>
      <c r="H25" s="2033"/>
      <c r="I25" s="2033"/>
      <c r="J25" s="2033"/>
      <c r="K25" s="2034"/>
      <c r="L25" s="490" t="s">
        <v>830</v>
      </c>
      <c r="M25" s="491" t="s">
        <v>830</v>
      </c>
      <c r="N25" s="492" t="e">
        <f>IF(Q25,"○","×")</f>
        <v>#N/A</v>
      </c>
      <c r="O25" s="2064"/>
      <c r="P25" s="460"/>
      <c r="Q25" s="698" t="e">
        <f>AND(Q24,R25)</f>
        <v>#N/A</v>
      </c>
      <c r="R25" s="469" t="e">
        <f>R24=1</f>
        <v>#N/A</v>
      </c>
      <c r="S25" s="469" t="e">
        <f>O92&gt;=0</f>
        <v>#N/A</v>
      </c>
      <c r="T25" s="470" t="s">
        <v>834</v>
      </c>
      <c r="U25" s="442" t="s">
        <v>718</v>
      </c>
      <c r="V25" s="470" t="s">
        <v>718</v>
      </c>
      <c r="W25" s="494" t="e">
        <f>Q25</f>
        <v>#N/A</v>
      </c>
      <c r="X25" s="463" t="s">
        <v>830</v>
      </c>
      <c r="Y25" s="464" t="s">
        <v>718</v>
      </c>
      <c r="Z25" s="801" t="s">
        <v>718</v>
      </c>
      <c r="AA25" s="801" t="s">
        <v>718</v>
      </c>
      <c r="AB25" s="801" t="s">
        <v>718</v>
      </c>
      <c r="AC25" s="478" t="s">
        <v>718</v>
      </c>
      <c r="AD25" s="479" t="s">
        <v>718</v>
      </c>
      <c r="AE25" s="480" t="s">
        <v>718</v>
      </c>
      <c r="AF25" s="470" t="s">
        <v>718</v>
      </c>
      <c r="AG25" s="470" t="s">
        <v>718</v>
      </c>
      <c r="AH25" s="470" t="s">
        <v>718</v>
      </c>
      <c r="AI25" s="272" t="s">
        <v>718</v>
      </c>
      <c r="AJ25" s="273" t="s">
        <v>718</v>
      </c>
      <c r="AT25" s="271">
        <f t="shared" si="0"/>
        <v>18</v>
      </c>
      <c r="AU25" s="184" t="str">
        <f>AT25&amp;" "&amp;IF(AW25&lt;&gt;"-",【様式2】職員名簿!B55&amp;"/"&amp;AV25&amp;"/"&amp;AW25,"")</f>
        <v xml:space="preserve">18 </v>
      </c>
      <c r="AV25" s="184">
        <f>【様式2】職員名簿!E55</f>
        <v>0</v>
      </c>
      <c r="AW25" s="184" t="str">
        <f>IF(【様式2】職員名簿!J55="エラー","-",【様式2】職員名簿!J55)</f>
        <v>-</v>
      </c>
      <c r="AX25" s="413">
        <f>IF($AV25="常勤",$AM$2,IF($AV25="非常勤",【様式2】職員名簿!G55,0))</f>
        <v>0</v>
      </c>
      <c r="AY25" s="440">
        <f>IF($AW25=AY$3,COUNTIF($AW$8:$AW25,AY$3),0)</f>
        <v>0</v>
      </c>
      <c r="AZ25" s="441" t="str">
        <f t="shared" si="1"/>
        <v/>
      </c>
      <c r="BA25" s="442">
        <f>IF($AW25=BA$3,COUNTIF($AW$8:$AW25,BA$3),0)</f>
        <v>0</v>
      </c>
      <c r="BB25" s="441" t="str">
        <f t="shared" si="2"/>
        <v/>
      </c>
      <c r="BC25" s="442">
        <f>IF($AW25=BC$3,COUNTIFS($AW$8:$AW25,BC$3,$AV$8:$AV25,BC$4),0)</f>
        <v>0</v>
      </c>
      <c r="BD25" s="441" t="str">
        <f t="shared" si="3"/>
        <v/>
      </c>
      <c r="BE25" s="272">
        <f>IF($AW25=BE$3,COUNTIF($AW$8:$AW25,BE$3),0)</f>
        <v>0</v>
      </c>
      <c r="BF25" s="441" t="str">
        <f t="shared" si="4"/>
        <v/>
      </c>
      <c r="BG25" s="271">
        <f>IF(OR($AW25=BG$3,$AW25=BG$4),COUNTIF($AW$8:$AW25,BG$3)+COUNTIF($AW$8:$AW25,BG$4),0)</f>
        <v>0</v>
      </c>
      <c r="BH25" s="441" t="str">
        <f t="shared" si="5"/>
        <v/>
      </c>
      <c r="BI25" s="271">
        <f>IF($AW25=BI$3,COUNTIF($AW$8:$AW25,BI$3),0)</f>
        <v>0</v>
      </c>
      <c r="BJ25" s="441" t="str">
        <f t="shared" si="6"/>
        <v/>
      </c>
      <c r="BK25" s="271">
        <f>IF($AW25&lt;&gt;BK$3,COUNTIF($AW$8:$AW25,"&lt;&gt;"&amp;BK$3),0)</f>
        <v>0</v>
      </c>
      <c r="BL25" s="441" t="str">
        <f t="shared" si="7"/>
        <v/>
      </c>
      <c r="BM25" s="337"/>
      <c r="BN25" s="337"/>
    </row>
    <row r="26" spans="1:66" ht="15" customHeight="1">
      <c r="A26" s="1869"/>
      <c r="B26" s="2152"/>
      <c r="C26" s="2153"/>
      <c r="D26" s="2155"/>
      <c r="E26" s="696" t="e">
        <f>IF(W26,T26,"")</f>
        <v>#N/A</v>
      </c>
      <c r="F26" s="2113"/>
      <c r="G26" s="2113"/>
      <c r="H26" s="2113"/>
      <c r="I26" s="740" t="e">
        <f>IF(OR(NOT(W26),U26=0),"",U26)</f>
        <v>#N/A</v>
      </c>
      <c r="J26" s="515" t="str">
        <f>IF(OR(F26=0,F26=""),"",IF(W26,IF(X26,IF(OR(Y26,V26=3),IF(AD26,IF(OR(AE26,V26=2,V26=3),"○","要常勤"),"時間無"),"重複"),"名簿無"),"対象外"))</f>
        <v/>
      </c>
      <c r="K26" s="696" t="s">
        <v>745</v>
      </c>
      <c r="L26" s="525" t="e">
        <f>IF(AI26=1,"調整①→",IF(AI26=5,"調整②→",IF(AI26=2,"",IF(AI26=3,"全計上→","エラー"))))</f>
        <v>#N/A</v>
      </c>
      <c r="M26" s="506" t="e">
        <f>IF(OR(AND(J26&lt;&gt;"",J26&lt;&gt;"○"),AI26=4),"×",IF(J26="",0,AJ26/$AM$2))</f>
        <v>#N/A</v>
      </c>
      <c r="N26" s="474" t="e">
        <f t="shared" si="11"/>
        <v>#N/A</v>
      </c>
      <c r="O26" s="2144"/>
      <c r="P26" s="460"/>
      <c r="Q26" s="800" t="e">
        <f>AND(Q24,R26)</f>
        <v>#N/A</v>
      </c>
      <c r="R26" s="469" t="e">
        <f>R24=2</f>
        <v>#N/A</v>
      </c>
      <c r="S26" s="469" t="e">
        <f>AND(J26="○",$O$92&gt;=0)</f>
        <v>#N/A</v>
      </c>
      <c r="T26" s="470" t="str">
        <f>$BB$6</f>
        <v>保育士</v>
      </c>
      <c r="U26" s="442">
        <f>IFERROR(VLOOKUP($F26,$AU$8:$AX$107,4,FALSE),0)</f>
        <v>0</v>
      </c>
      <c r="V26" s="470">
        <v>2</v>
      </c>
      <c r="W26" s="494" t="e">
        <f>Q26</f>
        <v>#N/A</v>
      </c>
      <c r="X26" s="463" t="b">
        <f t="shared" ref="X26:X27" ca="1" si="17">COUNTIF(INDIRECT(T26),F26)&gt;0</f>
        <v>0</v>
      </c>
      <c r="Y26" s="464" t="b">
        <f>COUNTIF($AC$21:AC25,AC26)+COUNTIF(AC27:$AC$74,AC26)-COUNTIF(Z26:AB26,AC26)=0</f>
        <v>0</v>
      </c>
      <c r="Z26" s="801" t="s">
        <v>718</v>
      </c>
      <c r="AA26" s="801" t="s">
        <v>718</v>
      </c>
      <c r="AB26" s="801" t="s">
        <v>718</v>
      </c>
      <c r="AC26" s="478">
        <f>IF(V26=3,0,IFERROR(INDEX($AT$8:$AT$107,MATCH($F26,AU$8:AU$107,0),1),0))</f>
        <v>0</v>
      </c>
      <c r="AD26" s="479" t="b">
        <f t="shared" ref="AD26:AD27" si="18">U26&gt;0</f>
        <v>0</v>
      </c>
      <c r="AE26" s="480" t="b">
        <f>IFERROR(VLOOKUP($F26,$AU$8:$AX$107,2,FALSE),"")="常勤"</f>
        <v>0</v>
      </c>
      <c r="AF26" s="470" t="s">
        <v>718</v>
      </c>
      <c r="AG26" s="470" t="s">
        <v>718</v>
      </c>
      <c r="AH26" s="470">
        <v>1</v>
      </c>
      <c r="AI26" s="272" t="e">
        <f>IF(AND($W26,$J26="○"),IF($K26="-",IF($U26&lt;IF($AH26=5,$AL$4,$AL$3),$AH26,2),IF($K26=0,IF($U26&lt;IF($AH26=5,$AL$4,$AL$3),IF(OR($AH26=1,$AH26=5),$AH26,3),3),IF(K26&lt;IF($AH26=5,$AL$4,$AL$3),$AH26,IF($K26&gt;$U26,4,2)))),2)</f>
        <v>#N/A</v>
      </c>
      <c r="AJ26" s="273" t="e">
        <f t="shared" ref="AJ26:AJ27" si="19">IF(AI26=1,$AL$3,IF(AI26=5,$AL$4,IF(AI26=2,IF(K26="-",U26,K26),IF(AI26=3,U26,"×"))))</f>
        <v>#N/A</v>
      </c>
      <c r="AT26" s="271">
        <f t="shared" si="0"/>
        <v>19</v>
      </c>
      <c r="AU26" s="184" t="str">
        <f>AT26&amp;" "&amp;IF(AW26&lt;&gt;"-",【様式2】職員名簿!B56&amp;"/"&amp;AV26&amp;"/"&amp;AW26,"")</f>
        <v xml:space="preserve">19 </v>
      </c>
      <c r="AV26" s="184">
        <f>【様式2】職員名簿!E56</f>
        <v>0</v>
      </c>
      <c r="AW26" s="184" t="str">
        <f>IF(【様式2】職員名簿!J56="エラー","-",【様式2】職員名簿!J56)</f>
        <v>-</v>
      </c>
      <c r="AX26" s="413">
        <f>IF($AV26="常勤",$AM$2,IF($AV26="非常勤",【様式2】職員名簿!G56,0))</f>
        <v>0</v>
      </c>
      <c r="AY26" s="440">
        <f>IF($AW26=AY$3,COUNTIF($AW$8:$AW26,AY$3),0)</f>
        <v>0</v>
      </c>
      <c r="AZ26" s="441" t="str">
        <f t="shared" si="1"/>
        <v/>
      </c>
      <c r="BA26" s="442">
        <f>IF($AW26=BA$3,COUNTIF($AW$8:$AW26,BA$3),0)</f>
        <v>0</v>
      </c>
      <c r="BB26" s="441" t="str">
        <f t="shared" si="2"/>
        <v/>
      </c>
      <c r="BC26" s="442">
        <f>IF($AW26=BC$3,COUNTIFS($AW$8:$AW26,BC$3,$AV$8:$AV26,BC$4),0)</f>
        <v>0</v>
      </c>
      <c r="BD26" s="441" t="str">
        <f t="shared" si="3"/>
        <v/>
      </c>
      <c r="BE26" s="272">
        <f>IF($AW26=BE$3,COUNTIF($AW$8:$AW26,BE$3),0)</f>
        <v>0</v>
      </c>
      <c r="BF26" s="441" t="str">
        <f t="shared" si="4"/>
        <v/>
      </c>
      <c r="BG26" s="271">
        <f>IF(OR($AW26=BG$3,$AW26=BG$4),COUNTIF($AW$8:$AW26,BG$3)+COUNTIF($AW$8:$AW26,BG$4),0)</f>
        <v>0</v>
      </c>
      <c r="BH26" s="441" t="str">
        <f t="shared" si="5"/>
        <v/>
      </c>
      <c r="BI26" s="271">
        <f>IF($AW26=BI$3,COUNTIF($AW$8:$AW26,BI$3),0)</f>
        <v>0</v>
      </c>
      <c r="BJ26" s="441" t="str">
        <f t="shared" si="6"/>
        <v/>
      </c>
      <c r="BK26" s="271">
        <f>IF($AW26&lt;&gt;BK$3,COUNTIF($AW$8:$AW26,"&lt;&gt;"&amp;BK$3),0)</f>
        <v>0</v>
      </c>
      <c r="BL26" s="441" t="str">
        <f t="shared" si="7"/>
        <v/>
      </c>
      <c r="BM26" s="337"/>
      <c r="BN26" s="337"/>
    </row>
    <row r="27" spans="1:66" ht="15" customHeight="1">
      <c r="A27" s="1869"/>
      <c r="B27" s="2117" t="s">
        <v>748</v>
      </c>
      <c r="C27" s="2118"/>
      <c r="D27" s="2114" t="str">
        <f t="shared" ref="D27" si="20">IF(W27,T27,"")</f>
        <v>保育士</v>
      </c>
      <c r="E27" s="2115"/>
      <c r="F27" s="2116"/>
      <c r="G27" s="2116"/>
      <c r="H27" s="2116"/>
      <c r="I27" s="741" t="str">
        <f>IF(OR(NOT(W27),U27=0),"",U27)</f>
        <v/>
      </c>
      <c r="J27" s="482" t="str">
        <f>IF(OR(F27=0,F27=""),"",IF(W27,IF(X27,IF(OR(Y27,V27=3),IF(AD27,IF(OR(AE27,V27=2,V27=3),"○","要常勤"),"時間無"),"重複"),"名簿無"),"対象外"))</f>
        <v/>
      </c>
      <c r="K27" s="500" t="s">
        <v>647</v>
      </c>
      <c r="L27" s="483" t="str">
        <f>IF(AI27=1,"調整①→",IF(AI27=5,"調整②→",IF(AI27=2,"",IF(AI27=3,"全計上→","エラー"))))</f>
        <v/>
      </c>
      <c r="M27" s="484">
        <f>IF(OR(AND(J27&lt;&gt;"",J27&lt;&gt;"○"),AI27=4),"×",IF(J27="",0,AJ27/$AM$2))</f>
        <v>0</v>
      </c>
      <c r="N27" s="485" t="str">
        <f t="shared" si="11"/>
        <v>○</v>
      </c>
      <c r="O27" s="701" t="e">
        <f t="shared" ref="O27:O35" si="21">IF(Q27,IF(S27,"○","×"),"-")</f>
        <v>#N/A</v>
      </c>
      <c r="P27" s="460"/>
      <c r="Q27" s="800" t="b">
        <f>NOT(AE26)</f>
        <v>1</v>
      </c>
      <c r="R27" s="469" t="b">
        <f>NOT(AE26)</f>
        <v>1</v>
      </c>
      <c r="S27" s="469" t="e">
        <f>AND(J27="○",$O$92&gt;=0)</f>
        <v>#N/A</v>
      </c>
      <c r="T27" s="470" t="str">
        <f>$BB$6</f>
        <v>保育士</v>
      </c>
      <c r="U27" s="442">
        <f>IFERROR(VLOOKUP($F27,$AU$8:$AX$107,4,FALSE),0)</f>
        <v>0</v>
      </c>
      <c r="V27" s="470">
        <v>2</v>
      </c>
      <c r="W27" s="470" t="b">
        <f>R27</f>
        <v>1</v>
      </c>
      <c r="X27" s="463" t="b">
        <f t="shared" ca="1" si="17"/>
        <v>0</v>
      </c>
      <c r="Y27" s="464" t="b">
        <f>COUNTIF($AC$21:AC26,AC27)+COUNTIF(AC28:$AC$74,AC27)-COUNTIF(Z27:AB27,AC27)=0</f>
        <v>0</v>
      </c>
      <c r="Z27" s="801" t="s">
        <v>718</v>
      </c>
      <c r="AA27" s="801" t="s">
        <v>718</v>
      </c>
      <c r="AB27" s="801" t="s">
        <v>718</v>
      </c>
      <c r="AC27" s="478">
        <f>IF(V27=3,0,IFERROR(INDEX($AT$8:$AT$107,MATCH($F27,AU$8:AU$107,0),1),0))</f>
        <v>0</v>
      </c>
      <c r="AD27" s="479" t="b">
        <f t="shared" si="18"/>
        <v>0</v>
      </c>
      <c r="AE27" s="480" t="b">
        <f>IFERROR(VLOOKUP($F27,$AU$8:$AX$107,2,FALSE),"")="常勤"</f>
        <v>0</v>
      </c>
      <c r="AF27" s="470" t="s">
        <v>718</v>
      </c>
      <c r="AG27" s="470" t="s">
        <v>718</v>
      </c>
      <c r="AH27" s="470">
        <v>1</v>
      </c>
      <c r="AI27" s="272">
        <f t="shared" ref="AI27" si="22">IF(AND($W27,$J27="○"),IF($K27="-",IF($U27&lt;IF($AH27=5,$AL$4,$AL$3),$AH27,2),IF($K27=0,IF($U27&lt;IF($AH27=5,$AL$4,$AL$3),IF(OR($AH27=1,$AH27=5),$AH27,3),3),IF(K27&lt;IF($AH27=5,$AL$4,$AL$3),$AH27,IF($K27&gt;$U27,4,2)))),2)</f>
        <v>2</v>
      </c>
      <c r="AJ27" s="273">
        <f t="shared" si="19"/>
        <v>0</v>
      </c>
      <c r="AT27" s="271">
        <f t="shared" si="0"/>
        <v>20</v>
      </c>
      <c r="AU27" s="184" t="str">
        <f>AT27&amp;" "&amp;IF(AW27&lt;&gt;"-",【様式2】職員名簿!B57&amp;"/"&amp;AV27&amp;"/"&amp;AW27,"")</f>
        <v xml:space="preserve">20 </v>
      </c>
      <c r="AV27" s="184">
        <f>【様式2】職員名簿!E57</f>
        <v>0</v>
      </c>
      <c r="AW27" s="184" t="str">
        <f>IF(【様式2】職員名簿!J57="エラー","-",【様式2】職員名簿!J57)</f>
        <v>-</v>
      </c>
      <c r="AX27" s="413">
        <f>IF($AV27="常勤",$AM$2,IF($AV27="非常勤",【様式2】職員名簿!G57,0))</f>
        <v>0</v>
      </c>
      <c r="AY27" s="440">
        <f>IF($AW27=AY$3,COUNTIF($AW$8:$AW27,AY$3),0)</f>
        <v>0</v>
      </c>
      <c r="AZ27" s="441" t="str">
        <f t="shared" si="1"/>
        <v/>
      </c>
      <c r="BA27" s="442">
        <f>IF($AW27=BA$3,COUNTIF($AW$8:$AW27,BA$3),0)</f>
        <v>0</v>
      </c>
      <c r="BB27" s="441" t="str">
        <f t="shared" si="2"/>
        <v/>
      </c>
      <c r="BC27" s="442">
        <f>IF($AW27=BC$3,COUNTIFS($AW$8:$AW27,BC$3,$AV$8:$AV27,BC$4),0)</f>
        <v>0</v>
      </c>
      <c r="BD27" s="441" t="str">
        <f t="shared" si="3"/>
        <v/>
      </c>
      <c r="BE27" s="272">
        <f>IF($AW27=BE$3,COUNTIF($AW$8:$AW27,BE$3),0)</f>
        <v>0</v>
      </c>
      <c r="BF27" s="441" t="str">
        <f t="shared" si="4"/>
        <v/>
      </c>
      <c r="BG27" s="271">
        <f>IF(OR($AW27=BG$3,$AW27=BG$4),COUNTIF($AW$8:$AW27,BG$3)+COUNTIF($AW$8:$AW27,BG$4),0)</f>
        <v>0</v>
      </c>
      <c r="BH27" s="441" t="str">
        <f t="shared" si="5"/>
        <v/>
      </c>
      <c r="BI27" s="271">
        <f>IF($AW27=BI$3,COUNTIF($AW$8:$AW27,BI$3),0)</f>
        <v>0</v>
      </c>
      <c r="BJ27" s="441" t="str">
        <f t="shared" si="6"/>
        <v/>
      </c>
      <c r="BK27" s="271">
        <f>IF($AW27&lt;&gt;BK$3,COUNTIF($AW$8:$AW27,"&lt;&gt;"&amp;BK$3),0)</f>
        <v>0</v>
      </c>
      <c r="BL27" s="441" t="str">
        <f t="shared" si="7"/>
        <v/>
      </c>
      <c r="BM27" s="337"/>
      <c r="BN27" s="337"/>
    </row>
    <row r="28" spans="1:66" ht="15" customHeight="1">
      <c r="A28" s="1869"/>
      <c r="B28" s="2156" t="s">
        <v>123</v>
      </c>
      <c r="C28" s="2157"/>
      <c r="D28" s="2042" t="str">
        <f t="shared" ref="D28" si="23">IF(W28,T28,"")</f>
        <v>調理員</v>
      </c>
      <c r="E28" s="2043"/>
      <c r="F28" s="2029" t="str">
        <f>IF(R28=1,"利用定員"&amp;B16&amp;"人は"&amp;IF(B16&gt;=20,IF(B16&lt;=40,"常勤換算１人","常勤換算２人"),"非常勤１名"),IF(R28=2,"業務委託","エラー：個票0を見直すこと"))</f>
        <v>エラー：個票0を見直すこと</v>
      </c>
      <c r="G28" s="2030"/>
      <c r="H28" s="2030"/>
      <c r="I28" s="2030"/>
      <c r="J28" s="2030"/>
      <c r="K28" s="2031"/>
      <c r="L28" s="476" t="s">
        <v>647</v>
      </c>
      <c r="M28" s="477" t="s">
        <v>647</v>
      </c>
      <c r="N28" s="487" t="str">
        <f>IF(Q28,"○","×")</f>
        <v>○</v>
      </c>
      <c r="O28" s="2063" t="str">
        <f>IF(Q28,IF(S28,"○","×"),"-")</f>
        <v>×</v>
      </c>
      <c r="P28" s="460"/>
      <c r="Q28" s="488" t="b">
        <f>TRUE()</f>
        <v>1</v>
      </c>
      <c r="R28" s="469">
        <f>IF(【様式１】総括表・個票!AI56,1,IF(【様式１】総括表・個票!AI57,2,0))</f>
        <v>0</v>
      </c>
      <c r="S28" s="469" t="b">
        <f>AND(O103&gt;=0,IF(Q29,S29,TRUE),IF(Q30,S30,TRUE),IF(Q31,S31,TRUE),OR(Q29,Q30,Q31))</f>
        <v>0</v>
      </c>
      <c r="T28" s="470" t="s">
        <v>141</v>
      </c>
      <c r="U28" s="442" t="s">
        <v>647</v>
      </c>
      <c r="V28" s="470" t="s">
        <v>718</v>
      </c>
      <c r="W28" s="470" t="b">
        <f>Q28</f>
        <v>1</v>
      </c>
      <c r="X28" s="463" t="s">
        <v>718</v>
      </c>
      <c r="Y28" s="464" t="s">
        <v>718</v>
      </c>
      <c r="Z28" s="801" t="s">
        <v>718</v>
      </c>
      <c r="AA28" s="801" t="s">
        <v>718</v>
      </c>
      <c r="AB28" s="801" t="s">
        <v>718</v>
      </c>
      <c r="AC28" s="478" t="s">
        <v>718</v>
      </c>
      <c r="AD28" s="479" t="s">
        <v>718</v>
      </c>
      <c r="AE28" s="480" t="s">
        <v>718</v>
      </c>
      <c r="AF28" s="470" t="s">
        <v>718</v>
      </c>
      <c r="AG28" s="470" t="s">
        <v>718</v>
      </c>
      <c r="AH28" s="470" t="s">
        <v>718</v>
      </c>
      <c r="AI28" s="272" t="s">
        <v>718</v>
      </c>
      <c r="AJ28" s="273" t="s">
        <v>718</v>
      </c>
      <c r="AT28" s="271">
        <f t="shared" si="0"/>
        <v>21</v>
      </c>
      <c r="AU28" s="184" t="str">
        <f>AT28&amp;" "&amp;IF(AW28&lt;&gt;"-",【様式2】職員名簿!B58&amp;"/"&amp;AV28&amp;"/"&amp;AW28,"")</f>
        <v xml:space="preserve">21 </v>
      </c>
      <c r="AV28" s="184">
        <f>【様式2】職員名簿!E58</f>
        <v>0</v>
      </c>
      <c r="AW28" s="184" t="str">
        <f>IF(【様式2】職員名簿!J58="エラー","-",【様式2】職員名簿!J58)</f>
        <v>-</v>
      </c>
      <c r="AX28" s="413">
        <f>IF($AV28="常勤",$AM$2,IF($AV28="非常勤",【様式2】職員名簿!G58,0))</f>
        <v>0</v>
      </c>
      <c r="AY28" s="440">
        <f>IF($AW28=AY$3,COUNTIF($AW$8:$AW28,AY$3),0)</f>
        <v>0</v>
      </c>
      <c r="AZ28" s="441" t="str">
        <f t="shared" si="1"/>
        <v/>
      </c>
      <c r="BA28" s="442">
        <f>IF($AW28=BA$3,COUNTIF($AW$8:$AW28,BA$3),0)</f>
        <v>0</v>
      </c>
      <c r="BB28" s="441" t="str">
        <f t="shared" si="2"/>
        <v/>
      </c>
      <c r="BC28" s="442">
        <f>IF($AW28=BC$3,COUNTIFS($AW$8:$AW28,BC$3,$AV$8:$AV28,BC$4),0)</f>
        <v>0</v>
      </c>
      <c r="BD28" s="441" t="str">
        <f t="shared" si="3"/>
        <v/>
      </c>
      <c r="BE28" s="272">
        <f>IF($AW28=BE$3,COUNTIF($AW$8:$AW28,BE$3),0)</f>
        <v>0</v>
      </c>
      <c r="BF28" s="441" t="str">
        <f t="shared" si="4"/>
        <v/>
      </c>
      <c r="BG28" s="271">
        <f>IF(OR($AW28=BG$3,$AW28=BG$4),COUNTIF($AW$8:$AW28,BG$3)+COUNTIF($AW$8:$AW28,BG$4),0)</f>
        <v>0</v>
      </c>
      <c r="BH28" s="441" t="str">
        <f t="shared" si="5"/>
        <v/>
      </c>
      <c r="BI28" s="271">
        <f>IF($AW28=BI$3,COUNTIF($AW$8:$AW28,BI$3),0)</f>
        <v>0</v>
      </c>
      <c r="BJ28" s="441" t="str">
        <f t="shared" si="6"/>
        <v/>
      </c>
      <c r="BK28" s="271">
        <f>IF($AW28&lt;&gt;BK$3,COUNTIF($AW$8:$AW28,"&lt;&gt;"&amp;BK$3),0)</f>
        <v>0</v>
      </c>
      <c r="BL28" s="441" t="str">
        <f t="shared" si="7"/>
        <v/>
      </c>
      <c r="BM28" s="337"/>
      <c r="BN28" s="337"/>
    </row>
    <row r="29" spans="1:66" ht="15" customHeight="1">
      <c r="A29" s="1869"/>
      <c r="B29" s="2150"/>
      <c r="C29" s="2151"/>
      <c r="D29" s="2207" t="str">
        <f>IF(R28=1,"雇用",IF(R28=2,"委託","エラー"))</f>
        <v>エラー</v>
      </c>
      <c r="E29" s="696" t="str">
        <f>IF(W29,T29,"")</f>
        <v/>
      </c>
      <c r="F29" s="2032" t="str">
        <f>IF(Q29,"常勤換算"&amp;IF(B8&lt;=40,1,2)&amp;"人","")</f>
        <v/>
      </c>
      <c r="G29" s="2033"/>
      <c r="H29" s="2033"/>
      <c r="I29" s="2033"/>
      <c r="J29" s="2033"/>
      <c r="K29" s="2034"/>
      <c r="L29" s="490" t="s">
        <v>830</v>
      </c>
      <c r="M29" s="491" t="s">
        <v>830</v>
      </c>
      <c r="N29" s="492" t="str">
        <f>IF(Q29,"○","×")</f>
        <v>×</v>
      </c>
      <c r="O29" s="2064"/>
      <c r="P29" s="460"/>
      <c r="Q29" s="493" t="b">
        <f>AND(Q28,R29)</f>
        <v>0</v>
      </c>
      <c r="R29" s="469" t="b">
        <f>AND(R28=1,B16&gt;=20)</f>
        <v>0</v>
      </c>
      <c r="S29" s="469" t="b">
        <f>$O$103&gt;=0</f>
        <v>1</v>
      </c>
      <c r="T29" s="470" t="s">
        <v>831</v>
      </c>
      <c r="U29" s="442" t="s">
        <v>718</v>
      </c>
      <c r="V29" s="470" t="s">
        <v>718</v>
      </c>
      <c r="W29" s="470" t="b">
        <f t="shared" ref="W29:W31" si="24">Q29</f>
        <v>0</v>
      </c>
      <c r="X29" s="463" t="s">
        <v>830</v>
      </c>
      <c r="Y29" s="464" t="s">
        <v>718</v>
      </c>
      <c r="Z29" s="801" t="s">
        <v>718</v>
      </c>
      <c r="AA29" s="801" t="s">
        <v>718</v>
      </c>
      <c r="AB29" s="801" t="s">
        <v>718</v>
      </c>
      <c r="AC29" s="478" t="s">
        <v>718</v>
      </c>
      <c r="AD29" s="479" t="s">
        <v>718</v>
      </c>
      <c r="AE29" s="480" t="s">
        <v>718</v>
      </c>
      <c r="AF29" s="470" t="s">
        <v>718</v>
      </c>
      <c r="AG29" s="470" t="s">
        <v>718</v>
      </c>
      <c r="AH29" s="470" t="s">
        <v>718</v>
      </c>
      <c r="AI29" s="272" t="s">
        <v>718</v>
      </c>
      <c r="AJ29" s="273" t="s">
        <v>718</v>
      </c>
      <c r="AT29" s="271">
        <f t="shared" si="0"/>
        <v>22</v>
      </c>
      <c r="AU29" s="184" t="str">
        <f>AT29&amp;" "&amp;IF(AW29&lt;&gt;"-",【様式2】職員名簿!B59&amp;"/"&amp;AV29&amp;"/"&amp;AW29,"")</f>
        <v xml:space="preserve">22 </v>
      </c>
      <c r="AV29" s="184">
        <f>【様式2】職員名簿!E59</f>
        <v>0</v>
      </c>
      <c r="AW29" s="184" t="str">
        <f>IF(【様式2】職員名簿!J59="エラー","-",【様式2】職員名簿!J59)</f>
        <v>-</v>
      </c>
      <c r="AX29" s="413">
        <f>IF($AV29="常勤",$AM$2,IF($AV29="非常勤",【様式2】職員名簿!G59,0))</f>
        <v>0</v>
      </c>
      <c r="AY29" s="440">
        <f>IF($AW29=AY$3,COUNTIF($AW$8:$AW29,AY$3),0)</f>
        <v>0</v>
      </c>
      <c r="AZ29" s="441" t="str">
        <f t="shared" si="1"/>
        <v/>
      </c>
      <c r="BA29" s="442">
        <f>IF($AW29=BA$3,COUNTIF($AW$8:$AW29,BA$3),0)</f>
        <v>0</v>
      </c>
      <c r="BB29" s="441" t="str">
        <f t="shared" si="2"/>
        <v/>
      </c>
      <c r="BC29" s="442">
        <f>IF($AW29=BC$3,COUNTIFS($AW$8:$AW29,BC$3,$AV$8:$AV29,BC$4),0)</f>
        <v>0</v>
      </c>
      <c r="BD29" s="441" t="str">
        <f t="shared" si="3"/>
        <v/>
      </c>
      <c r="BE29" s="272">
        <f>IF($AW29=BE$3,COUNTIF($AW$8:$AW29,BE$3),0)</f>
        <v>0</v>
      </c>
      <c r="BF29" s="441" t="str">
        <f t="shared" si="4"/>
        <v/>
      </c>
      <c r="BG29" s="271">
        <f>IF(OR($AW29=BG$3,$AW29=BG$4),COUNTIF($AW$8:$AW29,BG$3)+COUNTIF($AW$8:$AW29,BG$4),0)</f>
        <v>0</v>
      </c>
      <c r="BH29" s="441" t="str">
        <f t="shared" si="5"/>
        <v/>
      </c>
      <c r="BI29" s="271">
        <f>IF($AW29=BI$3,COUNTIF($AW$8:$AW29,BI$3),0)</f>
        <v>0</v>
      </c>
      <c r="BJ29" s="441" t="str">
        <f t="shared" si="6"/>
        <v/>
      </c>
      <c r="BK29" s="271">
        <f>IF($AW29&lt;&gt;BK$3,COUNTIF($AW$8:$AW29,"&lt;&gt;"&amp;BK$3),0)</f>
        <v>0</v>
      </c>
      <c r="BL29" s="441" t="str">
        <f t="shared" si="7"/>
        <v/>
      </c>
      <c r="BM29" s="337"/>
      <c r="BN29" s="337"/>
    </row>
    <row r="30" spans="1:66" ht="15" customHeight="1">
      <c r="A30" s="1869"/>
      <c r="B30" s="2150"/>
      <c r="C30" s="2151"/>
      <c r="D30" s="2207"/>
      <c r="E30" s="796" t="str">
        <f>IF(W30,T30,"")</f>
        <v/>
      </c>
      <c r="F30" s="1993"/>
      <c r="G30" s="1994"/>
      <c r="H30" s="1994"/>
      <c r="I30" s="742" t="str">
        <f>IF(OR(NOT(W30),U30=0),"",U30)</f>
        <v/>
      </c>
      <c r="J30" s="489" t="str">
        <f>IF(OR(F30=0,F30=""),"",IF(W30,IF(X30,IF(OR(Y30,V30=3),IF(AD30,IF(OR(AE30,V30=2,V30=3),"○","要常勤"),"時間無"),"重複"),"名簿無"),"対象外"))</f>
        <v/>
      </c>
      <c r="K30" s="497" t="s">
        <v>647</v>
      </c>
      <c r="L30" s="490" t="str">
        <f>IF(AI30=1,"調整①→",IF(AI30=5,"調整②→",IF(AI30=2,"",IF(AI30=3,"全計上→","エラー"))))</f>
        <v/>
      </c>
      <c r="M30" s="491">
        <f>IF(OR(AND(J30&lt;&gt;"",J30&lt;&gt;"○"),AI30=4),"×",IF(J30="",0,AJ30/$AM$2))</f>
        <v>0</v>
      </c>
      <c r="N30" s="492" t="str">
        <f t="shared" si="11"/>
        <v>×</v>
      </c>
      <c r="O30" s="2064"/>
      <c r="P30" s="460"/>
      <c r="Q30" s="493" t="b">
        <f>AND(Q28,R30)</f>
        <v>0</v>
      </c>
      <c r="R30" s="469" t="b">
        <f>AND(R28=1,B16&lt;=19)</f>
        <v>0</v>
      </c>
      <c r="S30" s="469" t="b">
        <f>AND(J30="○",$O$103&gt;=0)</f>
        <v>0</v>
      </c>
      <c r="T30" s="470" t="s">
        <v>749</v>
      </c>
      <c r="U30" s="442">
        <f>IFERROR(VLOOKUP($F30,$AU$8:$AX$107,4,FALSE),0)</f>
        <v>0</v>
      </c>
      <c r="V30" s="470">
        <v>2</v>
      </c>
      <c r="W30" s="470" t="b">
        <f t="shared" si="24"/>
        <v>0</v>
      </c>
      <c r="X30" s="463" t="b">
        <f t="shared" ref="X30" ca="1" si="25">COUNTIF(INDIRECT(T30),F30)&gt;0</f>
        <v>0</v>
      </c>
      <c r="Y30" s="464" t="b">
        <f>COUNTIF($AC$21:AC29,AC30)+COUNTIF(AC31:$AC$74,AC30)-COUNTIF(Z30:AB30,AC30)=0</f>
        <v>0</v>
      </c>
      <c r="Z30" s="801" t="s">
        <v>718</v>
      </c>
      <c r="AA30" s="801" t="s">
        <v>718</v>
      </c>
      <c r="AB30" s="801" t="s">
        <v>718</v>
      </c>
      <c r="AC30" s="478">
        <f>IF(V30=3,0,IFERROR(INDEX($AT$8:$AT$107,MATCH($F30,AU$8:AU$107,0),1),0))</f>
        <v>0</v>
      </c>
      <c r="AD30" s="479" t="b">
        <f t="shared" ref="AD30:AD31" si="26">U30&gt;0</f>
        <v>0</v>
      </c>
      <c r="AE30" s="480" t="b">
        <f>IFERROR(VLOOKUP($F30,$AU$8:$AX$107,2,FALSE),"")="常勤"</f>
        <v>0</v>
      </c>
      <c r="AF30" s="470" t="s">
        <v>718</v>
      </c>
      <c r="AG30" s="470" t="s">
        <v>718</v>
      </c>
      <c r="AH30" s="470">
        <v>1</v>
      </c>
      <c r="AI30" s="272">
        <f t="shared" ref="AI30:AI35" si="27">IF(AND($W30,$J30="○"),IF($K30="-",IF($U30&lt;IF($AH30=5,$AL$4,$AL$3),$AH30,2),IF($K30=0,IF($U30&lt;IF($AH30=5,$AL$4,$AL$3),IF(OR($AH30=1,$AH30=5),$AH30,3),3),IF(K30&lt;IF($AH30=5,$AL$4,$AL$3),$AH30,IF($K30&gt;$U30,4,2)))),2)</f>
        <v>2</v>
      </c>
      <c r="AJ30" s="273">
        <f t="shared" ref="AJ30:AJ35" si="28">IF(AI30=1,$AL$3,IF(AI30=5,$AL$4,IF(AI30=2,IF(K30="-",U30,K30),IF(AI30=3,U30,"×"))))</f>
        <v>0</v>
      </c>
      <c r="AS30" s="486"/>
      <c r="AT30" s="271">
        <f t="shared" si="0"/>
        <v>23</v>
      </c>
      <c r="AU30" s="184" t="str">
        <f>AT30&amp;" "&amp;IF(AW30&lt;&gt;"-",【様式2】職員名簿!B60&amp;"/"&amp;AV30&amp;"/"&amp;AW30,"")</f>
        <v xml:space="preserve">23 </v>
      </c>
      <c r="AV30" s="184">
        <f>【様式2】職員名簿!E60</f>
        <v>0</v>
      </c>
      <c r="AW30" s="184" t="str">
        <f>IF(【様式2】職員名簿!J60="エラー","-",【様式2】職員名簿!J60)</f>
        <v>-</v>
      </c>
      <c r="AX30" s="413">
        <f>IF($AV30="常勤",$AM$2,IF($AV30="非常勤",【様式2】職員名簿!G60,0))</f>
        <v>0</v>
      </c>
      <c r="AY30" s="440">
        <f>IF($AW30=AY$3,COUNTIF($AW$8:$AW30,AY$3),0)</f>
        <v>0</v>
      </c>
      <c r="AZ30" s="441" t="str">
        <f t="shared" si="1"/>
        <v/>
      </c>
      <c r="BA30" s="442">
        <f>IF($AW30=BA$3,COUNTIF($AW$8:$AW30,BA$3),0)</f>
        <v>0</v>
      </c>
      <c r="BB30" s="441" t="str">
        <f t="shared" si="2"/>
        <v/>
      </c>
      <c r="BC30" s="442">
        <f>IF($AW30=BC$3,COUNTIFS($AW$8:$AW30,BC$3,$AV$8:$AV30,BC$4),0)</f>
        <v>0</v>
      </c>
      <c r="BD30" s="441" t="str">
        <f t="shared" si="3"/>
        <v/>
      </c>
      <c r="BE30" s="272">
        <f>IF($AW30=BE$3,COUNTIF($AW$8:$AW30,BE$3),0)</f>
        <v>0</v>
      </c>
      <c r="BF30" s="441" t="str">
        <f t="shared" si="4"/>
        <v/>
      </c>
      <c r="BG30" s="271">
        <f>IF(OR($AW30=BG$3,$AW30=BG$4),COUNTIF($AW$8:$AW30,BG$3)+COUNTIF($AW$8:$AW30,BG$4),0)</f>
        <v>0</v>
      </c>
      <c r="BH30" s="441" t="str">
        <f t="shared" si="5"/>
        <v/>
      </c>
      <c r="BI30" s="271">
        <f>IF($AW30=BI$3,COUNTIF($AW$8:$AW30,BI$3),0)</f>
        <v>0</v>
      </c>
      <c r="BJ30" s="441" t="str">
        <f t="shared" si="6"/>
        <v/>
      </c>
      <c r="BK30" s="271">
        <f>IF($AW30&lt;&gt;BK$3,COUNTIF($AW$8:$AW30,"&lt;&gt;"&amp;BK$3),0)</f>
        <v>0</v>
      </c>
      <c r="BL30" s="441" t="str">
        <f t="shared" si="7"/>
        <v/>
      </c>
      <c r="BM30" s="337"/>
      <c r="BN30" s="337"/>
    </row>
    <row r="31" spans="1:66" ht="15" customHeight="1">
      <c r="A31" s="1869"/>
      <c r="B31" s="2117"/>
      <c r="C31" s="2118"/>
      <c r="D31" s="2208"/>
      <c r="E31" s="696" t="str">
        <f>IF(W31,T31,"")</f>
        <v/>
      </c>
      <c r="F31" s="2205" t="str">
        <f>IF(W31,BN9,"")</f>
        <v/>
      </c>
      <c r="G31" s="2206"/>
      <c r="H31" s="2206"/>
      <c r="I31" s="742" t="str">
        <f>IF(OR(NOT(W31),U31=0),"",U31)</f>
        <v/>
      </c>
      <c r="J31" s="489" t="str">
        <f t="shared" ref="J31" si="29">IF(OR(F31=0,F31=""),"",IF(W31,IF(X31,IF(OR(Y31,V31=3),IF(AD31,IF(OR(AE31,V31=2,V31=3),"○","要常勤"),"時間無"),"重複"),"名簿無"),"対象外"))</f>
        <v/>
      </c>
      <c r="K31" s="500" t="s">
        <v>829</v>
      </c>
      <c r="L31" s="490" t="s">
        <v>830</v>
      </c>
      <c r="M31" s="491" t="s">
        <v>830</v>
      </c>
      <c r="N31" s="492" t="str">
        <f>IF(Q31,"○","×")</f>
        <v>×</v>
      </c>
      <c r="O31" s="2064"/>
      <c r="P31" s="460"/>
      <c r="Q31" s="496" t="b">
        <f>AND(Q28,R31)</f>
        <v>0</v>
      </c>
      <c r="R31" s="470" t="b">
        <f>R28=2</f>
        <v>0</v>
      </c>
      <c r="S31" s="800" t="b">
        <f>AND(J31="○",O103&gt;=0)</f>
        <v>0</v>
      </c>
      <c r="T31" s="470" t="str">
        <f>BN6</f>
        <v>業務委託</v>
      </c>
      <c r="U31" s="697">
        <f>BO9</f>
        <v>0</v>
      </c>
      <c r="V31" s="470">
        <v>3</v>
      </c>
      <c r="W31" s="470" t="b">
        <f t="shared" si="24"/>
        <v>0</v>
      </c>
      <c r="X31" s="463" t="b">
        <f ca="1">COUNTIF(INDIRECT(T31),F31)&gt;0</f>
        <v>0</v>
      </c>
      <c r="Y31" s="464" t="b">
        <f>COUNTIF($AC$21:AC30,AC31)+COUNTIF(AC32:$AC$74,AC31)-COUNTIF(Z31:AB31,AC31)=0</f>
        <v>0</v>
      </c>
      <c r="Z31" s="801" t="s">
        <v>718</v>
      </c>
      <c r="AA31" s="801" t="s">
        <v>718</v>
      </c>
      <c r="AB31" s="801" t="s">
        <v>718</v>
      </c>
      <c r="AC31" s="478">
        <f>IF(V31=3,0,IFERROR(INDEX($AT$8:$AT$107,MATCH($F31,AU$8:AU$107,0),1),0))</f>
        <v>0</v>
      </c>
      <c r="AD31" s="479" t="b">
        <f t="shared" si="26"/>
        <v>0</v>
      </c>
      <c r="AE31" s="480" t="b">
        <f>IFERROR(VLOOKUP($F31,$AU$8:$AX$107,2,FALSE),"")="常勤"</f>
        <v>0</v>
      </c>
      <c r="AF31" s="470" t="s">
        <v>718</v>
      </c>
      <c r="AG31" s="470" t="s">
        <v>718</v>
      </c>
      <c r="AH31" s="470">
        <v>2</v>
      </c>
      <c r="AI31" s="272">
        <f t="shared" si="27"/>
        <v>2</v>
      </c>
      <c r="AJ31" s="273">
        <f t="shared" si="28"/>
        <v>0</v>
      </c>
      <c r="AS31" s="486"/>
      <c r="AT31" s="271">
        <f t="shared" si="0"/>
        <v>24</v>
      </c>
      <c r="AU31" s="184" t="str">
        <f>AT31&amp;" "&amp;IF(AW31&lt;&gt;"-",【様式2】職員名簿!B61&amp;"/"&amp;AV31&amp;"/"&amp;AW31,"")</f>
        <v xml:space="preserve">24 </v>
      </c>
      <c r="AV31" s="184">
        <f>【様式2】職員名簿!E61</f>
        <v>0</v>
      </c>
      <c r="AW31" s="184" t="str">
        <f>IF(【様式2】職員名簿!J61="エラー","-",【様式2】職員名簿!J61)</f>
        <v>-</v>
      </c>
      <c r="AX31" s="413">
        <f>IF($AV31="常勤",$AM$2,IF($AV31="非常勤",【様式2】職員名簿!G61,0))</f>
        <v>0</v>
      </c>
      <c r="AY31" s="440">
        <f>IF($AW31=AY$3,COUNTIF($AW$8:$AW31,AY$3),0)</f>
        <v>0</v>
      </c>
      <c r="AZ31" s="441" t="str">
        <f t="shared" si="1"/>
        <v/>
      </c>
      <c r="BA31" s="442">
        <f>IF($AW31=BA$3,COUNTIF($AW$8:$AW31,BA$3),0)</f>
        <v>0</v>
      </c>
      <c r="BB31" s="441" t="str">
        <f t="shared" si="2"/>
        <v/>
      </c>
      <c r="BC31" s="442">
        <f>IF($AW31=BC$3,COUNTIFS($AW$8:$AW31,BC$3,$AV$8:$AV31,BC$4),0)</f>
        <v>0</v>
      </c>
      <c r="BD31" s="441" t="str">
        <f t="shared" si="3"/>
        <v/>
      </c>
      <c r="BE31" s="272">
        <f>IF($AW31=BE$3,COUNTIF($AW$8:$AW31,BE$3),0)</f>
        <v>0</v>
      </c>
      <c r="BF31" s="441" t="str">
        <f t="shared" si="4"/>
        <v/>
      </c>
      <c r="BG31" s="271">
        <f>IF(OR($AW31=BG$3,$AW31=BG$4),COUNTIF($AW$8:$AW31,BG$3)+COUNTIF($AW$8:$AW31,BG$4),0)</f>
        <v>0</v>
      </c>
      <c r="BH31" s="441" t="str">
        <f t="shared" si="5"/>
        <v/>
      </c>
      <c r="BI31" s="271">
        <f>IF($AW31=BI$3,COUNTIF($AW$8:$AW31,BI$3),0)</f>
        <v>0</v>
      </c>
      <c r="BJ31" s="441" t="str">
        <f t="shared" si="6"/>
        <v/>
      </c>
      <c r="BK31" s="271">
        <f>IF($AW31&lt;&gt;BK$3,COUNTIF($AW$8:$AW31,"&lt;&gt;"&amp;BK$3),0)</f>
        <v>0</v>
      </c>
      <c r="BL31" s="441" t="str">
        <f t="shared" si="7"/>
        <v/>
      </c>
      <c r="BM31" s="337"/>
      <c r="BN31" s="337"/>
    </row>
    <row r="32" spans="1:66" ht="15" customHeight="1">
      <c r="A32" s="1869"/>
      <c r="B32" s="2150" t="s">
        <v>310</v>
      </c>
      <c r="C32" s="2151"/>
      <c r="D32" s="2042" t="str">
        <f t="shared" ref="D32" si="30">IF(W32,T32,"")</f>
        <v>事務員</v>
      </c>
      <c r="E32" s="2043"/>
      <c r="F32" s="2029" t="str">
        <f>IF(R32=1,"非常勤１名",IF(R32=2,"兼務１名",IF(R32=3,"業務委託","エラー：個票0を見直すこと")))</f>
        <v>エラー：個票0を見直すこと</v>
      </c>
      <c r="G32" s="2030"/>
      <c r="H32" s="2030"/>
      <c r="I32" s="2030"/>
      <c r="J32" s="2030"/>
      <c r="K32" s="2031"/>
      <c r="L32" s="694" t="s">
        <v>647</v>
      </c>
      <c r="M32" s="695" t="s">
        <v>647</v>
      </c>
      <c r="N32" s="798" t="str">
        <f>IF(Q32,"○","×")</f>
        <v>○</v>
      </c>
      <c r="O32" s="2063" t="str">
        <f>IF(Q32,IF(S32,"○","×"),"-")</f>
        <v>×</v>
      </c>
      <c r="P32" s="460"/>
      <c r="Q32" s="488" t="b">
        <f>TRUE()</f>
        <v>1</v>
      </c>
      <c r="R32" s="470">
        <f>IF(【様式１】総括表・個票!AI52,1,IF(【様式１】総括表・個票!AI53,2,IF(【様式１】総括表・個票!AI54,3,0)))</f>
        <v>0</v>
      </c>
      <c r="S32" s="469" t="b">
        <f>AND(O105&gt;=0,IF(Q33,S33,TRUE),IF(Q34,S34,TRUE),IF(Q35,S35,TRUE),OR(Q33,Q34,Q35))</f>
        <v>0</v>
      </c>
      <c r="T32" s="470" t="str">
        <f>$BJ$6</f>
        <v>事務員</v>
      </c>
      <c r="U32" s="697" t="s">
        <v>832</v>
      </c>
      <c r="V32" s="470" t="s">
        <v>832</v>
      </c>
      <c r="W32" s="470" t="b">
        <f>Q32</f>
        <v>1</v>
      </c>
      <c r="X32" s="463" t="s">
        <v>833</v>
      </c>
      <c r="Y32" s="464" t="s">
        <v>833</v>
      </c>
      <c r="Z32" s="801" t="s">
        <v>718</v>
      </c>
      <c r="AA32" s="801" t="s">
        <v>718</v>
      </c>
      <c r="AB32" s="801" t="s">
        <v>718</v>
      </c>
      <c r="AC32" s="804" t="s">
        <v>718</v>
      </c>
      <c r="AD32" s="479" t="s">
        <v>718</v>
      </c>
      <c r="AE32" s="480" t="s">
        <v>718</v>
      </c>
      <c r="AF32" s="470" t="s">
        <v>718</v>
      </c>
      <c r="AG32" s="470" t="s">
        <v>718</v>
      </c>
      <c r="AH32" s="470" t="s">
        <v>718</v>
      </c>
      <c r="AI32" s="272" t="s">
        <v>718</v>
      </c>
      <c r="AJ32" s="273" t="s">
        <v>718</v>
      </c>
      <c r="AS32" s="486"/>
      <c r="AT32" s="271">
        <f t="shared" si="0"/>
        <v>25</v>
      </c>
      <c r="AU32" s="184" t="str">
        <f>AT32&amp;" "&amp;IF(AW32&lt;&gt;"-",【様式2】職員名簿!B62&amp;"/"&amp;AV32&amp;"/"&amp;AW32,"")</f>
        <v xml:space="preserve">25 </v>
      </c>
      <c r="AV32" s="184">
        <f>【様式2】職員名簿!E62</f>
        <v>0</v>
      </c>
      <c r="AW32" s="184" t="str">
        <f>IF(【様式2】職員名簿!J62="エラー","-",【様式2】職員名簿!J62)</f>
        <v>-</v>
      </c>
      <c r="AX32" s="413">
        <f>IF($AV32="常勤",$AM$2,IF($AV32="非常勤",【様式2】職員名簿!G62,0))</f>
        <v>0</v>
      </c>
      <c r="AY32" s="440">
        <f>IF($AW32=AY$3,COUNTIF($AW$8:$AW32,AY$3),0)</f>
        <v>0</v>
      </c>
      <c r="AZ32" s="441" t="str">
        <f t="shared" si="1"/>
        <v/>
      </c>
      <c r="BA32" s="442">
        <f>IF($AW32=BA$3,COUNTIF($AW$8:$AW32,BA$3),0)</f>
        <v>0</v>
      </c>
      <c r="BB32" s="441" t="str">
        <f t="shared" si="2"/>
        <v/>
      </c>
      <c r="BC32" s="442">
        <f>IF($AW32=BC$3,COUNTIFS($AW$8:$AW32,BC$3,$AV$8:$AV32,BC$4),0)</f>
        <v>0</v>
      </c>
      <c r="BD32" s="441" t="str">
        <f t="shared" si="3"/>
        <v/>
      </c>
      <c r="BE32" s="272">
        <f>IF($AW32=BE$3,COUNTIF($AW$8:$AW32,BE$3),0)</f>
        <v>0</v>
      </c>
      <c r="BF32" s="441" t="str">
        <f t="shared" si="4"/>
        <v/>
      </c>
      <c r="BG32" s="271">
        <f>IF(OR($AW32=BG$3,$AW32=BG$4),COUNTIF($AW$8:$AW32,BG$3)+COUNTIF($AW$8:$AW32,BG$4),0)</f>
        <v>0</v>
      </c>
      <c r="BH32" s="441" t="str">
        <f t="shared" si="5"/>
        <v/>
      </c>
      <c r="BI32" s="271">
        <f>IF($AW32=BI$3,COUNTIF($AW$8:$AW32,BI$3),0)</f>
        <v>0</v>
      </c>
      <c r="BJ32" s="441" t="str">
        <f t="shared" si="6"/>
        <v/>
      </c>
      <c r="BK32" s="271">
        <f>IF($AW32&lt;&gt;BK$3,COUNTIF($AW$8:$AW32,"&lt;&gt;"&amp;BK$3),0)</f>
        <v>0</v>
      </c>
      <c r="BL32" s="441" t="str">
        <f t="shared" si="7"/>
        <v/>
      </c>
      <c r="BM32" s="337"/>
      <c r="BN32" s="337"/>
    </row>
    <row r="33" spans="1:66" ht="15" customHeight="1">
      <c r="A33" s="1869"/>
      <c r="B33" s="2150"/>
      <c r="C33" s="2151"/>
      <c r="D33" s="2207" t="str">
        <f>IF(R32=1,"専任",IF(R32=2,"兼務",IF(R32=3,"委託","エラー")))</f>
        <v>エラー</v>
      </c>
      <c r="E33" s="696" t="str">
        <f>IF(W33,T33,"")</f>
        <v/>
      </c>
      <c r="F33" s="1810"/>
      <c r="G33" s="1811"/>
      <c r="H33" s="1811"/>
      <c r="I33" s="743" t="str">
        <f t="shared" ref="I33:I35" si="31">IF(OR(NOT(W33),U33=0),"",U33)</f>
        <v/>
      </c>
      <c r="J33" s="471" t="str">
        <f t="shared" ref="J33:J35" si="32">IF(OR(F33=0,F33=""),"",IF(W33,IF(X33,IF(OR(Y33,V33=3),IF(AD33,IF(OR(AE33,V33=2,V33=3),"○","要常勤"),"時間無"),"重複"),"名簿無"),"対象外"))</f>
        <v/>
      </c>
      <c r="K33" s="696" t="s">
        <v>647</v>
      </c>
      <c r="L33" s="472" t="str">
        <f>IF(AI33=1,"調整①→",IF(AI33=5,"調整②→",IF(AI33=2,"",IF(AI33=3,"全計上→","エラー"))))</f>
        <v/>
      </c>
      <c r="M33" s="506">
        <f>IF(OR(AND(J33&lt;&gt;"",J33&lt;&gt;"○"),AI33=4),"×",IF(J33="",0,AJ33/$AM$2))</f>
        <v>0</v>
      </c>
      <c r="N33" s="474" t="str">
        <f t="shared" si="11"/>
        <v>×</v>
      </c>
      <c r="O33" s="2064" t="str">
        <f t="shared" si="21"/>
        <v>-</v>
      </c>
      <c r="P33" s="460"/>
      <c r="Q33" s="496" t="b">
        <f>AND(Q32,R33)</f>
        <v>0</v>
      </c>
      <c r="R33" s="470" t="b">
        <f>R32=1</f>
        <v>0</v>
      </c>
      <c r="S33" s="800" t="b">
        <f>AND(J33="○",$O$105&gt;=0)</f>
        <v>0</v>
      </c>
      <c r="T33" s="470" t="str">
        <f>$BJ$6</f>
        <v>事務員</v>
      </c>
      <c r="U33" s="442">
        <f>IFERROR(VLOOKUP($F33,$AU$8:$AX$107,4,FALSE),0)</f>
        <v>0</v>
      </c>
      <c r="V33" s="470">
        <v>2</v>
      </c>
      <c r="W33" s="470" t="b">
        <f>Q33</f>
        <v>0</v>
      </c>
      <c r="X33" s="463" t="b">
        <f ca="1">COUNTIF(INDIRECT(T33),F33)&gt;0</f>
        <v>0</v>
      </c>
      <c r="Y33" s="464" t="b">
        <f>COUNTIF($AC$21:AC32,AC33)+COUNTIF(AC34:$AC$74,AC33)-COUNTIF(Z33:AB33,AC33)=0</f>
        <v>0</v>
      </c>
      <c r="Z33" s="801" t="s">
        <v>718</v>
      </c>
      <c r="AA33" s="801" t="s">
        <v>718</v>
      </c>
      <c r="AB33" s="801" t="s">
        <v>718</v>
      </c>
      <c r="AC33" s="804">
        <f>IF(V33=3,0,IFERROR(INDEX($AT$8:$AT$107,MATCH($F33,AU$8:AU$107,0),1),0))</f>
        <v>0</v>
      </c>
      <c r="AD33" s="272" t="b">
        <f>U33&gt;0</f>
        <v>0</v>
      </c>
      <c r="AE33" s="413" t="b">
        <f>IFERROR(VLOOKUP($F33,$AU$8:$AX$107,2,FALSE),"")="常勤"</f>
        <v>0</v>
      </c>
      <c r="AF33" s="470" t="s">
        <v>718</v>
      </c>
      <c r="AG33" s="470" t="s">
        <v>718</v>
      </c>
      <c r="AH33" s="470">
        <v>1</v>
      </c>
      <c r="AI33" s="272">
        <f t="shared" si="27"/>
        <v>2</v>
      </c>
      <c r="AJ33" s="273">
        <f t="shared" si="28"/>
        <v>0</v>
      </c>
      <c r="AP33" s="486"/>
      <c r="AQ33" s="486"/>
      <c r="AR33" s="486"/>
      <c r="AS33" s="486"/>
      <c r="AT33" s="271">
        <f t="shared" si="0"/>
        <v>26</v>
      </c>
      <c r="AU33" s="184" t="str">
        <f>AT33&amp;" "&amp;IF(AW33&lt;&gt;"-",【様式2】職員名簿!B63&amp;"/"&amp;AV33&amp;"/"&amp;AW33,"")</f>
        <v xml:space="preserve">26 </v>
      </c>
      <c r="AV33" s="184">
        <f>【様式2】職員名簿!E63</f>
        <v>0</v>
      </c>
      <c r="AW33" s="184" t="str">
        <f>IF(【様式2】職員名簿!J63="エラー","-",【様式2】職員名簿!J63)</f>
        <v>-</v>
      </c>
      <c r="AX33" s="413">
        <f>IF($AV33="常勤",$AM$2,IF($AV33="非常勤",【様式2】職員名簿!G63,0))</f>
        <v>0</v>
      </c>
      <c r="AY33" s="440">
        <f>IF($AW33=AY$3,COUNTIF($AW$8:$AW33,AY$3),0)</f>
        <v>0</v>
      </c>
      <c r="AZ33" s="441" t="str">
        <f t="shared" si="1"/>
        <v/>
      </c>
      <c r="BA33" s="442">
        <f>IF($AW33=BA$3,COUNTIF($AW$8:$AW33,BA$3),0)</f>
        <v>0</v>
      </c>
      <c r="BB33" s="441" t="str">
        <f t="shared" si="2"/>
        <v/>
      </c>
      <c r="BC33" s="442">
        <f>IF($AW33=BC$3,COUNTIFS($AW$8:$AW33,BC$3,$AV$8:$AV33,BC$4),0)</f>
        <v>0</v>
      </c>
      <c r="BD33" s="441" t="str">
        <f t="shared" si="3"/>
        <v/>
      </c>
      <c r="BE33" s="272">
        <f>IF($AW33=BE$3,COUNTIF($AW$8:$AW33,BE$3),0)</f>
        <v>0</v>
      </c>
      <c r="BF33" s="441" t="str">
        <f t="shared" si="4"/>
        <v/>
      </c>
      <c r="BG33" s="271">
        <f>IF(OR($AW33=BG$3,$AW33=BG$4),COUNTIF($AW$8:$AW33,BG$3)+COUNTIF($AW$8:$AW33,BG$4),0)</f>
        <v>0</v>
      </c>
      <c r="BH33" s="441" t="str">
        <f t="shared" si="5"/>
        <v/>
      </c>
      <c r="BI33" s="271">
        <f>IF($AW33=BI$3,COUNTIF($AW$8:$AW33,BI$3),0)</f>
        <v>0</v>
      </c>
      <c r="BJ33" s="441" t="str">
        <f t="shared" si="6"/>
        <v/>
      </c>
      <c r="BK33" s="271">
        <f>IF($AW33&lt;&gt;BK$3,COUNTIF($AW$8:$AW33,"&lt;&gt;"&amp;BK$3),0)</f>
        <v>0</v>
      </c>
      <c r="BL33" s="441" t="str">
        <f t="shared" si="7"/>
        <v/>
      </c>
      <c r="BM33" s="337"/>
      <c r="BN33" s="337"/>
    </row>
    <row r="34" spans="1:66" ht="15" customHeight="1">
      <c r="A34" s="1869"/>
      <c r="B34" s="2150"/>
      <c r="C34" s="2151"/>
      <c r="D34" s="2207"/>
      <c r="E34" s="497" t="str">
        <f t="shared" ref="E34:E35" si="33">IF(W34,T34,"")</f>
        <v/>
      </c>
      <c r="F34" s="1993"/>
      <c r="G34" s="1994"/>
      <c r="H34" s="1994"/>
      <c r="I34" s="743" t="str">
        <f t="shared" si="31"/>
        <v/>
      </c>
      <c r="J34" s="489" t="str">
        <f t="shared" si="32"/>
        <v/>
      </c>
      <c r="K34" s="862"/>
      <c r="L34" s="498" t="str">
        <f>IF(AI34=1,"調整①→",IF(AI34=5,"調整②→",IF(AI34=2,"",IF(AI34=3,"全計上→","エラー"))))</f>
        <v/>
      </c>
      <c r="M34" s="491">
        <f>IF(OR(AND(J34&lt;&gt;"",J34&lt;&gt;"○"),AI34=4),"×",IF(J34="",0,AJ34/$AM$2))</f>
        <v>0</v>
      </c>
      <c r="N34" s="474" t="str">
        <f t="shared" si="11"/>
        <v>×</v>
      </c>
      <c r="O34" s="2064" t="str">
        <f t="shared" si="21"/>
        <v>-</v>
      </c>
      <c r="P34" s="460"/>
      <c r="Q34" s="496" t="b">
        <f>AND(Q32,R34)</f>
        <v>0</v>
      </c>
      <c r="R34" s="470" t="b">
        <f>R32=2</f>
        <v>0</v>
      </c>
      <c r="S34" s="800" t="b">
        <f>AND(J34="○",$O$105&gt;=0)</f>
        <v>0</v>
      </c>
      <c r="T34" s="470" t="str">
        <f>$BL$6</f>
        <v>全職種</v>
      </c>
      <c r="U34" s="442">
        <f>IFERROR(VLOOKUP($F34,$AU$8:$AX$107,4,FALSE),0)</f>
        <v>0</v>
      </c>
      <c r="V34" s="470">
        <v>3</v>
      </c>
      <c r="W34" s="470" t="b">
        <f t="shared" ref="W34:W35" si="34">Q34</f>
        <v>0</v>
      </c>
      <c r="X34" s="463" t="b">
        <f ca="1">COUNTIF(INDIRECT(T34),F34)&gt;0</f>
        <v>0</v>
      </c>
      <c r="Y34" s="464" t="b">
        <f>COUNTIF($AC$21:AC33,AC34)+COUNTIF(AC35:$AC$74,AC34)-COUNTIF(Z34:AB34,AC34)=0</f>
        <v>0</v>
      </c>
      <c r="Z34" s="801" t="s">
        <v>718</v>
      </c>
      <c r="AA34" s="801" t="s">
        <v>718</v>
      </c>
      <c r="AB34" s="801" t="s">
        <v>718</v>
      </c>
      <c r="AC34" s="478">
        <f>IF(V34=3,0,IFERROR(INDEX($AT$8:$AT$107,MATCH($F34,AU$8:AU$107,0),1),0))</f>
        <v>0</v>
      </c>
      <c r="AD34" s="272" t="b">
        <f>U34&gt;0</f>
        <v>0</v>
      </c>
      <c r="AE34" s="413" t="b">
        <f>IFERROR(VLOOKUP($F34,$AU$8:$AX$107,2,FALSE),"")="常勤"</f>
        <v>0</v>
      </c>
      <c r="AF34" s="470" t="str">
        <f>IFERROR(VLOOKUP(F34,$AU$8:$AX$107,3,FALSE),"")</f>
        <v/>
      </c>
      <c r="AG34" s="499">
        <f>M34</f>
        <v>0</v>
      </c>
      <c r="AH34" s="470">
        <v>2</v>
      </c>
      <c r="AI34" s="272">
        <f t="shared" si="27"/>
        <v>2</v>
      </c>
      <c r="AJ34" s="273">
        <f t="shared" si="28"/>
        <v>0</v>
      </c>
      <c r="AO34" s="486"/>
      <c r="AP34" s="486"/>
      <c r="AS34" s="486"/>
      <c r="AT34" s="271">
        <f t="shared" si="0"/>
        <v>27</v>
      </c>
      <c r="AU34" s="184" t="str">
        <f>AT34&amp;" "&amp;IF(AW34&lt;&gt;"-",【様式2】職員名簿!B64&amp;"/"&amp;AV34&amp;"/"&amp;AW34,"")</f>
        <v xml:space="preserve">27 </v>
      </c>
      <c r="AV34" s="184">
        <f>【様式2】職員名簿!E64</f>
        <v>0</v>
      </c>
      <c r="AW34" s="184" t="str">
        <f>IF(【様式2】職員名簿!J64="エラー","-",【様式2】職員名簿!J64)</f>
        <v>-</v>
      </c>
      <c r="AX34" s="413">
        <f>IF($AV34="常勤",$AM$2,IF($AV34="非常勤",【様式2】職員名簿!G64,0))</f>
        <v>0</v>
      </c>
      <c r="AY34" s="440">
        <f>IF($AW34=AY$3,COUNTIF($AW$8:$AW34,AY$3),0)</f>
        <v>0</v>
      </c>
      <c r="AZ34" s="441" t="str">
        <f t="shared" si="1"/>
        <v/>
      </c>
      <c r="BA34" s="442">
        <f>IF($AW34=BA$3,COUNTIF($AW$8:$AW34,BA$3),0)</f>
        <v>0</v>
      </c>
      <c r="BB34" s="441" t="str">
        <f t="shared" si="2"/>
        <v/>
      </c>
      <c r="BC34" s="442">
        <f>IF($AW34=BC$3,COUNTIFS($AW$8:$AW34,BC$3,$AV$8:$AV34,BC$4),0)</f>
        <v>0</v>
      </c>
      <c r="BD34" s="441" t="str">
        <f t="shared" si="3"/>
        <v/>
      </c>
      <c r="BE34" s="272">
        <f>IF($AW34=BE$3,COUNTIF($AW$8:$AW34,BE$3),0)</f>
        <v>0</v>
      </c>
      <c r="BF34" s="441" t="str">
        <f t="shared" si="4"/>
        <v/>
      </c>
      <c r="BG34" s="271">
        <f>IF(OR($AW34=BG$3,$AW34=BG$4),COUNTIF($AW$8:$AW34,BG$3)+COUNTIF($AW$8:$AW34,BG$4),0)</f>
        <v>0</v>
      </c>
      <c r="BH34" s="441" t="str">
        <f t="shared" si="5"/>
        <v/>
      </c>
      <c r="BI34" s="271">
        <f>IF($AW34=BI$3,COUNTIF($AW$8:$AW34,BI$3),0)</f>
        <v>0</v>
      </c>
      <c r="BJ34" s="441" t="str">
        <f t="shared" si="6"/>
        <v/>
      </c>
      <c r="BK34" s="271">
        <f>IF($AW34&lt;&gt;BK$3,COUNTIF($AW$8:$AW34,"&lt;&gt;"&amp;BK$3),0)</f>
        <v>0</v>
      </c>
      <c r="BL34" s="441" t="str">
        <f t="shared" si="7"/>
        <v/>
      </c>
      <c r="BM34" s="337"/>
      <c r="BN34" s="337"/>
    </row>
    <row r="35" spans="1:66" ht="15" customHeight="1">
      <c r="A35" s="1869"/>
      <c r="B35" s="2117"/>
      <c r="C35" s="2118"/>
      <c r="D35" s="2208"/>
      <c r="E35" s="500" t="str">
        <f t="shared" si="33"/>
        <v/>
      </c>
      <c r="F35" s="2058" t="str">
        <f>IF(W35,BN10,"")</f>
        <v/>
      </c>
      <c r="G35" s="2059"/>
      <c r="H35" s="2059"/>
      <c r="I35" s="744" t="str">
        <f t="shared" si="31"/>
        <v/>
      </c>
      <c r="J35" s="482" t="str">
        <f t="shared" si="32"/>
        <v/>
      </c>
      <c r="K35" s="500" t="s">
        <v>647</v>
      </c>
      <c r="L35" s="501" t="s">
        <v>647</v>
      </c>
      <c r="M35" s="484" t="s">
        <v>647</v>
      </c>
      <c r="N35" s="485" t="str">
        <f t="shared" ref="N35" si="35">IF(Q35,"○","×")</f>
        <v>×</v>
      </c>
      <c r="O35" s="2204" t="str">
        <f t="shared" si="21"/>
        <v>-</v>
      </c>
      <c r="P35" s="460"/>
      <c r="Q35" s="496" t="b">
        <f>AND(Q32,R35)</f>
        <v>0</v>
      </c>
      <c r="R35" s="470" t="b">
        <f>R32=3</f>
        <v>0</v>
      </c>
      <c r="S35" s="800" t="b">
        <f>AND(J35="○",$O$105&gt;=0)</f>
        <v>0</v>
      </c>
      <c r="T35" s="470" t="str">
        <f>$BN$6</f>
        <v>業務委託</v>
      </c>
      <c r="U35" s="697">
        <f>BO10</f>
        <v>0</v>
      </c>
      <c r="V35" s="494">
        <v>3</v>
      </c>
      <c r="W35" s="470" t="b">
        <f t="shared" si="34"/>
        <v>0</v>
      </c>
      <c r="X35" s="463" t="b">
        <f ca="1">COUNTIF(INDIRECT(T35),F35)&gt;0</f>
        <v>0</v>
      </c>
      <c r="Y35" s="464" t="b">
        <f>COUNTIF($AC$21:AC34,AC35)+COUNTIF(AC36:$AC$74,AC35)-COUNTIF(Z35:AB35,AC35)=0</f>
        <v>0</v>
      </c>
      <c r="Z35" s="801" t="s">
        <v>718</v>
      </c>
      <c r="AA35" s="801" t="s">
        <v>718</v>
      </c>
      <c r="AB35" s="801" t="s">
        <v>718</v>
      </c>
      <c r="AC35" s="478">
        <f>IF(V35=3,0,IFERROR(INDEX($AT$8:$AT$107,MATCH($F35,AU$8:AU$107,0),1),0))</f>
        <v>0</v>
      </c>
      <c r="AD35" s="479" t="b">
        <f>U35&gt;0</f>
        <v>0</v>
      </c>
      <c r="AE35" s="480" t="b">
        <f>IFERROR(VLOOKUP($F35,$AU$8:$AX$107,2,FALSE),"")="常勤"</f>
        <v>0</v>
      </c>
      <c r="AF35" s="470" t="s">
        <v>718</v>
      </c>
      <c r="AG35" s="470" t="s">
        <v>718</v>
      </c>
      <c r="AH35" s="470">
        <v>2</v>
      </c>
      <c r="AI35" s="272">
        <f t="shared" si="27"/>
        <v>2</v>
      </c>
      <c r="AJ35" s="273">
        <f t="shared" si="28"/>
        <v>0</v>
      </c>
      <c r="AO35" s="486"/>
      <c r="AP35" s="486"/>
      <c r="AS35" s="486"/>
      <c r="AT35" s="271">
        <f t="shared" si="0"/>
        <v>28</v>
      </c>
      <c r="AU35" s="184" t="str">
        <f>AT35&amp;" "&amp;IF(AW35&lt;&gt;"-",【様式2】職員名簿!B65&amp;"/"&amp;AV35&amp;"/"&amp;AW35,"")</f>
        <v xml:space="preserve">28 </v>
      </c>
      <c r="AV35" s="184">
        <f>【様式2】職員名簿!E65</f>
        <v>0</v>
      </c>
      <c r="AW35" s="184" t="str">
        <f>IF(【様式2】職員名簿!J65="エラー","-",【様式2】職員名簿!J65)</f>
        <v>-</v>
      </c>
      <c r="AX35" s="413">
        <f>IF($AV35="常勤",$AM$2,IF($AV35="非常勤",【様式2】職員名簿!G65,0))</f>
        <v>0</v>
      </c>
      <c r="AY35" s="440">
        <f>IF($AW35=AY$3,COUNTIF($AW$8:$AW35,AY$3),0)</f>
        <v>0</v>
      </c>
      <c r="AZ35" s="441" t="str">
        <f t="shared" si="1"/>
        <v/>
      </c>
      <c r="BA35" s="442">
        <f>IF($AW35=BA$3,COUNTIF($AW$8:$AW35,BA$3),0)</f>
        <v>0</v>
      </c>
      <c r="BB35" s="441" t="str">
        <f t="shared" si="2"/>
        <v/>
      </c>
      <c r="BC35" s="442">
        <f>IF($AW35=BC$3,COUNTIFS($AW$8:$AW35,BC$3,$AV$8:$AV35,BC$4),0)</f>
        <v>0</v>
      </c>
      <c r="BD35" s="441" t="str">
        <f t="shared" si="3"/>
        <v/>
      </c>
      <c r="BE35" s="272">
        <f>IF($AW35=BE$3,COUNTIF($AW$8:$AW35,BE$3),0)</f>
        <v>0</v>
      </c>
      <c r="BF35" s="441" t="str">
        <f t="shared" si="4"/>
        <v/>
      </c>
      <c r="BG35" s="271">
        <f>IF(OR($AW35=BG$3,$AW35=BG$4),COUNTIF($AW$8:$AW35,BG$3)+COUNTIF($AW$8:$AW35,BG$4),0)</f>
        <v>0</v>
      </c>
      <c r="BH35" s="441" t="str">
        <f t="shared" si="5"/>
        <v/>
      </c>
      <c r="BI35" s="271">
        <f>IF($AW35=BI$3,COUNTIF($AW$8:$AW35,BI$3),0)</f>
        <v>0</v>
      </c>
      <c r="BJ35" s="441" t="str">
        <f t="shared" si="6"/>
        <v/>
      </c>
      <c r="BK35" s="271">
        <f>IF($AW35&lt;&gt;BK$3,COUNTIF($AW$8:$AW35,"&lt;&gt;"&amp;BK$3),0)</f>
        <v>0</v>
      </c>
      <c r="BL35" s="441" t="str">
        <f t="shared" si="7"/>
        <v/>
      </c>
      <c r="BM35" s="337"/>
      <c r="BN35" s="337"/>
    </row>
    <row r="36" spans="1:66" ht="15" customHeight="1">
      <c r="A36" s="1870"/>
      <c r="B36" s="2027" t="s">
        <v>750</v>
      </c>
      <c r="C36" s="2028"/>
      <c r="D36" s="1802" t="str">
        <f>IF(W36,T36,"")</f>
        <v>嘱託医等</v>
      </c>
      <c r="E36" s="1803"/>
      <c r="F36" s="2035" t="str">
        <f>IF(Q36,"嘱託医を配置","個票0未選択のため見直すこと")</f>
        <v>嘱託医を配置</v>
      </c>
      <c r="G36" s="1438"/>
      <c r="H36" s="1438"/>
      <c r="I36" s="1438"/>
      <c r="J36" s="1438"/>
      <c r="K36" s="2036"/>
      <c r="L36" s="503" t="s">
        <v>647</v>
      </c>
      <c r="M36" s="504" t="s">
        <v>647</v>
      </c>
      <c r="N36" s="505" t="str">
        <f>IF(Q36,"○","×")</f>
        <v>○</v>
      </c>
      <c r="O36" s="702" t="str">
        <f>IF(Q36,IF(S36,"○","×"),"-")</f>
        <v>×</v>
      </c>
      <c r="P36" s="460"/>
      <c r="Q36" s="470" t="b">
        <f>TRUE()</f>
        <v>1</v>
      </c>
      <c r="R36" s="469" t="b">
        <f>【様式１】総括表・個票!AI59</f>
        <v>0</v>
      </c>
      <c r="S36" s="469" t="b">
        <f>R36</f>
        <v>0</v>
      </c>
      <c r="T36" s="470" t="s">
        <v>751</v>
      </c>
      <c r="U36" s="442" t="s">
        <v>647</v>
      </c>
      <c r="V36" s="470" t="s">
        <v>647</v>
      </c>
      <c r="W36" s="470" t="b">
        <f>Q36</f>
        <v>1</v>
      </c>
      <c r="X36" s="463" t="s">
        <v>647</v>
      </c>
      <c r="Y36" s="464" t="s">
        <v>647</v>
      </c>
      <c r="Z36" s="801" t="s">
        <v>718</v>
      </c>
      <c r="AA36" s="801" t="s">
        <v>718</v>
      </c>
      <c r="AB36" s="801" t="s">
        <v>718</v>
      </c>
      <c r="AC36" s="804" t="s">
        <v>647</v>
      </c>
      <c r="AD36" s="272" t="s">
        <v>647</v>
      </c>
      <c r="AE36" s="413" t="s">
        <v>647</v>
      </c>
      <c r="AF36" s="470" t="s">
        <v>718</v>
      </c>
      <c r="AG36" s="470" t="s">
        <v>718</v>
      </c>
      <c r="AH36" s="470" t="s">
        <v>647</v>
      </c>
      <c r="AI36" s="272" t="s">
        <v>647</v>
      </c>
      <c r="AJ36" s="273" t="s">
        <v>647</v>
      </c>
      <c r="AO36" s="486"/>
      <c r="AP36" s="486"/>
      <c r="AQ36" s="486"/>
      <c r="AR36" s="486"/>
      <c r="AS36" s="486"/>
      <c r="AT36" s="271">
        <f t="shared" si="0"/>
        <v>29</v>
      </c>
      <c r="AU36" s="184" t="str">
        <f>AT36&amp;" "&amp;IF(AW36&lt;&gt;"-",【様式2】職員名簿!B66&amp;"/"&amp;AV36&amp;"/"&amp;AW36,"")</f>
        <v xml:space="preserve">29 </v>
      </c>
      <c r="AV36" s="184">
        <f>【様式2】職員名簿!E66</f>
        <v>0</v>
      </c>
      <c r="AW36" s="184" t="str">
        <f>IF(【様式2】職員名簿!J66="エラー","-",【様式2】職員名簿!J66)</f>
        <v>-</v>
      </c>
      <c r="AX36" s="413">
        <f>IF($AV36="常勤",$AM$2,IF($AV36="非常勤",【様式2】職員名簿!G66,0))</f>
        <v>0</v>
      </c>
      <c r="AY36" s="440">
        <f>IF($AW36=AY$3,COUNTIF($AW$8:$AW36,AY$3),0)</f>
        <v>0</v>
      </c>
      <c r="AZ36" s="441" t="str">
        <f t="shared" si="1"/>
        <v/>
      </c>
      <c r="BA36" s="442">
        <f>IF($AW36=BA$3,COUNTIF($AW$8:$AW36,BA$3),0)</f>
        <v>0</v>
      </c>
      <c r="BB36" s="441" t="str">
        <f t="shared" si="2"/>
        <v/>
      </c>
      <c r="BC36" s="442">
        <f>IF($AW36=BC$3,COUNTIFS($AW$8:$AW36,BC$3,$AV$8:$AV36,BC$4),0)</f>
        <v>0</v>
      </c>
      <c r="BD36" s="441" t="str">
        <f t="shared" si="3"/>
        <v/>
      </c>
      <c r="BE36" s="272">
        <f>IF($AW36=BE$3,COUNTIF($AW$8:$AW36,BE$3),0)</f>
        <v>0</v>
      </c>
      <c r="BF36" s="441" t="str">
        <f t="shared" si="4"/>
        <v/>
      </c>
      <c r="BG36" s="271">
        <f>IF(OR($AW36=BG$3,$AW36=BG$4),COUNTIF($AW$8:$AW36,BG$3)+COUNTIF($AW$8:$AW36,BG$4),0)</f>
        <v>0</v>
      </c>
      <c r="BH36" s="441" t="str">
        <f t="shared" si="5"/>
        <v/>
      </c>
      <c r="BI36" s="271">
        <f>IF($AW36=BI$3,COUNTIF($AW$8:$AW36,BI$3),0)</f>
        <v>0</v>
      </c>
      <c r="BJ36" s="441" t="str">
        <f t="shared" si="6"/>
        <v/>
      </c>
      <c r="BK36" s="271">
        <f>IF($AW36&lt;&gt;BK$3,COUNTIF($AW$8:$AW36,"&lt;&gt;"&amp;BK$3),0)</f>
        <v>0</v>
      </c>
      <c r="BL36" s="441" t="str">
        <f t="shared" si="7"/>
        <v/>
      </c>
      <c r="BM36" s="337"/>
      <c r="BN36" s="337"/>
    </row>
    <row r="37" spans="1:66" ht="15" customHeight="1">
      <c r="A37" s="1868" t="s">
        <v>650</v>
      </c>
      <c r="B37" s="2040" t="s">
        <v>807</v>
      </c>
      <c r="C37" s="2041"/>
      <c r="D37" s="2042" t="str">
        <f>IF(W37,T37,"")</f>
        <v/>
      </c>
      <c r="E37" s="2043"/>
      <c r="F37" s="2037" t="str">
        <f>IF(Q37,"障がい児について１：２"&amp;IF(SUM(N10:N11)=R37,"","（障がい児数不一致）"),"")</f>
        <v/>
      </c>
      <c r="G37" s="2038"/>
      <c r="H37" s="2038"/>
      <c r="I37" s="2038"/>
      <c r="J37" s="2038"/>
      <c r="K37" s="2039"/>
      <c r="L37" s="868" t="s">
        <v>808</v>
      </c>
      <c r="M37" s="869" t="s">
        <v>808</v>
      </c>
      <c r="N37" s="798" t="str">
        <f t="shared" ref="N37" si="36">IF(Q37,"○","×")</f>
        <v>×</v>
      </c>
      <c r="O37" s="799" t="str">
        <f>IF(Q37,IF(S37,"○","×"),"-")</f>
        <v>-</v>
      </c>
      <c r="P37" s="460"/>
      <c r="Q37" s="470" t="b">
        <f>【様式１】総括表・個票!AI67</f>
        <v>0</v>
      </c>
      <c r="R37" s="470">
        <f>【様式１】総括表・個票!AI76</f>
        <v>0</v>
      </c>
      <c r="S37" s="470" t="e">
        <f>AND(O92&gt;=0,SUM(N10:N11)=R37)</f>
        <v>#N/A</v>
      </c>
      <c r="T37" s="800" t="str">
        <f>$BB$6</f>
        <v>保育士</v>
      </c>
      <c r="U37" s="442" t="s">
        <v>808</v>
      </c>
      <c r="V37" s="470" t="s">
        <v>808</v>
      </c>
      <c r="W37" s="800" t="b">
        <f>AND(Q37)</f>
        <v>0</v>
      </c>
      <c r="X37" s="463" t="s">
        <v>718</v>
      </c>
      <c r="Y37" s="464" t="s">
        <v>718</v>
      </c>
      <c r="Z37" s="801" t="s">
        <v>718</v>
      </c>
      <c r="AA37" s="801" t="s">
        <v>718</v>
      </c>
      <c r="AB37" s="801" t="s">
        <v>718</v>
      </c>
      <c r="AC37" s="804" t="s">
        <v>718</v>
      </c>
      <c r="AD37" s="513" t="s">
        <v>718</v>
      </c>
      <c r="AE37" s="514" t="s">
        <v>718</v>
      </c>
      <c r="AF37" s="800" t="s">
        <v>718</v>
      </c>
      <c r="AG37" s="675" t="s">
        <v>718</v>
      </c>
      <c r="AH37" s="470" t="s">
        <v>718</v>
      </c>
      <c r="AI37" s="272" t="s">
        <v>718</v>
      </c>
      <c r="AJ37" s="273" t="s">
        <v>718</v>
      </c>
      <c r="AO37" s="486"/>
      <c r="AP37" s="486"/>
      <c r="AQ37" s="486"/>
      <c r="AR37" s="486"/>
      <c r="AS37" s="486"/>
      <c r="AT37" s="271">
        <f t="shared" si="0"/>
        <v>30</v>
      </c>
      <c r="AU37" s="184" t="str">
        <f>AT37&amp;" "&amp;IF(AW37&lt;&gt;"-",【様式2】職員名簿!B67&amp;"/"&amp;AV37&amp;"/"&amp;AW37,"")</f>
        <v xml:space="preserve">30 </v>
      </c>
      <c r="AV37" s="184">
        <f>【様式2】職員名簿!E67</f>
        <v>0</v>
      </c>
      <c r="AW37" s="184" t="str">
        <f>IF(【様式2】職員名簿!J67="エラー","-",【様式2】職員名簿!J67)</f>
        <v>-</v>
      </c>
      <c r="AX37" s="413">
        <f>IF($AV37="常勤",$AM$2,IF($AV37="非常勤",【様式2】職員名簿!G67,0))</f>
        <v>0</v>
      </c>
      <c r="AY37" s="440">
        <f>IF($AW37=AY$3,COUNTIF($AW$8:$AW37,AY$3),0)</f>
        <v>0</v>
      </c>
      <c r="AZ37" s="441" t="str">
        <f t="shared" si="1"/>
        <v/>
      </c>
      <c r="BA37" s="442">
        <f>IF($AW37=BA$3,COUNTIF($AW$8:$AW37,BA$3),0)</f>
        <v>0</v>
      </c>
      <c r="BB37" s="441" t="str">
        <f t="shared" si="2"/>
        <v/>
      </c>
      <c r="BC37" s="442">
        <f>IF($AW37=BC$3,COUNTIFS($AW$8:$AW37,BC$3,$AV$8:$AV37,BC$4),0)</f>
        <v>0</v>
      </c>
      <c r="BD37" s="441" t="str">
        <f t="shared" si="3"/>
        <v/>
      </c>
      <c r="BE37" s="272">
        <f>IF($AW37=BE$3,COUNTIF($AW$8:$AW37,BE$3),0)</f>
        <v>0</v>
      </c>
      <c r="BF37" s="441" t="str">
        <f t="shared" si="4"/>
        <v/>
      </c>
      <c r="BG37" s="271">
        <f>IF(OR($AW37=BG$3,$AW37=BG$4),COUNTIF($AW$8:$AW37,BG$3)+COUNTIF($AW$8:$AW37,BG$4),0)</f>
        <v>0</v>
      </c>
      <c r="BH37" s="441" t="str">
        <f t="shared" si="5"/>
        <v/>
      </c>
      <c r="BI37" s="271">
        <f>IF($AW37=BI$3,COUNTIF($AW$8:$AW37,BI$3),0)</f>
        <v>0</v>
      </c>
      <c r="BJ37" s="441" t="str">
        <f t="shared" si="6"/>
        <v/>
      </c>
      <c r="BK37" s="271">
        <f>IF($AW37&lt;&gt;BK$3,COUNTIF($AW$8:$AW37,"&lt;&gt;"&amp;BK$3),0)</f>
        <v>0</v>
      </c>
      <c r="BL37" s="441" t="str">
        <f t="shared" si="7"/>
        <v/>
      </c>
      <c r="BM37" s="337"/>
      <c r="BN37" s="337"/>
    </row>
    <row r="38" spans="1:66" ht="15" customHeight="1">
      <c r="A38" s="1869"/>
      <c r="B38" s="2051" t="s">
        <v>752</v>
      </c>
      <c r="C38" s="2054" t="str">
        <f>CONCATENATE('(別紙3)休日'!$L$15)</f>
        <v/>
      </c>
      <c r="D38" s="2056" t="str">
        <f>IF(W38,T38,"")</f>
        <v/>
      </c>
      <c r="E38" s="2057"/>
      <c r="F38" s="2180"/>
      <c r="G38" s="2181"/>
      <c r="H38" s="2182"/>
      <c r="I38" s="870" t="str">
        <f t="shared" ref="I38:I48" si="37">IF(OR(NOT(W38),U38=0),"",U38)</f>
        <v/>
      </c>
      <c r="J38" s="465" t="str">
        <f t="shared" ref="J38:J47" si="38">IF(OR(F38=0,F38=""),"",IF(W38,IF(X38,IF(OR(Y38,V38=3),IF(AD38,IF(OR(AE38,V38=2,V38=3),"○","要常勤"),"時間無"),"重複"),"名簿無"),"対象外"))</f>
        <v/>
      </c>
      <c r="K38" s="871"/>
      <c r="L38" s="466" t="str">
        <f t="shared" ref="L38:L48" si="39">IF(AI38=1,"調整①→",IF(AI38=5,"調整②→",IF(AI38=2,"",IF(AI38=3,"全計上→","エラー"))))</f>
        <v/>
      </c>
      <c r="M38" s="495">
        <f t="shared" ref="M38:M48" si="40">IF(OR(AND(J38&lt;&gt;"",J38&lt;&gt;"○"),AI38=4),"×",IF(J38="",0,AJ38/$AM$2))</f>
        <v>0</v>
      </c>
      <c r="N38" s="2060" t="str">
        <f>IF(Q38,"○","×")</f>
        <v>×</v>
      </c>
      <c r="O38" s="2063" t="str">
        <f>IF(Q38,IF(S38,"○","×"),"-")</f>
        <v>-</v>
      </c>
      <c r="P38" s="460"/>
      <c r="Q38" s="2066" t="b">
        <f>AND(【様式１】総括表・個票!AI81,R38)</f>
        <v>0</v>
      </c>
      <c r="R38" s="2066" t="b">
        <f>'(別紙3)休日'!$L$15&lt;&gt;"全て超過勤務"</f>
        <v>1</v>
      </c>
      <c r="S38" s="2066" t="e">
        <f>AND(SUM(M38:M47)&gt;0,O92&gt;=0)</f>
        <v>#N/A</v>
      </c>
      <c r="T38" s="470" t="str">
        <f t="shared" ref="T38:T47" si="41">$BB$6</f>
        <v>保育士</v>
      </c>
      <c r="U38" s="442">
        <f t="shared" ref="U38:U48" si="42">IFERROR(VLOOKUP($F38,$AU$8:$AX$107,4,FALSE),0)</f>
        <v>0</v>
      </c>
      <c r="V38" s="470">
        <v>2</v>
      </c>
      <c r="W38" s="470" t="b">
        <f>AND($Q$38,$R$38)</f>
        <v>0</v>
      </c>
      <c r="X38" s="463" t="b">
        <f t="shared" ref="X38:X47" ca="1" si="43">COUNTIF(INDIRECT(T38),F38)&gt;0</f>
        <v>0</v>
      </c>
      <c r="Y38" s="464" t="b">
        <f>COUNTIF($AC$21:AC37,AC38)+COUNTIF(AC39:$AC$74,AC38)-COUNTIF(Z38:AB38,AC38)=0</f>
        <v>0</v>
      </c>
      <c r="Z38" s="801" t="s">
        <v>718</v>
      </c>
      <c r="AA38" s="801" t="s">
        <v>718</v>
      </c>
      <c r="AB38" s="801" t="s">
        <v>718</v>
      </c>
      <c r="AC38" s="804">
        <f t="shared" ref="AC38:AC48" si="44">IF(V38=3,0,IFERROR(INDEX($AT$8:$AT$107,MATCH($F38,AU$8:AU$107,0),1),0))</f>
        <v>0</v>
      </c>
      <c r="AD38" s="272" t="b">
        <f t="shared" si="13"/>
        <v>0</v>
      </c>
      <c r="AE38" s="413" t="b">
        <f t="shared" ref="AE38:AE48" si="45">IFERROR(VLOOKUP($F38,$AU$8:$AX$107,2,FALSE),"")="常勤"</f>
        <v>0</v>
      </c>
      <c r="AF38" s="470" t="s">
        <v>647</v>
      </c>
      <c r="AG38" s="499">
        <f t="shared" ref="AG38:AG47" si="46">M38</f>
        <v>0</v>
      </c>
      <c r="AH38" s="470">
        <v>2</v>
      </c>
      <c r="AI38" s="272">
        <f t="shared" ref="AI38:AI48" si="47">IF(AND($W38,$J38="○"),IF($K38="-",IF($U38&lt;IF($AH38=5,$AL$4,$AL$3),$AH38,2),IF($K38=0,IF($U38&lt;IF($AH38=5,$AL$4,$AL$3),IF(OR($AH38=1,$AH38=5),$AH38,3),3),IF(K38&lt;IF($AH38=5,$AL$4,$AL$3),$AH38,IF($K38&gt;$U38,4,2)))),2)</f>
        <v>2</v>
      </c>
      <c r="AJ38" s="273">
        <f t="shared" ref="AJ38:AJ48" si="48">IF(AI38=1,$AL$3,IF(AI38=5,$AL$4,IF(AI38=2,IF(K38="-",U38,K38),IF(AI38=3,U38,"×"))))</f>
        <v>0</v>
      </c>
      <c r="AP38" s="486"/>
      <c r="AR38" s="486"/>
      <c r="AS38" s="486"/>
      <c r="AT38" s="271">
        <f t="shared" si="0"/>
        <v>31</v>
      </c>
      <c r="AU38" s="184" t="str">
        <f>AT38&amp;" "&amp;IF(AW38&lt;&gt;"-",【様式2】職員名簿!B68&amp;"/"&amp;AV38&amp;"/"&amp;AW38,"")</f>
        <v xml:space="preserve">31 </v>
      </c>
      <c r="AV38" s="184">
        <f>【様式2】職員名簿!E68</f>
        <v>0</v>
      </c>
      <c r="AW38" s="184" t="str">
        <f>IF(【様式2】職員名簿!J68="エラー","-",【様式2】職員名簿!J68)</f>
        <v>-</v>
      </c>
      <c r="AX38" s="413">
        <f>IF($AV38="常勤",$AM$2,IF($AV38="非常勤",【様式2】職員名簿!G68,0))</f>
        <v>0</v>
      </c>
      <c r="AY38" s="440">
        <f>IF($AW38=AY$3,COUNTIF($AW$8:$AW38,AY$3),0)</f>
        <v>0</v>
      </c>
      <c r="AZ38" s="441" t="str">
        <f t="shared" si="1"/>
        <v/>
      </c>
      <c r="BA38" s="442">
        <f>IF($AW38=BA$3,COUNTIF($AW$8:$AW38,BA$3),0)</f>
        <v>0</v>
      </c>
      <c r="BB38" s="441" t="str">
        <f t="shared" si="2"/>
        <v/>
      </c>
      <c r="BC38" s="442">
        <f>IF($AW38=BC$3,COUNTIFS($AW$8:$AW38,BC$3,$AV$8:$AV38,BC$4),0)</f>
        <v>0</v>
      </c>
      <c r="BD38" s="441" t="str">
        <f t="shared" si="3"/>
        <v/>
      </c>
      <c r="BE38" s="272">
        <f>IF($AW38=BE$3,COUNTIF($AW$8:$AW38,BE$3),0)</f>
        <v>0</v>
      </c>
      <c r="BF38" s="441" t="str">
        <f t="shared" si="4"/>
        <v/>
      </c>
      <c r="BG38" s="271">
        <f>IF(OR($AW38=BG$3,$AW38=BG$4),COUNTIF($AW$8:$AW38,BG$3)+COUNTIF($AW$8:$AW38,BG$4),0)</f>
        <v>0</v>
      </c>
      <c r="BH38" s="441" t="str">
        <f t="shared" si="5"/>
        <v/>
      </c>
      <c r="BI38" s="271">
        <f>IF($AW38=BI$3,COUNTIF($AW$8:$AW38,BI$3),0)</f>
        <v>0</v>
      </c>
      <c r="BJ38" s="441" t="str">
        <f t="shared" si="6"/>
        <v/>
      </c>
      <c r="BK38" s="271">
        <f>IF($AW38&lt;&gt;BK$3,COUNTIF($AW$8:$AW38,"&lt;&gt;"&amp;BK$3),0)</f>
        <v>0</v>
      </c>
      <c r="BL38" s="441" t="str">
        <f t="shared" si="7"/>
        <v/>
      </c>
      <c r="BM38" s="337"/>
      <c r="BN38" s="337"/>
    </row>
    <row r="39" spans="1:66" ht="15" customHeight="1">
      <c r="A39" s="1869"/>
      <c r="B39" s="2052"/>
      <c r="C39" s="2055"/>
      <c r="D39" s="1808" t="str">
        <f>IF(W39,T39,"")</f>
        <v/>
      </c>
      <c r="E39" s="1809"/>
      <c r="F39" s="2044"/>
      <c r="G39" s="2045"/>
      <c r="H39" s="1810"/>
      <c r="I39" s="743" t="str">
        <f t="shared" si="37"/>
        <v/>
      </c>
      <c r="J39" s="471" t="str">
        <f t="shared" si="38"/>
        <v/>
      </c>
      <c r="K39" s="864"/>
      <c r="L39" s="472" t="str">
        <f>IF(AI39=1,"調整①→",IF(AI39=5,"調整②→",IF(AI39=2,"",IF(AI39=3,"全計上→","エラー"))))</f>
        <v/>
      </c>
      <c r="M39" s="506">
        <f t="shared" si="40"/>
        <v>0</v>
      </c>
      <c r="N39" s="2061" t="str">
        <f t="shared" ref="N39:N47" si="49">IF(Q39,"○","×")</f>
        <v>×</v>
      </c>
      <c r="O39" s="2064" t="str">
        <f t="shared" ref="O39:O47" si="50">IF(Q39,IF(S39,"○","×"),"-")</f>
        <v>-</v>
      </c>
      <c r="P39" s="460"/>
      <c r="Q39" s="2067"/>
      <c r="R39" s="2067"/>
      <c r="S39" s="2067"/>
      <c r="T39" s="470" t="str">
        <f t="shared" si="41"/>
        <v>保育士</v>
      </c>
      <c r="U39" s="442">
        <f t="shared" si="42"/>
        <v>0</v>
      </c>
      <c r="V39" s="470">
        <v>2</v>
      </c>
      <c r="W39" s="470" t="b">
        <f t="shared" ref="W39:W47" si="51">AND($Q$38,$R$38)</f>
        <v>0</v>
      </c>
      <c r="X39" s="463" t="b">
        <f t="shared" ca="1" si="43"/>
        <v>0</v>
      </c>
      <c r="Y39" s="464" t="b">
        <f>COUNTIF($AC$21:AC38,AC39)+COUNTIF(AC40:$AC$74,AC39)-COUNTIF(Z39:AB39,AC39)=0</f>
        <v>0</v>
      </c>
      <c r="Z39" s="801" t="s">
        <v>718</v>
      </c>
      <c r="AA39" s="801" t="s">
        <v>718</v>
      </c>
      <c r="AB39" s="801" t="s">
        <v>718</v>
      </c>
      <c r="AC39" s="804">
        <f t="shared" si="44"/>
        <v>0</v>
      </c>
      <c r="AD39" s="272" t="b">
        <f t="shared" si="13"/>
        <v>0</v>
      </c>
      <c r="AE39" s="413" t="b">
        <f t="shared" si="45"/>
        <v>0</v>
      </c>
      <c r="AF39" s="470" t="s">
        <v>718</v>
      </c>
      <c r="AG39" s="499">
        <f t="shared" si="46"/>
        <v>0</v>
      </c>
      <c r="AH39" s="470">
        <v>2</v>
      </c>
      <c r="AI39" s="272">
        <f t="shared" si="47"/>
        <v>2</v>
      </c>
      <c r="AJ39" s="273">
        <f t="shared" si="48"/>
        <v>0</v>
      </c>
      <c r="AR39" s="486"/>
      <c r="AS39" s="486"/>
      <c r="AT39" s="271">
        <f t="shared" si="0"/>
        <v>32</v>
      </c>
      <c r="AU39" s="184" t="str">
        <f>AT39&amp;" "&amp;IF(AW39&lt;&gt;"-",【様式2】職員名簿!B69&amp;"/"&amp;AV39&amp;"/"&amp;AW39,"")</f>
        <v xml:space="preserve">32 </v>
      </c>
      <c r="AV39" s="184">
        <f>【様式2】職員名簿!E69</f>
        <v>0</v>
      </c>
      <c r="AW39" s="184" t="str">
        <f>IF(【様式2】職員名簿!J69="エラー","-",【様式2】職員名簿!J69)</f>
        <v>-</v>
      </c>
      <c r="AX39" s="413">
        <f>IF($AV39="常勤",$AM$2,IF($AV39="非常勤",【様式2】職員名簿!G69,0))</f>
        <v>0</v>
      </c>
      <c r="AY39" s="440">
        <f>IF($AW39=AY$3,COUNTIF($AW$8:$AW39,AY$3),0)</f>
        <v>0</v>
      </c>
      <c r="AZ39" s="441" t="str">
        <f t="shared" si="1"/>
        <v/>
      </c>
      <c r="BA39" s="442">
        <f>IF($AW39=BA$3,COUNTIF($AW$8:$AW39,BA$3),0)</f>
        <v>0</v>
      </c>
      <c r="BB39" s="441" t="str">
        <f t="shared" si="2"/>
        <v/>
      </c>
      <c r="BC39" s="442">
        <f>IF($AW39=BC$3,COUNTIFS($AW$8:$AW39,BC$3,$AV$8:$AV39,BC$4),0)</f>
        <v>0</v>
      </c>
      <c r="BD39" s="441" t="str">
        <f t="shared" si="3"/>
        <v/>
      </c>
      <c r="BE39" s="272">
        <f>IF($AW39=BE$3,COUNTIF($AW$8:$AW39,BE$3),0)</f>
        <v>0</v>
      </c>
      <c r="BF39" s="441" t="str">
        <f t="shared" si="4"/>
        <v/>
      </c>
      <c r="BG39" s="271">
        <f>IF(OR($AW39=BG$3,$AW39=BG$4),COUNTIF($AW$8:$AW39,BG$3)+COUNTIF($AW$8:$AW39,BG$4),0)</f>
        <v>0</v>
      </c>
      <c r="BH39" s="441" t="str">
        <f t="shared" si="5"/>
        <v/>
      </c>
      <c r="BI39" s="271">
        <f>IF($AW39=BI$3,COUNTIF($AW$8:$AW39,BI$3),0)</f>
        <v>0</v>
      </c>
      <c r="BJ39" s="441" t="str">
        <f t="shared" si="6"/>
        <v/>
      </c>
      <c r="BK39" s="271">
        <f>IF($AW39&lt;&gt;BK$3,COUNTIF($AW$8:$AW39,"&lt;&gt;"&amp;BK$3),0)</f>
        <v>0</v>
      </c>
      <c r="BL39" s="441" t="str">
        <f t="shared" si="7"/>
        <v/>
      </c>
      <c r="BM39" s="337"/>
      <c r="BN39" s="337"/>
    </row>
    <row r="40" spans="1:66" ht="15" customHeight="1">
      <c r="A40" s="1869"/>
      <c r="B40" s="2052"/>
      <c r="C40" s="2046" t="s">
        <v>925</v>
      </c>
      <c r="D40" s="1808" t="str">
        <f t="shared" ref="D40:D48" si="52">IF(W40,T40,"")</f>
        <v/>
      </c>
      <c r="E40" s="1809"/>
      <c r="F40" s="2044"/>
      <c r="G40" s="2045"/>
      <c r="H40" s="1810"/>
      <c r="I40" s="743" t="str">
        <f t="shared" si="37"/>
        <v/>
      </c>
      <c r="J40" s="471" t="str">
        <f t="shared" si="38"/>
        <v/>
      </c>
      <c r="K40" s="864"/>
      <c r="L40" s="472" t="str">
        <f t="shared" si="39"/>
        <v/>
      </c>
      <c r="M40" s="506">
        <f t="shared" si="40"/>
        <v>0</v>
      </c>
      <c r="N40" s="2061" t="str">
        <f t="shared" si="49"/>
        <v>×</v>
      </c>
      <c r="O40" s="2064" t="str">
        <f t="shared" si="50"/>
        <v>-</v>
      </c>
      <c r="P40" s="460"/>
      <c r="Q40" s="2067"/>
      <c r="R40" s="2067"/>
      <c r="S40" s="2067"/>
      <c r="T40" s="470" t="str">
        <f t="shared" si="41"/>
        <v>保育士</v>
      </c>
      <c r="U40" s="442">
        <f t="shared" si="42"/>
        <v>0</v>
      </c>
      <c r="V40" s="470">
        <v>2</v>
      </c>
      <c r="W40" s="470" t="b">
        <f t="shared" si="51"/>
        <v>0</v>
      </c>
      <c r="X40" s="463" t="b">
        <f t="shared" ca="1" si="43"/>
        <v>0</v>
      </c>
      <c r="Y40" s="464" t="b">
        <f>COUNTIF($AC$21:AC39,AC40)+COUNTIF(AC41:$AC$74,AC40)-COUNTIF(Z40:AB40,AC40)=0</f>
        <v>0</v>
      </c>
      <c r="Z40" s="801" t="s">
        <v>718</v>
      </c>
      <c r="AA40" s="801" t="s">
        <v>718</v>
      </c>
      <c r="AB40" s="801" t="s">
        <v>718</v>
      </c>
      <c r="AC40" s="804">
        <f t="shared" si="44"/>
        <v>0</v>
      </c>
      <c r="AD40" s="272" t="b">
        <f t="shared" si="13"/>
        <v>0</v>
      </c>
      <c r="AE40" s="413" t="b">
        <f t="shared" si="45"/>
        <v>0</v>
      </c>
      <c r="AF40" s="470" t="s">
        <v>718</v>
      </c>
      <c r="AG40" s="499">
        <f t="shared" si="46"/>
        <v>0</v>
      </c>
      <c r="AH40" s="470">
        <v>2</v>
      </c>
      <c r="AI40" s="272">
        <f t="shared" si="47"/>
        <v>2</v>
      </c>
      <c r="AJ40" s="273">
        <f t="shared" si="48"/>
        <v>0</v>
      </c>
      <c r="AQ40" s="486"/>
      <c r="AR40" s="486"/>
      <c r="AT40" s="271">
        <f t="shared" ref="AT40:AT71" si="53">ROW()-ROW($AT$7)</f>
        <v>33</v>
      </c>
      <c r="AU40" s="184" t="str">
        <f>AT40&amp;" "&amp;IF(AW40&lt;&gt;"-",【様式2】職員名簿!B70&amp;"/"&amp;AV40&amp;"/"&amp;AW40,"")</f>
        <v xml:space="preserve">33 </v>
      </c>
      <c r="AV40" s="184">
        <f>【様式2】職員名簿!E70</f>
        <v>0</v>
      </c>
      <c r="AW40" s="184" t="str">
        <f>IF(【様式2】職員名簿!J70="エラー","-",【様式2】職員名簿!J70)</f>
        <v>-</v>
      </c>
      <c r="AX40" s="413">
        <f>IF($AV40="常勤",$AM$2,IF($AV40="非常勤",【様式2】職員名簿!G70,0))</f>
        <v>0</v>
      </c>
      <c r="AY40" s="440">
        <f>IF($AW40=AY$3,COUNTIF($AW$8:$AW40,AY$3),0)</f>
        <v>0</v>
      </c>
      <c r="AZ40" s="441" t="str">
        <f t="shared" ref="AZ40:AZ71" si="54">IFERROR(INDEX($AU$8:$AU$107,MATCH($AT40,AY$8:AY$107,0),1),"")</f>
        <v/>
      </c>
      <c r="BA40" s="442">
        <f>IF($AW40=BA$3,COUNTIF($AW$8:$AW40,BA$3),0)</f>
        <v>0</v>
      </c>
      <c r="BB40" s="441" t="str">
        <f t="shared" ref="BB40:BB71" si="55">IFERROR(INDEX($AU$8:$AU$107,MATCH($AT40,BA$8:BA$107,0),1),"")</f>
        <v/>
      </c>
      <c r="BC40" s="442">
        <f>IF($AW40=BC$3,COUNTIFS($AW$8:$AW40,BC$3,$AV$8:$AV40,BC$4),0)</f>
        <v>0</v>
      </c>
      <c r="BD40" s="441" t="str">
        <f t="shared" ref="BD40:BD71" si="56">IFERROR(INDEX($AU$8:$AU$107,MATCH($AT40,BC$8:BC$107,0),1),"")</f>
        <v/>
      </c>
      <c r="BE40" s="272">
        <f>IF($AW40=BE$3,COUNTIF($AW$8:$AW40,BE$3),0)</f>
        <v>0</v>
      </c>
      <c r="BF40" s="441" t="str">
        <f t="shared" ref="BF40:BF71" si="57">IFERROR(INDEX($AU$8:$AU$107,MATCH($AT40,BE$8:BE$107,0),1),"")</f>
        <v/>
      </c>
      <c r="BG40" s="271">
        <f>IF(OR($AW40=BG$3,$AW40=BG$4),COUNTIF($AW$8:$AW40,BG$3)+COUNTIF($AW$8:$AW40,BG$4),0)</f>
        <v>0</v>
      </c>
      <c r="BH40" s="441" t="str">
        <f t="shared" ref="BH40:BH71" si="58">IFERROR(INDEX($AU$8:$AU$107,MATCH($AT40,BG$8:BG$107,0),1),"")</f>
        <v/>
      </c>
      <c r="BI40" s="271">
        <f>IF($AW40=BI$3,COUNTIF($AW$8:$AW40,BI$3),0)</f>
        <v>0</v>
      </c>
      <c r="BJ40" s="441" t="str">
        <f t="shared" ref="BJ40:BJ71" si="59">IFERROR(INDEX($AU$8:$AU$107,MATCH($AT40,BI$8:BI$107,0),1),"")</f>
        <v/>
      </c>
      <c r="BK40" s="271">
        <f>IF($AW40&lt;&gt;BK$3,COUNTIF($AW$8:$AW40,"&lt;&gt;"&amp;BK$3),0)</f>
        <v>0</v>
      </c>
      <c r="BL40" s="441" t="str">
        <f t="shared" ref="BL40:BL71" si="60">IFERROR(INDEX($AU$8:$AU$107,MATCH($AT40,BK$8:BK$107,0),1),"")</f>
        <v/>
      </c>
      <c r="BM40" s="337"/>
      <c r="BN40" s="337"/>
    </row>
    <row r="41" spans="1:66" ht="15" customHeight="1">
      <c r="A41" s="1869"/>
      <c r="B41" s="2052"/>
      <c r="C41" s="2046"/>
      <c r="D41" s="1808" t="str">
        <f t="shared" si="52"/>
        <v/>
      </c>
      <c r="E41" s="1809"/>
      <c r="F41" s="2044"/>
      <c r="G41" s="2045"/>
      <c r="H41" s="1810"/>
      <c r="I41" s="743" t="str">
        <f t="shared" si="37"/>
        <v/>
      </c>
      <c r="J41" s="471" t="str">
        <f t="shared" si="38"/>
        <v/>
      </c>
      <c r="K41" s="864"/>
      <c r="L41" s="472" t="str">
        <f t="shared" si="39"/>
        <v/>
      </c>
      <c r="M41" s="506">
        <f t="shared" si="40"/>
        <v>0</v>
      </c>
      <c r="N41" s="2061" t="str">
        <f t="shared" si="49"/>
        <v>×</v>
      </c>
      <c r="O41" s="2064" t="str">
        <f t="shared" si="50"/>
        <v>-</v>
      </c>
      <c r="P41" s="460"/>
      <c r="Q41" s="2067"/>
      <c r="R41" s="2067"/>
      <c r="S41" s="2067"/>
      <c r="T41" s="470" t="str">
        <f t="shared" si="41"/>
        <v>保育士</v>
      </c>
      <c r="U41" s="442">
        <f t="shared" si="42"/>
        <v>0</v>
      </c>
      <c r="V41" s="470">
        <v>2</v>
      </c>
      <c r="W41" s="470" t="b">
        <f t="shared" si="51"/>
        <v>0</v>
      </c>
      <c r="X41" s="463" t="b">
        <f t="shared" ca="1" si="43"/>
        <v>0</v>
      </c>
      <c r="Y41" s="464" t="b">
        <f>COUNTIF($AC$21:AC40,AC41)+COUNTIF(AC42:$AC$74,AC41)-COUNTIF(Z41:AB41,AC41)=0</f>
        <v>0</v>
      </c>
      <c r="Z41" s="801" t="s">
        <v>718</v>
      </c>
      <c r="AA41" s="801" t="s">
        <v>718</v>
      </c>
      <c r="AB41" s="801" t="s">
        <v>718</v>
      </c>
      <c r="AC41" s="804">
        <f t="shared" si="44"/>
        <v>0</v>
      </c>
      <c r="AD41" s="272" t="b">
        <f t="shared" si="13"/>
        <v>0</v>
      </c>
      <c r="AE41" s="413" t="b">
        <f t="shared" si="45"/>
        <v>0</v>
      </c>
      <c r="AF41" s="470" t="s">
        <v>718</v>
      </c>
      <c r="AG41" s="499">
        <f t="shared" si="46"/>
        <v>0</v>
      </c>
      <c r="AH41" s="470">
        <v>2</v>
      </c>
      <c r="AI41" s="272">
        <f t="shared" si="47"/>
        <v>2</v>
      </c>
      <c r="AJ41" s="273">
        <f t="shared" si="48"/>
        <v>0</v>
      </c>
      <c r="AP41" s="486"/>
      <c r="AQ41" s="486"/>
      <c r="AR41" s="486"/>
      <c r="AT41" s="271">
        <f t="shared" si="53"/>
        <v>34</v>
      </c>
      <c r="AU41" s="184" t="str">
        <f>AT41&amp;" "&amp;IF(AW41&lt;&gt;"-",【様式2】職員名簿!B71&amp;"/"&amp;AV41&amp;"/"&amp;AW41,"")</f>
        <v xml:space="preserve">34 </v>
      </c>
      <c r="AV41" s="184">
        <f>【様式2】職員名簿!E71</f>
        <v>0</v>
      </c>
      <c r="AW41" s="184" t="str">
        <f>IF(【様式2】職員名簿!J71="エラー","-",【様式2】職員名簿!J71)</f>
        <v>-</v>
      </c>
      <c r="AX41" s="413">
        <f>IF($AV41="常勤",$AM$2,IF($AV41="非常勤",【様式2】職員名簿!G71,0))</f>
        <v>0</v>
      </c>
      <c r="AY41" s="440">
        <f>IF($AW41=AY$3,COUNTIF($AW$8:$AW41,AY$3),0)</f>
        <v>0</v>
      </c>
      <c r="AZ41" s="441" t="str">
        <f t="shared" si="54"/>
        <v/>
      </c>
      <c r="BA41" s="442">
        <f>IF($AW41=BA$3,COUNTIF($AW$8:$AW41,BA$3),0)</f>
        <v>0</v>
      </c>
      <c r="BB41" s="441" t="str">
        <f t="shared" si="55"/>
        <v/>
      </c>
      <c r="BC41" s="442">
        <f>IF($AW41=BC$3,COUNTIFS($AW$8:$AW41,BC$3,$AV$8:$AV41,BC$4),0)</f>
        <v>0</v>
      </c>
      <c r="BD41" s="441" t="str">
        <f t="shared" si="56"/>
        <v/>
      </c>
      <c r="BE41" s="272">
        <f>IF($AW41=BE$3,COUNTIF($AW$8:$AW41,BE$3),0)</f>
        <v>0</v>
      </c>
      <c r="BF41" s="441" t="str">
        <f t="shared" si="57"/>
        <v/>
      </c>
      <c r="BG41" s="271">
        <f>IF(OR($AW41=BG$3,$AW41=BG$4),COUNTIF($AW$8:$AW41,BG$3)+COUNTIF($AW$8:$AW41,BG$4),0)</f>
        <v>0</v>
      </c>
      <c r="BH41" s="441" t="str">
        <f t="shared" si="58"/>
        <v/>
      </c>
      <c r="BI41" s="271">
        <f>IF($AW41=BI$3,COUNTIF($AW$8:$AW41,BI$3),0)</f>
        <v>0</v>
      </c>
      <c r="BJ41" s="441" t="str">
        <f t="shared" si="59"/>
        <v/>
      </c>
      <c r="BK41" s="271">
        <f>IF($AW41&lt;&gt;BK$3,COUNTIF($AW$8:$AW41,"&lt;&gt;"&amp;BK$3),0)</f>
        <v>0</v>
      </c>
      <c r="BL41" s="441" t="str">
        <f t="shared" si="60"/>
        <v/>
      </c>
      <c r="BM41" s="337"/>
      <c r="BN41" s="337"/>
    </row>
    <row r="42" spans="1:66" ht="15" customHeight="1">
      <c r="A42" s="1869"/>
      <c r="B42" s="2052"/>
      <c r="C42" s="2046"/>
      <c r="D42" s="1808" t="str">
        <f t="shared" si="52"/>
        <v/>
      </c>
      <c r="E42" s="1809"/>
      <c r="F42" s="2044"/>
      <c r="G42" s="2045"/>
      <c r="H42" s="1810"/>
      <c r="I42" s="743" t="str">
        <f t="shared" si="37"/>
        <v/>
      </c>
      <c r="J42" s="471" t="str">
        <f t="shared" si="38"/>
        <v/>
      </c>
      <c r="K42" s="864"/>
      <c r="L42" s="472" t="str">
        <f t="shared" si="39"/>
        <v/>
      </c>
      <c r="M42" s="506">
        <f t="shared" si="40"/>
        <v>0</v>
      </c>
      <c r="N42" s="2061" t="str">
        <f t="shared" si="49"/>
        <v>×</v>
      </c>
      <c r="O42" s="2064" t="str">
        <f t="shared" si="50"/>
        <v>-</v>
      </c>
      <c r="P42" s="460"/>
      <c r="Q42" s="2067"/>
      <c r="R42" s="2067"/>
      <c r="S42" s="2067"/>
      <c r="T42" s="470" t="str">
        <f t="shared" si="41"/>
        <v>保育士</v>
      </c>
      <c r="U42" s="442">
        <f t="shared" si="42"/>
        <v>0</v>
      </c>
      <c r="V42" s="470">
        <v>2</v>
      </c>
      <c r="W42" s="470" t="b">
        <f t="shared" si="51"/>
        <v>0</v>
      </c>
      <c r="X42" s="463" t="b">
        <f t="shared" ca="1" si="43"/>
        <v>0</v>
      </c>
      <c r="Y42" s="464" t="b">
        <f>COUNTIF($AC$21:AC41,AC42)+COUNTIF(AC43:$AC$74,AC42)-COUNTIF(Z42:AB42,AC42)=0</f>
        <v>0</v>
      </c>
      <c r="Z42" s="801" t="s">
        <v>718</v>
      </c>
      <c r="AA42" s="801" t="s">
        <v>718</v>
      </c>
      <c r="AB42" s="801" t="s">
        <v>718</v>
      </c>
      <c r="AC42" s="804">
        <f t="shared" si="44"/>
        <v>0</v>
      </c>
      <c r="AD42" s="272" t="b">
        <f t="shared" si="13"/>
        <v>0</v>
      </c>
      <c r="AE42" s="413" t="b">
        <f t="shared" si="45"/>
        <v>0</v>
      </c>
      <c r="AF42" s="470" t="s">
        <v>718</v>
      </c>
      <c r="AG42" s="499">
        <f t="shared" si="46"/>
        <v>0</v>
      </c>
      <c r="AH42" s="470">
        <v>2</v>
      </c>
      <c r="AI42" s="272">
        <f t="shared" si="47"/>
        <v>2</v>
      </c>
      <c r="AJ42" s="273">
        <f t="shared" si="48"/>
        <v>0</v>
      </c>
      <c r="AP42" s="486"/>
      <c r="AQ42" s="486"/>
      <c r="AR42" s="486"/>
      <c r="AT42" s="271">
        <f t="shared" si="53"/>
        <v>35</v>
      </c>
      <c r="AU42" s="184" t="str">
        <f>AT42&amp;" "&amp;IF(AW42&lt;&gt;"-",【様式2】職員名簿!B72&amp;"/"&amp;AV42&amp;"/"&amp;AW42,"")</f>
        <v xml:space="preserve">35 </v>
      </c>
      <c r="AV42" s="184">
        <f>【様式2】職員名簿!E72</f>
        <v>0</v>
      </c>
      <c r="AW42" s="184" t="str">
        <f>IF(【様式2】職員名簿!J72="エラー","-",【様式2】職員名簿!J72)</f>
        <v>-</v>
      </c>
      <c r="AX42" s="413">
        <f>IF($AV42="常勤",$AM$2,IF($AV42="非常勤",【様式2】職員名簿!G72,0))</f>
        <v>0</v>
      </c>
      <c r="AY42" s="440">
        <f>IF($AW42=AY$3,COUNTIF($AW$8:$AW42,AY$3),0)</f>
        <v>0</v>
      </c>
      <c r="AZ42" s="441" t="str">
        <f t="shared" si="54"/>
        <v/>
      </c>
      <c r="BA42" s="442">
        <f>IF($AW42=BA$3,COUNTIF($AW$8:$AW42,BA$3),0)</f>
        <v>0</v>
      </c>
      <c r="BB42" s="441" t="str">
        <f t="shared" si="55"/>
        <v/>
      </c>
      <c r="BC42" s="442">
        <f>IF($AW42=BC$3,COUNTIFS($AW$8:$AW42,BC$3,$AV$8:$AV42,BC$4),0)</f>
        <v>0</v>
      </c>
      <c r="BD42" s="441" t="str">
        <f t="shared" si="56"/>
        <v/>
      </c>
      <c r="BE42" s="272">
        <f>IF($AW42=BE$3,COUNTIF($AW$8:$AW42,BE$3),0)</f>
        <v>0</v>
      </c>
      <c r="BF42" s="441" t="str">
        <f t="shared" si="57"/>
        <v/>
      </c>
      <c r="BG42" s="271">
        <f>IF(OR($AW42=BG$3,$AW42=BG$4),COUNTIF($AW$8:$AW42,BG$3)+COUNTIF($AW$8:$AW42,BG$4),0)</f>
        <v>0</v>
      </c>
      <c r="BH42" s="441" t="str">
        <f t="shared" si="58"/>
        <v/>
      </c>
      <c r="BI42" s="271">
        <f>IF($AW42=BI$3,COUNTIF($AW$8:$AW42,BI$3),0)</f>
        <v>0</v>
      </c>
      <c r="BJ42" s="441" t="str">
        <f t="shared" si="59"/>
        <v/>
      </c>
      <c r="BK42" s="271">
        <f>IF($AW42&lt;&gt;BK$3,COUNTIF($AW$8:$AW42,"&lt;&gt;"&amp;BK$3),0)</f>
        <v>0</v>
      </c>
      <c r="BL42" s="441" t="str">
        <f t="shared" si="60"/>
        <v/>
      </c>
      <c r="BM42" s="337"/>
      <c r="BN42" s="337"/>
    </row>
    <row r="43" spans="1:66" ht="15" customHeight="1">
      <c r="A43" s="1869"/>
      <c r="B43" s="2052"/>
      <c r="C43" s="2046"/>
      <c r="D43" s="1808" t="str">
        <f t="shared" si="52"/>
        <v/>
      </c>
      <c r="E43" s="1809"/>
      <c r="F43" s="2044"/>
      <c r="G43" s="2045"/>
      <c r="H43" s="1810"/>
      <c r="I43" s="743" t="str">
        <f t="shared" si="37"/>
        <v/>
      </c>
      <c r="J43" s="471" t="str">
        <f t="shared" si="38"/>
        <v/>
      </c>
      <c r="K43" s="864"/>
      <c r="L43" s="472" t="str">
        <f t="shared" si="39"/>
        <v/>
      </c>
      <c r="M43" s="506">
        <f t="shared" si="40"/>
        <v>0</v>
      </c>
      <c r="N43" s="2061" t="str">
        <f t="shared" si="49"/>
        <v>×</v>
      </c>
      <c r="O43" s="2064" t="str">
        <f t="shared" si="50"/>
        <v>-</v>
      </c>
      <c r="P43" s="460"/>
      <c r="Q43" s="2067"/>
      <c r="R43" s="2067"/>
      <c r="S43" s="2067"/>
      <c r="T43" s="470" t="str">
        <f t="shared" si="41"/>
        <v>保育士</v>
      </c>
      <c r="U43" s="442">
        <f t="shared" si="42"/>
        <v>0</v>
      </c>
      <c r="V43" s="470">
        <v>2</v>
      </c>
      <c r="W43" s="470" t="b">
        <f t="shared" si="51"/>
        <v>0</v>
      </c>
      <c r="X43" s="463" t="b">
        <f t="shared" ca="1" si="43"/>
        <v>0</v>
      </c>
      <c r="Y43" s="464" t="b">
        <f>COUNTIF($AC$21:AC42,AC43)+COUNTIF(AC44:$AC$74,AC43)-COUNTIF(Z43:AB43,AC43)=0</f>
        <v>0</v>
      </c>
      <c r="Z43" s="801" t="s">
        <v>718</v>
      </c>
      <c r="AA43" s="801" t="s">
        <v>718</v>
      </c>
      <c r="AB43" s="801" t="s">
        <v>718</v>
      </c>
      <c r="AC43" s="804">
        <f t="shared" si="44"/>
        <v>0</v>
      </c>
      <c r="AD43" s="272" t="b">
        <f t="shared" si="13"/>
        <v>0</v>
      </c>
      <c r="AE43" s="413" t="b">
        <f t="shared" si="45"/>
        <v>0</v>
      </c>
      <c r="AF43" s="470" t="s">
        <v>718</v>
      </c>
      <c r="AG43" s="499">
        <f t="shared" si="46"/>
        <v>0</v>
      </c>
      <c r="AH43" s="470">
        <v>2</v>
      </c>
      <c r="AI43" s="272">
        <f t="shared" si="47"/>
        <v>2</v>
      </c>
      <c r="AJ43" s="273">
        <f t="shared" si="48"/>
        <v>0</v>
      </c>
      <c r="AP43" s="486"/>
      <c r="AT43" s="271">
        <f t="shared" si="53"/>
        <v>36</v>
      </c>
      <c r="AU43" s="184" t="str">
        <f>AT43&amp;" "&amp;IF(AW43&lt;&gt;"-",【様式2】職員名簿!B73&amp;"/"&amp;AV43&amp;"/"&amp;AW43,"")</f>
        <v xml:space="preserve">36 </v>
      </c>
      <c r="AV43" s="184">
        <f>【様式2】職員名簿!E73</f>
        <v>0</v>
      </c>
      <c r="AW43" s="184" t="str">
        <f>IF(【様式2】職員名簿!J73="エラー","-",【様式2】職員名簿!J73)</f>
        <v>-</v>
      </c>
      <c r="AX43" s="413">
        <f>IF($AV43="常勤",$AM$2,IF($AV43="非常勤",【様式2】職員名簿!G73,0))</f>
        <v>0</v>
      </c>
      <c r="AY43" s="440">
        <f>IF($AW43=AY$3,COUNTIF($AW$8:$AW43,AY$3),0)</f>
        <v>0</v>
      </c>
      <c r="AZ43" s="441" t="str">
        <f t="shared" si="54"/>
        <v/>
      </c>
      <c r="BA43" s="442">
        <f>IF($AW43=BA$3,COUNTIF($AW$8:$AW43,BA$3),0)</f>
        <v>0</v>
      </c>
      <c r="BB43" s="441" t="str">
        <f t="shared" si="55"/>
        <v/>
      </c>
      <c r="BC43" s="442">
        <f>IF($AW43=BC$3,COUNTIFS($AW$8:$AW43,BC$3,$AV$8:$AV43,BC$4),0)</f>
        <v>0</v>
      </c>
      <c r="BD43" s="441" t="str">
        <f t="shared" si="56"/>
        <v/>
      </c>
      <c r="BE43" s="272">
        <f>IF($AW43=BE$3,COUNTIF($AW$8:$AW43,BE$3),0)</f>
        <v>0</v>
      </c>
      <c r="BF43" s="441" t="str">
        <f t="shared" si="57"/>
        <v/>
      </c>
      <c r="BG43" s="271">
        <f>IF(OR($AW43=BG$3,$AW43=BG$4),COUNTIF($AW$8:$AW43,BG$3)+COUNTIF($AW$8:$AW43,BG$4),0)</f>
        <v>0</v>
      </c>
      <c r="BH43" s="441" t="str">
        <f t="shared" si="58"/>
        <v/>
      </c>
      <c r="BI43" s="271">
        <f>IF($AW43=BI$3,COUNTIF($AW$8:$AW43,BI$3),0)</f>
        <v>0</v>
      </c>
      <c r="BJ43" s="441" t="str">
        <f t="shared" si="59"/>
        <v/>
      </c>
      <c r="BK43" s="271">
        <f>IF($AW43&lt;&gt;BK$3,COUNTIF($AW$8:$AW43,"&lt;&gt;"&amp;BK$3),0)</f>
        <v>0</v>
      </c>
      <c r="BL43" s="441" t="str">
        <f t="shared" si="60"/>
        <v/>
      </c>
      <c r="BM43" s="337"/>
      <c r="BN43" s="337"/>
    </row>
    <row r="44" spans="1:66" ht="15" customHeight="1">
      <c r="A44" s="1869"/>
      <c r="B44" s="2052"/>
      <c r="C44" s="2046" t="s">
        <v>924</v>
      </c>
      <c r="D44" s="1808" t="str">
        <f t="shared" si="52"/>
        <v/>
      </c>
      <c r="E44" s="1809"/>
      <c r="F44" s="2044"/>
      <c r="G44" s="2045"/>
      <c r="H44" s="1810"/>
      <c r="I44" s="743" t="str">
        <f t="shared" si="37"/>
        <v/>
      </c>
      <c r="J44" s="471" t="str">
        <f t="shared" si="38"/>
        <v/>
      </c>
      <c r="K44" s="864"/>
      <c r="L44" s="472" t="str">
        <f t="shared" si="39"/>
        <v/>
      </c>
      <c r="M44" s="506">
        <f t="shared" si="40"/>
        <v>0</v>
      </c>
      <c r="N44" s="2061" t="str">
        <f t="shared" si="49"/>
        <v>×</v>
      </c>
      <c r="O44" s="2064" t="str">
        <f t="shared" si="50"/>
        <v>-</v>
      </c>
      <c r="P44" s="460"/>
      <c r="Q44" s="2067"/>
      <c r="R44" s="2067"/>
      <c r="S44" s="2067"/>
      <c r="T44" s="470" t="str">
        <f t="shared" si="41"/>
        <v>保育士</v>
      </c>
      <c r="U44" s="442">
        <f t="shared" si="42"/>
        <v>0</v>
      </c>
      <c r="V44" s="470">
        <v>2</v>
      </c>
      <c r="W44" s="470" t="b">
        <f t="shared" si="51"/>
        <v>0</v>
      </c>
      <c r="X44" s="463" t="b">
        <f t="shared" ca="1" si="43"/>
        <v>0</v>
      </c>
      <c r="Y44" s="464" t="b">
        <f>COUNTIF($AC$21:AC43,AC44)+COUNTIF(AC45:$AC$74,AC44)-COUNTIF(Z44:AB44,AC44)=0</f>
        <v>0</v>
      </c>
      <c r="Z44" s="801" t="s">
        <v>718</v>
      </c>
      <c r="AA44" s="801" t="s">
        <v>718</v>
      </c>
      <c r="AB44" s="801" t="s">
        <v>718</v>
      </c>
      <c r="AC44" s="804">
        <f t="shared" si="44"/>
        <v>0</v>
      </c>
      <c r="AD44" s="272" t="b">
        <f t="shared" si="13"/>
        <v>0</v>
      </c>
      <c r="AE44" s="413" t="b">
        <f t="shared" si="45"/>
        <v>0</v>
      </c>
      <c r="AF44" s="470" t="s">
        <v>718</v>
      </c>
      <c r="AG44" s="499">
        <f t="shared" si="46"/>
        <v>0</v>
      </c>
      <c r="AH44" s="470">
        <v>2</v>
      </c>
      <c r="AI44" s="272">
        <f t="shared" si="47"/>
        <v>2</v>
      </c>
      <c r="AJ44" s="273">
        <f t="shared" si="48"/>
        <v>0</v>
      </c>
      <c r="AP44" s="486"/>
      <c r="AT44" s="271">
        <f t="shared" si="53"/>
        <v>37</v>
      </c>
      <c r="AU44" s="184" t="str">
        <f>AT44&amp;" "&amp;IF(AW44&lt;&gt;"-",【様式2】職員名簿!B74&amp;"/"&amp;AV44&amp;"/"&amp;AW44,"")</f>
        <v xml:space="preserve">37 </v>
      </c>
      <c r="AV44" s="184">
        <f>【様式2】職員名簿!E74</f>
        <v>0</v>
      </c>
      <c r="AW44" s="184" t="str">
        <f>IF(【様式2】職員名簿!J74="エラー","-",【様式2】職員名簿!J74)</f>
        <v>-</v>
      </c>
      <c r="AX44" s="413">
        <f>IF($AV44="常勤",$AM$2,IF($AV44="非常勤",【様式2】職員名簿!G74,0))</f>
        <v>0</v>
      </c>
      <c r="AY44" s="440">
        <f>IF($AW44=AY$3,COUNTIF($AW$8:$AW44,AY$3),0)</f>
        <v>0</v>
      </c>
      <c r="AZ44" s="441" t="str">
        <f t="shared" si="54"/>
        <v/>
      </c>
      <c r="BA44" s="442">
        <f>IF($AW44=BA$3,COUNTIF($AW$8:$AW44,BA$3),0)</f>
        <v>0</v>
      </c>
      <c r="BB44" s="441" t="str">
        <f t="shared" si="55"/>
        <v/>
      </c>
      <c r="BC44" s="442">
        <f>IF($AW44=BC$3,COUNTIFS($AW$8:$AW44,BC$3,$AV$8:$AV44,BC$4),0)</f>
        <v>0</v>
      </c>
      <c r="BD44" s="441" t="str">
        <f t="shared" si="56"/>
        <v/>
      </c>
      <c r="BE44" s="272">
        <f>IF($AW44=BE$3,COUNTIF($AW$8:$AW44,BE$3),0)</f>
        <v>0</v>
      </c>
      <c r="BF44" s="441" t="str">
        <f t="shared" si="57"/>
        <v/>
      </c>
      <c r="BG44" s="271">
        <f>IF(OR($AW44=BG$3,$AW44=BG$4),COUNTIF($AW$8:$AW44,BG$3)+COUNTIF($AW$8:$AW44,BG$4),0)</f>
        <v>0</v>
      </c>
      <c r="BH44" s="441" t="str">
        <f t="shared" si="58"/>
        <v/>
      </c>
      <c r="BI44" s="271">
        <f>IF($AW44=BI$3,COUNTIF($AW$8:$AW44,BI$3),0)</f>
        <v>0</v>
      </c>
      <c r="BJ44" s="441" t="str">
        <f t="shared" si="59"/>
        <v/>
      </c>
      <c r="BK44" s="271">
        <f>IF($AW44&lt;&gt;BK$3,COUNTIF($AW$8:$AW44,"&lt;&gt;"&amp;BK$3),0)</f>
        <v>0</v>
      </c>
      <c r="BL44" s="441" t="str">
        <f t="shared" si="60"/>
        <v/>
      </c>
      <c r="BM44" s="337"/>
      <c r="BN44" s="337"/>
    </row>
    <row r="45" spans="1:66" ht="15" customHeight="1">
      <c r="A45" s="1869"/>
      <c r="B45" s="2052"/>
      <c r="C45" s="2046"/>
      <c r="D45" s="1808" t="str">
        <f t="shared" si="52"/>
        <v/>
      </c>
      <c r="E45" s="1809"/>
      <c r="F45" s="2044"/>
      <c r="G45" s="2045"/>
      <c r="H45" s="1810"/>
      <c r="I45" s="743" t="str">
        <f t="shared" si="37"/>
        <v/>
      </c>
      <c r="J45" s="471" t="str">
        <f t="shared" si="38"/>
        <v/>
      </c>
      <c r="K45" s="864"/>
      <c r="L45" s="472" t="str">
        <f t="shared" si="39"/>
        <v/>
      </c>
      <c r="M45" s="506">
        <f t="shared" si="40"/>
        <v>0</v>
      </c>
      <c r="N45" s="2061" t="str">
        <f t="shared" si="49"/>
        <v>×</v>
      </c>
      <c r="O45" s="2064" t="str">
        <f t="shared" si="50"/>
        <v>-</v>
      </c>
      <c r="P45" s="460"/>
      <c r="Q45" s="2067"/>
      <c r="R45" s="2067"/>
      <c r="S45" s="2067"/>
      <c r="T45" s="470" t="str">
        <f t="shared" si="41"/>
        <v>保育士</v>
      </c>
      <c r="U45" s="442">
        <f t="shared" si="42"/>
        <v>0</v>
      </c>
      <c r="V45" s="470">
        <v>2</v>
      </c>
      <c r="W45" s="470" t="b">
        <f t="shared" si="51"/>
        <v>0</v>
      </c>
      <c r="X45" s="463" t="b">
        <f t="shared" ca="1" si="43"/>
        <v>0</v>
      </c>
      <c r="Y45" s="464" t="b">
        <f>COUNTIF($AC$21:AC44,AC45)+COUNTIF(AC46:$AC$74,AC45)-COUNTIF(Z45:AB45,AC45)=0</f>
        <v>0</v>
      </c>
      <c r="Z45" s="801" t="s">
        <v>718</v>
      </c>
      <c r="AA45" s="801" t="s">
        <v>718</v>
      </c>
      <c r="AB45" s="801" t="s">
        <v>718</v>
      </c>
      <c r="AC45" s="804">
        <f t="shared" si="44"/>
        <v>0</v>
      </c>
      <c r="AD45" s="272" t="b">
        <f t="shared" si="13"/>
        <v>0</v>
      </c>
      <c r="AE45" s="413" t="b">
        <f t="shared" si="45"/>
        <v>0</v>
      </c>
      <c r="AF45" s="470" t="s">
        <v>718</v>
      </c>
      <c r="AG45" s="499">
        <f t="shared" si="46"/>
        <v>0</v>
      </c>
      <c r="AH45" s="470">
        <v>2</v>
      </c>
      <c r="AI45" s="272">
        <f t="shared" si="47"/>
        <v>2</v>
      </c>
      <c r="AJ45" s="273">
        <f t="shared" si="48"/>
        <v>0</v>
      </c>
      <c r="AP45" s="486"/>
      <c r="AT45" s="271">
        <f t="shared" si="53"/>
        <v>38</v>
      </c>
      <c r="AU45" s="184" t="str">
        <f>AT45&amp;" "&amp;IF(AW45&lt;&gt;"-",【様式2】職員名簿!B75&amp;"/"&amp;AV45&amp;"/"&amp;AW45,"")</f>
        <v xml:space="preserve">38 </v>
      </c>
      <c r="AV45" s="184">
        <f>【様式2】職員名簿!E75</f>
        <v>0</v>
      </c>
      <c r="AW45" s="184" t="str">
        <f>IF(【様式2】職員名簿!J75="エラー","-",【様式2】職員名簿!J75)</f>
        <v>-</v>
      </c>
      <c r="AX45" s="413">
        <f>IF($AV45="常勤",$AM$2,IF($AV45="非常勤",【様式2】職員名簿!G75,0))</f>
        <v>0</v>
      </c>
      <c r="AY45" s="440">
        <f>IF($AW45=AY$3,COUNTIF($AW$8:$AW45,AY$3),0)</f>
        <v>0</v>
      </c>
      <c r="AZ45" s="441" t="str">
        <f t="shared" si="54"/>
        <v/>
      </c>
      <c r="BA45" s="442">
        <f>IF($AW45=BA$3,COUNTIF($AW$8:$AW45,BA$3),0)</f>
        <v>0</v>
      </c>
      <c r="BB45" s="441" t="str">
        <f t="shared" si="55"/>
        <v/>
      </c>
      <c r="BC45" s="442">
        <f>IF($AW45=BC$3,COUNTIFS($AW$8:$AW45,BC$3,$AV$8:$AV45,BC$4),0)</f>
        <v>0</v>
      </c>
      <c r="BD45" s="441" t="str">
        <f t="shared" si="56"/>
        <v/>
      </c>
      <c r="BE45" s="272">
        <f>IF($AW45=BE$3,COUNTIF($AW$8:$AW45,BE$3),0)</f>
        <v>0</v>
      </c>
      <c r="BF45" s="441" t="str">
        <f t="shared" si="57"/>
        <v/>
      </c>
      <c r="BG45" s="271">
        <f>IF(OR($AW45=BG$3,$AW45=BG$4),COUNTIF($AW$8:$AW45,BG$3)+COUNTIF($AW$8:$AW45,BG$4),0)</f>
        <v>0</v>
      </c>
      <c r="BH45" s="441" t="str">
        <f t="shared" si="58"/>
        <v/>
      </c>
      <c r="BI45" s="271">
        <f>IF($AW45=BI$3,COUNTIF($AW$8:$AW45,BI$3),0)</f>
        <v>0</v>
      </c>
      <c r="BJ45" s="441" t="str">
        <f t="shared" si="59"/>
        <v/>
      </c>
      <c r="BK45" s="271">
        <f>IF($AW45&lt;&gt;BK$3,COUNTIF($AW$8:$AW45,"&lt;&gt;"&amp;BK$3),0)</f>
        <v>0</v>
      </c>
      <c r="BL45" s="441" t="str">
        <f t="shared" si="60"/>
        <v/>
      </c>
      <c r="BM45" s="337"/>
      <c r="BN45" s="337"/>
    </row>
    <row r="46" spans="1:66" ht="15" customHeight="1">
      <c r="A46" s="1869"/>
      <c r="B46" s="2052"/>
      <c r="C46" s="2046"/>
      <c r="D46" s="1808" t="str">
        <f t="shared" si="52"/>
        <v/>
      </c>
      <c r="E46" s="1809"/>
      <c r="F46" s="2044"/>
      <c r="G46" s="2045"/>
      <c r="H46" s="1810"/>
      <c r="I46" s="743" t="str">
        <f t="shared" si="37"/>
        <v/>
      </c>
      <c r="J46" s="471" t="str">
        <f t="shared" si="38"/>
        <v/>
      </c>
      <c r="K46" s="864"/>
      <c r="L46" s="472" t="str">
        <f t="shared" si="39"/>
        <v/>
      </c>
      <c r="M46" s="506">
        <f t="shared" si="40"/>
        <v>0</v>
      </c>
      <c r="N46" s="2061" t="str">
        <f t="shared" si="49"/>
        <v>×</v>
      </c>
      <c r="O46" s="2064" t="str">
        <f t="shared" si="50"/>
        <v>-</v>
      </c>
      <c r="P46" s="460"/>
      <c r="Q46" s="2067"/>
      <c r="R46" s="2067"/>
      <c r="S46" s="2067"/>
      <c r="T46" s="470" t="str">
        <f t="shared" si="41"/>
        <v>保育士</v>
      </c>
      <c r="U46" s="442">
        <f t="shared" si="42"/>
        <v>0</v>
      </c>
      <c r="V46" s="470">
        <v>2</v>
      </c>
      <c r="W46" s="470" t="b">
        <f t="shared" si="51"/>
        <v>0</v>
      </c>
      <c r="X46" s="463" t="b">
        <f t="shared" ca="1" si="43"/>
        <v>0</v>
      </c>
      <c r="Y46" s="464" t="b">
        <f>COUNTIF($AC$21:AC45,AC46)+COUNTIF(AC47:$AC$74,AC46)-COUNTIF(Z46:AB46,AC46)=0</f>
        <v>0</v>
      </c>
      <c r="Z46" s="801" t="s">
        <v>718</v>
      </c>
      <c r="AA46" s="801" t="s">
        <v>718</v>
      </c>
      <c r="AB46" s="801" t="s">
        <v>718</v>
      </c>
      <c r="AC46" s="804">
        <f t="shared" si="44"/>
        <v>0</v>
      </c>
      <c r="AD46" s="272" t="b">
        <f t="shared" si="13"/>
        <v>0</v>
      </c>
      <c r="AE46" s="413" t="b">
        <f t="shared" si="45"/>
        <v>0</v>
      </c>
      <c r="AF46" s="470" t="s">
        <v>718</v>
      </c>
      <c r="AG46" s="499">
        <f t="shared" si="46"/>
        <v>0</v>
      </c>
      <c r="AH46" s="470">
        <v>2</v>
      </c>
      <c r="AI46" s="272">
        <f t="shared" si="47"/>
        <v>2</v>
      </c>
      <c r="AJ46" s="273">
        <f t="shared" si="48"/>
        <v>0</v>
      </c>
      <c r="AP46" s="486"/>
      <c r="AT46" s="271">
        <f t="shared" si="53"/>
        <v>39</v>
      </c>
      <c r="AU46" s="184" t="str">
        <f>AT46&amp;" "&amp;IF(AW46&lt;&gt;"-",【様式2】職員名簿!B76&amp;"/"&amp;AV46&amp;"/"&amp;AW46,"")</f>
        <v xml:space="preserve">39 </v>
      </c>
      <c r="AV46" s="184">
        <f>【様式2】職員名簿!E76</f>
        <v>0</v>
      </c>
      <c r="AW46" s="184" t="str">
        <f>IF(【様式2】職員名簿!J76="エラー","-",【様式2】職員名簿!J76)</f>
        <v>-</v>
      </c>
      <c r="AX46" s="413">
        <f>IF($AV46="常勤",$AM$2,IF($AV46="非常勤",【様式2】職員名簿!G76,0))</f>
        <v>0</v>
      </c>
      <c r="AY46" s="440">
        <f>IF($AW46=AY$3,COUNTIF($AW$8:$AW46,AY$3),0)</f>
        <v>0</v>
      </c>
      <c r="AZ46" s="441" t="str">
        <f t="shared" si="54"/>
        <v/>
      </c>
      <c r="BA46" s="442">
        <f>IF($AW46=BA$3,COUNTIF($AW$8:$AW46,BA$3),0)</f>
        <v>0</v>
      </c>
      <c r="BB46" s="441" t="str">
        <f t="shared" si="55"/>
        <v/>
      </c>
      <c r="BC46" s="442">
        <f>IF($AW46=BC$3,COUNTIFS($AW$8:$AW46,BC$3,$AV$8:$AV46,BC$4),0)</f>
        <v>0</v>
      </c>
      <c r="BD46" s="441" t="str">
        <f t="shared" si="56"/>
        <v/>
      </c>
      <c r="BE46" s="272">
        <f>IF($AW46=BE$3,COUNTIF($AW$8:$AW46,BE$3),0)</f>
        <v>0</v>
      </c>
      <c r="BF46" s="441" t="str">
        <f t="shared" si="57"/>
        <v/>
      </c>
      <c r="BG46" s="271">
        <f>IF(OR($AW46=BG$3,$AW46=BG$4),COUNTIF($AW$8:$AW46,BG$3)+COUNTIF($AW$8:$AW46,BG$4),0)</f>
        <v>0</v>
      </c>
      <c r="BH46" s="441" t="str">
        <f t="shared" si="58"/>
        <v/>
      </c>
      <c r="BI46" s="271">
        <f>IF($AW46=BI$3,COUNTIF($AW$8:$AW46,BI$3),0)</f>
        <v>0</v>
      </c>
      <c r="BJ46" s="441" t="str">
        <f t="shared" si="59"/>
        <v/>
      </c>
      <c r="BK46" s="271">
        <f>IF($AW46&lt;&gt;BK$3,COUNTIF($AW$8:$AW46,"&lt;&gt;"&amp;BK$3),0)</f>
        <v>0</v>
      </c>
      <c r="BL46" s="441" t="str">
        <f t="shared" si="60"/>
        <v/>
      </c>
      <c r="BM46" s="337"/>
      <c r="BN46" s="337"/>
    </row>
    <row r="47" spans="1:66" ht="15" customHeight="1">
      <c r="A47" s="1870"/>
      <c r="B47" s="2053"/>
      <c r="C47" s="2069"/>
      <c r="D47" s="2003" t="str">
        <f t="shared" si="52"/>
        <v/>
      </c>
      <c r="E47" s="2004"/>
      <c r="F47" s="2183"/>
      <c r="G47" s="2184"/>
      <c r="H47" s="2005"/>
      <c r="I47" s="748" t="str">
        <f t="shared" si="37"/>
        <v/>
      </c>
      <c r="J47" s="754" t="str">
        <f t="shared" si="38"/>
        <v/>
      </c>
      <c r="K47" s="866"/>
      <c r="L47" s="872" t="str">
        <f t="shared" si="39"/>
        <v/>
      </c>
      <c r="M47" s="528">
        <f t="shared" si="40"/>
        <v>0</v>
      </c>
      <c r="N47" s="2062" t="str">
        <f t="shared" si="49"/>
        <v>×</v>
      </c>
      <c r="O47" s="2065" t="str">
        <f t="shared" si="50"/>
        <v>-</v>
      </c>
      <c r="P47" s="460"/>
      <c r="Q47" s="2068"/>
      <c r="R47" s="2068"/>
      <c r="S47" s="2068"/>
      <c r="T47" s="470" t="str">
        <f t="shared" si="41"/>
        <v>保育士</v>
      </c>
      <c r="U47" s="442">
        <f t="shared" si="42"/>
        <v>0</v>
      </c>
      <c r="V47" s="470">
        <v>2</v>
      </c>
      <c r="W47" s="470" t="b">
        <f t="shared" si="51"/>
        <v>0</v>
      </c>
      <c r="X47" s="463" t="b">
        <f t="shared" ca="1" si="43"/>
        <v>0</v>
      </c>
      <c r="Y47" s="464" t="b">
        <f>COUNTIF($AC$21:AC46,AC47)+COUNTIF(AC48:$AC$74,AC47)-COUNTIF(Z47:AB47,AC47)=0</f>
        <v>0</v>
      </c>
      <c r="Z47" s="801" t="s">
        <v>718</v>
      </c>
      <c r="AA47" s="801" t="s">
        <v>718</v>
      </c>
      <c r="AB47" s="801" t="s">
        <v>718</v>
      </c>
      <c r="AC47" s="804">
        <f t="shared" si="44"/>
        <v>0</v>
      </c>
      <c r="AD47" s="272" t="b">
        <f t="shared" si="13"/>
        <v>0</v>
      </c>
      <c r="AE47" s="413" t="b">
        <f t="shared" si="45"/>
        <v>0</v>
      </c>
      <c r="AF47" s="470" t="s">
        <v>718</v>
      </c>
      <c r="AG47" s="499">
        <f t="shared" si="46"/>
        <v>0</v>
      </c>
      <c r="AH47" s="470">
        <v>2</v>
      </c>
      <c r="AI47" s="272">
        <f t="shared" si="47"/>
        <v>2</v>
      </c>
      <c r="AJ47" s="273">
        <f t="shared" si="48"/>
        <v>0</v>
      </c>
      <c r="AP47" s="486"/>
      <c r="AT47" s="271">
        <f t="shared" si="53"/>
        <v>40</v>
      </c>
      <c r="AU47" s="184" t="str">
        <f>AT47&amp;" "&amp;IF(AW47&lt;&gt;"-",【様式2】職員名簿!B77&amp;"/"&amp;AV47&amp;"/"&amp;AW47,"")</f>
        <v xml:space="preserve">40 </v>
      </c>
      <c r="AV47" s="184">
        <f>【様式2】職員名簿!E77</f>
        <v>0</v>
      </c>
      <c r="AW47" s="184" t="str">
        <f>IF(【様式2】職員名簿!J77="エラー","-",【様式2】職員名簿!J77)</f>
        <v>-</v>
      </c>
      <c r="AX47" s="413">
        <f>IF($AV47="常勤",$AM$2,IF($AV47="非常勤",【様式2】職員名簿!G77,0))</f>
        <v>0</v>
      </c>
      <c r="AY47" s="440">
        <f>IF($AW47=AY$3,COUNTIF($AW$8:$AW47,AY$3),0)</f>
        <v>0</v>
      </c>
      <c r="AZ47" s="441" t="str">
        <f t="shared" si="54"/>
        <v/>
      </c>
      <c r="BA47" s="442">
        <f>IF($AW47=BA$3,COUNTIF($AW$8:$AW47,BA$3),0)</f>
        <v>0</v>
      </c>
      <c r="BB47" s="441" t="str">
        <f t="shared" si="55"/>
        <v/>
      </c>
      <c r="BC47" s="442">
        <f>IF($AW47=BC$3,COUNTIFS($AW$8:$AW47,BC$3,$AV$8:$AV47,BC$4),0)</f>
        <v>0</v>
      </c>
      <c r="BD47" s="441" t="str">
        <f t="shared" si="56"/>
        <v/>
      </c>
      <c r="BE47" s="272">
        <f>IF($AW47=BE$3,COUNTIF($AW$8:$AW47,BE$3),0)</f>
        <v>0</v>
      </c>
      <c r="BF47" s="441" t="str">
        <f t="shared" si="57"/>
        <v/>
      </c>
      <c r="BG47" s="271">
        <f>IF(OR($AW47=BG$3,$AW47=BG$4),COUNTIF($AW$8:$AW47,BG$3)+COUNTIF($AW$8:$AW47,BG$4),0)</f>
        <v>0</v>
      </c>
      <c r="BH47" s="441" t="str">
        <f t="shared" si="58"/>
        <v/>
      </c>
      <c r="BI47" s="271">
        <f>IF($AW47=BI$3,COUNTIF($AW$8:$AW47,BI$3),0)</f>
        <v>0</v>
      </c>
      <c r="BJ47" s="441" t="str">
        <f t="shared" si="59"/>
        <v/>
      </c>
      <c r="BK47" s="271">
        <f>IF($AW47&lt;&gt;BK$3,COUNTIF($AW$8:$AW47,"&lt;&gt;"&amp;BK$3),0)</f>
        <v>0</v>
      </c>
      <c r="BL47" s="441" t="str">
        <f t="shared" si="60"/>
        <v/>
      </c>
      <c r="BM47" s="337"/>
      <c r="BN47" s="337"/>
    </row>
    <row r="48" spans="1:66" ht="15" customHeight="1" thickBot="1">
      <c r="A48" s="792" t="s">
        <v>126</v>
      </c>
      <c r="B48" s="2185" t="str">
        <f>"栄養管理加算【"&amp;IF(R48=1,"配置",IF(R48=2,"兼務",IF(R48=3,"嘱託","-")))&amp;"】"</f>
        <v>栄養管理加算【-】</v>
      </c>
      <c r="C48" s="1414"/>
      <c r="D48" s="1412" t="str">
        <f t="shared" si="52"/>
        <v/>
      </c>
      <c r="E48" s="2186"/>
      <c r="F48" s="2187"/>
      <c r="G48" s="2188"/>
      <c r="H48" s="2189"/>
      <c r="I48" s="746" t="str">
        <f t="shared" si="37"/>
        <v/>
      </c>
      <c r="J48" s="783" t="str">
        <f t="shared" ref="J48" si="61">IF(OR(F48=0,F48=""),"",IF(W48,IF(X48,IF(OR(Y48,V48=3),IF(AD48,IF(OR(AE48,V48=2,V48=3),"○","要常勤"),"時間無"),"重複"),"名簿無"),"対象外"))</f>
        <v/>
      </c>
      <c r="K48" s="752" t="s">
        <v>647</v>
      </c>
      <c r="L48" s="508" t="str">
        <f t="shared" si="39"/>
        <v/>
      </c>
      <c r="M48" s="509">
        <f t="shared" si="40"/>
        <v>0</v>
      </c>
      <c r="N48" s="510" t="str">
        <f>IF(Q48,"○","×")</f>
        <v>×</v>
      </c>
      <c r="O48" s="511" t="str">
        <f>IF(Q48,IF(S48,"○","×"),"-")</f>
        <v>-</v>
      </c>
      <c r="P48" s="150"/>
      <c r="Q48" s="899" t="b">
        <f>AND(【様式１】総括表・個票!AI228,OR(R48=1,R48=2))</f>
        <v>0</v>
      </c>
      <c r="R48" s="900">
        <f>IF(【様式１】総括表・個票!AI233,1,IF(【様式１】総括表・個票!AI234,2,IF(【様式１】総括表・個票!AI236,3,0)))</f>
        <v>0</v>
      </c>
      <c r="S48" s="899" t="b">
        <f>AND($J48="○",$O103&gt;=0)</f>
        <v>0</v>
      </c>
      <c r="T48" s="800" t="str">
        <f>$BF$6</f>
        <v>栄養士</v>
      </c>
      <c r="U48" s="512">
        <f t="shared" si="42"/>
        <v>0</v>
      </c>
      <c r="V48" s="904">
        <f>IF(R48=2,3,2)</f>
        <v>2</v>
      </c>
      <c r="W48" s="800" t="b">
        <f>AND(Q48,OR(R48=1,R48=2))</f>
        <v>0</v>
      </c>
      <c r="X48" s="463" t="b">
        <f t="shared" ref="X48" ca="1" si="62">COUNTIF(INDIRECT(T48),F48)&gt;0</f>
        <v>0</v>
      </c>
      <c r="Y48" s="464" t="b">
        <f>COUNTIF($AC$21:AC47,AC48)+COUNTIF(AC49:$AC$74,AC48)-COUNTIF(Z48:AB48,AC48)=0</f>
        <v>0</v>
      </c>
      <c r="Z48" s="801" t="s">
        <v>718</v>
      </c>
      <c r="AA48" s="801" t="s">
        <v>718</v>
      </c>
      <c r="AB48" s="801" t="s">
        <v>718</v>
      </c>
      <c r="AC48" s="804">
        <f t="shared" si="44"/>
        <v>0</v>
      </c>
      <c r="AD48" s="513" t="b">
        <f t="shared" si="13"/>
        <v>0</v>
      </c>
      <c r="AE48" s="514" t="b">
        <f t="shared" si="45"/>
        <v>0</v>
      </c>
      <c r="AF48" s="800" t="s">
        <v>718</v>
      </c>
      <c r="AG48" s="800" t="s">
        <v>718</v>
      </c>
      <c r="AH48" s="470">
        <v>2</v>
      </c>
      <c r="AI48" s="272">
        <f t="shared" si="47"/>
        <v>2</v>
      </c>
      <c r="AJ48" s="273">
        <f t="shared" si="48"/>
        <v>0</v>
      </c>
      <c r="AP48" s="486"/>
      <c r="AT48" s="271">
        <f t="shared" si="53"/>
        <v>41</v>
      </c>
      <c r="AU48" s="184" t="str">
        <f>AT48&amp;" "&amp;IF(AW48&lt;&gt;"-",【様式2】職員名簿!B78&amp;"/"&amp;AV48&amp;"/"&amp;AW48,"")</f>
        <v xml:space="preserve">41 </v>
      </c>
      <c r="AV48" s="184">
        <f>【様式2】職員名簿!E78</f>
        <v>0</v>
      </c>
      <c r="AW48" s="184" t="str">
        <f>IF(【様式2】職員名簿!J78="エラー","-",【様式2】職員名簿!J78)</f>
        <v>-</v>
      </c>
      <c r="AX48" s="413">
        <f>IF($AV48="常勤",$AM$2,IF($AV48="非常勤",【様式2】職員名簿!G78,0))</f>
        <v>0</v>
      </c>
      <c r="AY48" s="440">
        <f>IF($AW48=AY$3,COUNTIF($AW$8:$AW48,AY$3),0)</f>
        <v>0</v>
      </c>
      <c r="AZ48" s="441" t="str">
        <f t="shared" si="54"/>
        <v/>
      </c>
      <c r="BA48" s="442">
        <f>IF($AW48=BA$3,COUNTIF($AW$8:$AW48,BA$3),0)</f>
        <v>0</v>
      </c>
      <c r="BB48" s="441" t="str">
        <f t="shared" si="55"/>
        <v/>
      </c>
      <c r="BC48" s="442">
        <f>IF($AW48=BC$3,COUNTIFS($AW$8:$AW48,BC$3,$AV$8:$AV48,BC$4),0)</f>
        <v>0</v>
      </c>
      <c r="BD48" s="441" t="str">
        <f t="shared" si="56"/>
        <v/>
      </c>
      <c r="BE48" s="272">
        <f>IF($AW48=BE$3,COUNTIF($AW$8:$AW48,BE$3),0)</f>
        <v>0</v>
      </c>
      <c r="BF48" s="441" t="str">
        <f t="shared" si="57"/>
        <v/>
      </c>
      <c r="BG48" s="271">
        <f>IF(OR($AW48=BG$3,$AW48=BG$4),COUNTIF($AW$8:$AW48,BG$3)+COUNTIF($AW$8:$AW48,BG$4),0)</f>
        <v>0</v>
      </c>
      <c r="BH48" s="441" t="str">
        <f t="shared" si="58"/>
        <v/>
      </c>
      <c r="BI48" s="271">
        <f>IF($AW48=BI$3,COUNTIF($AW$8:$AW48,BI$3),0)</f>
        <v>0</v>
      </c>
      <c r="BJ48" s="441" t="str">
        <f t="shared" si="59"/>
        <v/>
      </c>
      <c r="BK48" s="271">
        <f>IF($AW48&lt;&gt;BK$3,COUNTIF($AW$8:$AW48,"&lt;&gt;"&amp;BK$3),0)</f>
        <v>0</v>
      </c>
      <c r="BL48" s="441" t="str">
        <f t="shared" si="60"/>
        <v/>
      </c>
      <c r="BM48" s="337"/>
      <c r="BN48" s="337"/>
    </row>
    <row r="49" spans="1:66" ht="15" customHeight="1">
      <c r="A49" s="2209" t="s">
        <v>79</v>
      </c>
      <c r="B49" s="2210"/>
      <c r="C49" s="2211"/>
      <c r="D49" s="2134" t="s">
        <v>926</v>
      </c>
      <c r="E49" s="2135"/>
      <c r="F49" s="2135"/>
      <c r="G49" s="2135"/>
      <c r="H49" s="2135"/>
      <c r="I49" s="2135"/>
      <c r="J49" s="2135"/>
      <c r="K49" s="2135"/>
      <c r="L49" s="2135"/>
      <c r="M49" s="2136"/>
      <c r="N49" s="2137" t="s">
        <v>753</v>
      </c>
      <c r="O49" s="2190"/>
      <c r="P49" s="150"/>
      <c r="Q49" s="337"/>
      <c r="R49" s="337"/>
      <c r="S49" s="337"/>
      <c r="T49" s="516"/>
      <c r="U49" s="517"/>
      <c r="V49" s="516"/>
      <c r="W49" s="516"/>
      <c r="X49" s="518"/>
      <c r="Y49" s="519"/>
      <c r="Z49" s="516"/>
      <c r="AA49" s="516"/>
      <c r="AB49" s="516"/>
      <c r="AC49" s="520"/>
      <c r="AD49" s="518"/>
      <c r="AE49" s="519"/>
      <c r="AF49" s="516"/>
      <c r="AG49" s="516"/>
      <c r="AH49" s="521"/>
      <c r="AI49" s="518"/>
      <c r="AJ49" s="522"/>
      <c r="AP49" s="486"/>
      <c r="AT49" s="271">
        <f t="shared" si="53"/>
        <v>42</v>
      </c>
      <c r="AU49" s="184" t="str">
        <f>AT49&amp;" "&amp;IF(AW49&lt;&gt;"-",【様式2】職員名簿!B79&amp;"/"&amp;AV49&amp;"/"&amp;AW49,"")</f>
        <v xml:space="preserve">42 </v>
      </c>
      <c r="AV49" s="184">
        <f>【様式2】職員名簿!E79</f>
        <v>0</v>
      </c>
      <c r="AW49" s="184" t="str">
        <f>IF(【様式2】職員名簿!J79="エラー","-",【様式2】職員名簿!J79)</f>
        <v>-</v>
      </c>
      <c r="AX49" s="413">
        <f>IF($AV49="常勤",$AM$2,IF($AV49="非常勤",【様式2】職員名簿!G79,0))</f>
        <v>0</v>
      </c>
      <c r="AY49" s="440">
        <f>IF($AW49=AY$3,COUNTIF($AW$8:$AW49,AY$3),0)</f>
        <v>0</v>
      </c>
      <c r="AZ49" s="441" t="str">
        <f t="shared" si="54"/>
        <v/>
      </c>
      <c r="BA49" s="442">
        <f>IF($AW49=BA$3,COUNTIF($AW$8:$AW49,BA$3),0)</f>
        <v>0</v>
      </c>
      <c r="BB49" s="441" t="str">
        <f t="shared" si="55"/>
        <v/>
      </c>
      <c r="BC49" s="442">
        <f>IF($AW49=BC$3,COUNTIFS($AW$8:$AW49,BC$3,$AV$8:$AV49,BC$4),0)</f>
        <v>0</v>
      </c>
      <c r="BD49" s="441" t="str">
        <f t="shared" si="56"/>
        <v/>
      </c>
      <c r="BE49" s="272">
        <f>IF($AW49=BE$3,COUNTIF($AW$8:$AW49,BE$3),0)</f>
        <v>0</v>
      </c>
      <c r="BF49" s="441" t="str">
        <f t="shared" si="57"/>
        <v/>
      </c>
      <c r="BG49" s="271">
        <f>IF(OR($AW49=BG$3,$AW49=BG$4),COUNTIF($AW$8:$AW49,BG$3)+COUNTIF($AW$8:$AW49,BG$4),0)</f>
        <v>0</v>
      </c>
      <c r="BH49" s="441" t="str">
        <f t="shared" si="58"/>
        <v/>
      </c>
      <c r="BI49" s="271">
        <f>IF($AW49=BI$3,COUNTIF($AW$8:$AW49,BI$3),0)</f>
        <v>0</v>
      </c>
      <c r="BJ49" s="441" t="str">
        <f t="shared" si="59"/>
        <v/>
      </c>
      <c r="BK49" s="271">
        <f>IF($AW49&lt;&gt;BK$3,COUNTIF($AW$8:$AW49,"&lt;&gt;"&amp;BK$3),0)</f>
        <v>0</v>
      </c>
      <c r="BL49" s="441" t="str">
        <f t="shared" si="60"/>
        <v/>
      </c>
      <c r="BM49" s="337"/>
      <c r="BN49" s="337"/>
    </row>
    <row r="50" spans="1:66" ht="15" customHeight="1">
      <c r="A50" s="2212" t="s">
        <v>927</v>
      </c>
      <c r="B50" s="2213"/>
      <c r="C50" s="2214"/>
      <c r="D50" s="2022" t="s">
        <v>687</v>
      </c>
      <c r="E50" s="2023"/>
      <c r="F50" s="2127" t="s">
        <v>919</v>
      </c>
      <c r="G50" s="2128"/>
      <c r="H50" s="2128"/>
      <c r="I50" s="2128"/>
      <c r="J50" s="2128"/>
      <c r="K50" s="2128"/>
      <c r="L50" s="2129" t="s">
        <v>730</v>
      </c>
      <c r="M50" s="2130"/>
      <c r="N50" s="2191"/>
      <c r="O50" s="2192"/>
      <c r="P50" s="150"/>
      <c r="Q50" s="337"/>
      <c r="R50" s="337"/>
      <c r="S50" s="337"/>
      <c r="T50" s="516"/>
      <c r="U50" s="517"/>
      <c r="V50" s="516"/>
      <c r="W50" s="516"/>
      <c r="X50" s="518"/>
      <c r="Y50" s="519"/>
      <c r="Z50" s="516"/>
      <c r="AA50" s="516"/>
      <c r="AB50" s="516"/>
      <c r="AC50" s="520"/>
      <c r="AD50" s="518"/>
      <c r="AE50" s="519"/>
      <c r="AF50" s="516"/>
      <c r="AG50" s="516"/>
      <c r="AH50" s="521"/>
      <c r="AI50" s="518"/>
      <c r="AJ50" s="522"/>
      <c r="AT50" s="271">
        <f t="shared" si="53"/>
        <v>43</v>
      </c>
      <c r="AU50" s="184" t="str">
        <f>AT50&amp;" "&amp;IF(AW50&lt;&gt;"-",【様式2】職員名簿!B80&amp;"/"&amp;AV50&amp;"/"&amp;AW50,"")</f>
        <v xml:space="preserve">43 </v>
      </c>
      <c r="AV50" s="184">
        <f>【様式2】職員名簿!E80</f>
        <v>0</v>
      </c>
      <c r="AW50" s="184" t="str">
        <f>IF(【様式2】職員名簿!J80="エラー","-",【様式2】職員名簿!J80)</f>
        <v>-</v>
      </c>
      <c r="AX50" s="413">
        <f>IF($AV50="常勤",$AM$2,IF($AV50="非常勤",【様式2】職員名簿!G80,0))</f>
        <v>0</v>
      </c>
      <c r="AY50" s="440">
        <f>IF($AW50=AY$3,COUNTIF($AW$8:$AW50,AY$3),0)</f>
        <v>0</v>
      </c>
      <c r="AZ50" s="441" t="str">
        <f t="shared" si="54"/>
        <v/>
      </c>
      <c r="BA50" s="442">
        <f>IF($AW50=BA$3,COUNTIF($AW$8:$AW50,BA$3),0)</f>
        <v>0</v>
      </c>
      <c r="BB50" s="441" t="str">
        <f t="shared" si="55"/>
        <v/>
      </c>
      <c r="BC50" s="442">
        <f>IF($AW50=BC$3,COUNTIFS($AW$8:$AW50,BC$3,$AV$8:$AV50,BC$4),0)</f>
        <v>0</v>
      </c>
      <c r="BD50" s="441" t="str">
        <f t="shared" si="56"/>
        <v/>
      </c>
      <c r="BE50" s="272">
        <f>IF($AW50=BE$3,COUNTIF($AW$8:$AW50,BE$3),0)</f>
        <v>0</v>
      </c>
      <c r="BF50" s="441" t="str">
        <f t="shared" si="57"/>
        <v/>
      </c>
      <c r="BG50" s="271">
        <f>IF(OR($AW50=BG$3,$AW50=BG$4),COUNTIF($AW$8:$AW50,BG$3)+COUNTIF($AW$8:$AW50,BG$4),0)</f>
        <v>0</v>
      </c>
      <c r="BH50" s="441" t="str">
        <f t="shared" si="58"/>
        <v/>
      </c>
      <c r="BI50" s="271">
        <f>IF($AW50=BI$3,COUNTIF($AW$8:$AW50,BI$3),0)</f>
        <v>0</v>
      </c>
      <c r="BJ50" s="441" t="str">
        <f t="shared" si="59"/>
        <v/>
      </c>
      <c r="BK50" s="271">
        <f>IF($AW50&lt;&gt;BK$3,COUNTIF($AW$8:$AW50,"&lt;&gt;"&amp;BK$3),0)</f>
        <v>0</v>
      </c>
      <c r="BL50" s="441" t="str">
        <f t="shared" si="60"/>
        <v/>
      </c>
      <c r="BM50" s="337"/>
      <c r="BN50" s="337"/>
    </row>
    <row r="51" spans="1:66" ht="15" customHeight="1" thickBot="1">
      <c r="A51" s="2215"/>
      <c r="B51" s="2216"/>
      <c r="C51" s="2021"/>
      <c r="D51" s="2024"/>
      <c r="E51" s="2025"/>
      <c r="F51" s="2084" t="s">
        <v>737</v>
      </c>
      <c r="G51" s="2084"/>
      <c r="H51" s="2084"/>
      <c r="I51" s="538" t="s">
        <v>921</v>
      </c>
      <c r="J51" s="797" t="s">
        <v>922</v>
      </c>
      <c r="K51" s="755" t="s">
        <v>923</v>
      </c>
      <c r="L51" s="2217"/>
      <c r="M51" s="2218"/>
      <c r="N51" s="2193"/>
      <c r="O51" s="2194"/>
      <c r="P51" s="150"/>
      <c r="Q51" s="337"/>
      <c r="R51" s="337"/>
      <c r="S51" s="337"/>
      <c r="T51" s="516"/>
      <c r="U51" s="517"/>
      <c r="V51" s="516"/>
      <c r="W51" s="516"/>
      <c r="X51" s="518"/>
      <c r="Y51" s="519"/>
      <c r="Z51" s="516"/>
      <c r="AA51" s="516"/>
      <c r="AB51" s="516"/>
      <c r="AC51" s="520"/>
      <c r="AD51" s="518"/>
      <c r="AE51" s="519"/>
      <c r="AF51" s="516"/>
      <c r="AG51" s="516"/>
      <c r="AH51" s="521"/>
      <c r="AI51" s="518"/>
      <c r="AJ51" s="522"/>
      <c r="AT51" s="271">
        <f t="shared" si="53"/>
        <v>44</v>
      </c>
      <c r="AU51" s="184" t="str">
        <f>AT51&amp;" "&amp;IF(AW51&lt;&gt;"-",【様式2】職員名簿!B81&amp;"/"&amp;AV51&amp;"/"&amp;AW51,"")</f>
        <v xml:space="preserve">44 </v>
      </c>
      <c r="AV51" s="184">
        <f>【様式2】職員名簿!E81</f>
        <v>0</v>
      </c>
      <c r="AW51" s="184" t="str">
        <f>IF(【様式2】職員名簿!J81="エラー","-",【様式2】職員名簿!J81)</f>
        <v>-</v>
      </c>
      <c r="AX51" s="413">
        <f>IF($AV51="常勤",$AM$2,IF($AV51="非常勤",【様式2】職員名簿!G81,0))</f>
        <v>0</v>
      </c>
      <c r="AY51" s="440">
        <f>IF($AW51=AY$3,COUNTIF($AW$8:$AW51,AY$3),0)</f>
        <v>0</v>
      </c>
      <c r="AZ51" s="441" t="str">
        <f t="shared" si="54"/>
        <v/>
      </c>
      <c r="BA51" s="442">
        <f>IF($AW51=BA$3,COUNTIF($AW$8:$AW51,BA$3),0)</f>
        <v>0</v>
      </c>
      <c r="BB51" s="441" t="str">
        <f t="shared" si="55"/>
        <v/>
      </c>
      <c r="BC51" s="442">
        <f>IF($AW51=BC$3,COUNTIFS($AW$8:$AW51,BC$3,$AV$8:$AV51,BC$4),0)</f>
        <v>0</v>
      </c>
      <c r="BD51" s="441" t="str">
        <f t="shared" si="56"/>
        <v/>
      </c>
      <c r="BE51" s="272">
        <f>IF($AW51=BE$3,COUNTIF($AW$8:$AW51,BE$3),0)</f>
        <v>0</v>
      </c>
      <c r="BF51" s="441" t="str">
        <f t="shared" si="57"/>
        <v/>
      </c>
      <c r="BG51" s="271">
        <f>IF(OR($AW51=BG$3,$AW51=BG$4),COUNTIF($AW$8:$AW51,BG$3)+COUNTIF($AW$8:$AW51,BG$4),0)</f>
        <v>0</v>
      </c>
      <c r="BH51" s="441" t="str">
        <f t="shared" si="58"/>
        <v/>
      </c>
      <c r="BI51" s="271">
        <f>IF($AW51=BI$3,COUNTIF($AW$8:$AW51,BI$3),0)</f>
        <v>0</v>
      </c>
      <c r="BJ51" s="441" t="str">
        <f t="shared" si="59"/>
        <v/>
      </c>
      <c r="BK51" s="271">
        <f>IF($AW51&lt;&gt;BK$3,COUNTIF($AW$8:$AW51,"&lt;&gt;"&amp;BK$3),0)</f>
        <v>0</v>
      </c>
      <c r="BL51" s="441" t="str">
        <f t="shared" si="60"/>
        <v/>
      </c>
      <c r="BM51" s="337"/>
      <c r="BN51" s="337"/>
    </row>
    <row r="52" spans="1:66" ht="15" customHeight="1">
      <c r="A52" s="1350" t="s">
        <v>928</v>
      </c>
      <c r="B52" s="1333"/>
      <c r="C52" s="1334"/>
      <c r="D52" s="1999" t="str">
        <f>T52</f>
        <v>保育士</v>
      </c>
      <c r="E52" s="2000"/>
      <c r="F52" s="2001"/>
      <c r="G52" s="2002"/>
      <c r="H52" s="2002"/>
      <c r="I52" s="747" t="str">
        <f t="shared" ref="I52:I73" si="63">IF(OR(NOT(W52),U52=0),"",U52)</f>
        <v/>
      </c>
      <c r="J52" s="753" t="str">
        <f t="shared" ref="J52:J72" si="64">IF(OR(F52=0,F52=""),"",IF(W52,IF(X52,IF(OR(Y52,V52=3),IF(AD52,IF(OR(AE52,V52=2,V52=3),"○","要常勤"),"時間無"),"重複"),"名簿無"),"対象外"))</f>
        <v/>
      </c>
      <c r="K52" s="865"/>
      <c r="L52" s="529" t="str">
        <f t="shared" ref="L52:L73" si="65">IF(AI52=1,"調整①→",IF(AI52=5,"調整②→",IF(AI52=2,"",IF(AI52=3,"全計上→","エラー"))))</f>
        <v/>
      </c>
      <c r="M52" s="530">
        <f t="shared" ref="M52:M73" si="66">IF(OR(AND(J52&lt;&gt;"",J52&lt;&gt;"○"),AI52=4),"×",IF(J52="",0,AJ52/$AM$2))</f>
        <v>0</v>
      </c>
      <c r="N52" s="1985">
        <f>SUM(M52:M56)</f>
        <v>0</v>
      </c>
      <c r="O52" s="1986"/>
      <c r="P52" s="150"/>
      <c r="Q52" s="337"/>
      <c r="R52" s="337"/>
      <c r="S52" s="337"/>
      <c r="T52" s="801" t="str">
        <f t="shared" ref="T52:T56" si="67">$BB$6</f>
        <v>保育士</v>
      </c>
      <c r="U52" s="803">
        <f t="shared" ref="U52:U72" si="68">IFERROR(VLOOKUP($F52,$AU$8:$AX$107,4,FALSE),0)</f>
        <v>0</v>
      </c>
      <c r="V52" s="801">
        <v>2</v>
      </c>
      <c r="W52" s="801" t="b">
        <f t="shared" ref="W52:W72" si="69">ISTEXT(F52)</f>
        <v>0</v>
      </c>
      <c r="X52" s="463" t="b">
        <f t="shared" ref="X52:X72" ca="1" si="70">COUNTIF(INDIRECT(T52),F52)&gt;0</f>
        <v>0</v>
      </c>
      <c r="Y52" s="523" t="b">
        <f>COUNTIF($AC$21:AC51,AC52)+COUNTIF(AC53:$AC$74,AC52)-COUNTIF(Z52:AB52,AC52)=0</f>
        <v>0</v>
      </c>
      <c r="Z52" s="524" t="s">
        <v>718</v>
      </c>
      <c r="AA52" s="524" t="s">
        <v>718</v>
      </c>
      <c r="AB52" s="524" t="s">
        <v>718</v>
      </c>
      <c r="AC52" s="804">
        <f t="shared" ref="AC52:AC72" si="71">IF(V52=3,0,IFERROR(INDEX($AT$8:$AT$107,MATCH($F52,AU$8:AU$107,0),1),0))</f>
        <v>0</v>
      </c>
      <c r="AD52" s="463" t="b">
        <f t="shared" ref="AD52:AD73" si="72">U52&gt;0</f>
        <v>0</v>
      </c>
      <c r="AE52" s="464" t="b">
        <f t="shared" ref="AE52:AE72" si="73">IFERROR(VLOOKUP($F52,$AU$8:$AX$107,2,FALSE),"")="常勤"</f>
        <v>0</v>
      </c>
      <c r="AF52" s="801" t="str">
        <f t="shared" ref="AF52:AF72" si="74">IFERROR(VLOOKUP($F52,$AU$8:$AX$107,3,FALSE),"")</f>
        <v/>
      </c>
      <c r="AG52" s="524">
        <f t="shared" ref="AG52:AG73" si="75">M52</f>
        <v>0</v>
      </c>
      <c r="AH52" s="470">
        <v>2</v>
      </c>
      <c r="AI52" s="272">
        <f t="shared" ref="AI52:AI73" si="76">IF(AND($W52,$J52="○"),IF($K52="-",IF($U52&lt;IF($AH52=5,$AL$4,$AL$3),$AH52,2),IF($K52=0,IF($U52&lt;IF($AH52=5,$AL$4,$AL$3),IF(OR($AH52=1,$AH52=5),$AH52,3),3),IF(K52&lt;IF($AH52=5,$AL$4,$AL$3),$AH52,IF($K52&gt;$U52,4,2)))),2)</f>
        <v>2</v>
      </c>
      <c r="AJ52" s="273">
        <f t="shared" ref="AJ52:AJ73" si="77">IF(AI52=1,$AL$3,IF(AI52=5,$AL$4,IF(AI52=2,IF(K52="-",U52,K52),IF(AI52=3,U52,"×"))))</f>
        <v>0</v>
      </c>
      <c r="AT52" s="271">
        <f t="shared" si="53"/>
        <v>45</v>
      </c>
      <c r="AU52" s="184" t="str">
        <f>AT52&amp;" "&amp;IF(AW52&lt;&gt;"-",【様式2】職員名簿!B82&amp;"/"&amp;AV52&amp;"/"&amp;AW52,"")</f>
        <v xml:space="preserve">45 </v>
      </c>
      <c r="AV52" s="184">
        <f>【様式2】職員名簿!E82</f>
        <v>0</v>
      </c>
      <c r="AW52" s="184" t="str">
        <f>IF(【様式2】職員名簿!J82="エラー","-",【様式2】職員名簿!J82)</f>
        <v>-</v>
      </c>
      <c r="AX52" s="413">
        <f>IF($AV52="常勤",$AM$2,IF($AV52="非常勤",【様式2】職員名簿!G82,0))</f>
        <v>0</v>
      </c>
      <c r="AY52" s="440">
        <f>IF($AW52=AY$3,COUNTIF($AW$8:$AW52,AY$3),0)</f>
        <v>0</v>
      </c>
      <c r="AZ52" s="441" t="str">
        <f t="shared" si="54"/>
        <v/>
      </c>
      <c r="BA52" s="442">
        <f>IF($AW52=BA$3,COUNTIF($AW$8:$AW52,BA$3),0)</f>
        <v>0</v>
      </c>
      <c r="BB52" s="441" t="str">
        <f t="shared" si="55"/>
        <v/>
      </c>
      <c r="BC52" s="442">
        <f>IF($AW52=BC$3,COUNTIFS($AW$8:$AW52,BC$3,$AV$8:$AV52,BC$4),0)</f>
        <v>0</v>
      </c>
      <c r="BD52" s="441" t="str">
        <f t="shared" si="56"/>
        <v/>
      </c>
      <c r="BE52" s="272">
        <f>IF($AW52=BE$3,COUNTIF($AW$8:$AW52,BE$3),0)</f>
        <v>0</v>
      </c>
      <c r="BF52" s="441" t="str">
        <f t="shared" si="57"/>
        <v/>
      </c>
      <c r="BG52" s="271">
        <f>IF(OR($AW52=BG$3,$AW52=BG$4),COUNTIF($AW$8:$AW52,BG$3)+COUNTIF($AW$8:$AW52,BG$4),0)</f>
        <v>0</v>
      </c>
      <c r="BH52" s="441" t="str">
        <f t="shared" si="58"/>
        <v/>
      </c>
      <c r="BI52" s="271">
        <f>IF($AW52=BI$3,COUNTIF($AW$8:$AW52,BI$3),0)</f>
        <v>0</v>
      </c>
      <c r="BJ52" s="441" t="str">
        <f t="shared" si="59"/>
        <v/>
      </c>
      <c r="BK52" s="271">
        <f>IF($AW52&lt;&gt;BK$3,COUNTIF($AW$8:$AW52,"&lt;&gt;"&amp;BK$3),0)</f>
        <v>0</v>
      </c>
      <c r="BL52" s="441" t="str">
        <f t="shared" si="60"/>
        <v/>
      </c>
      <c r="BM52" s="337"/>
      <c r="BN52" s="337"/>
    </row>
    <row r="53" spans="1:66" ht="15" customHeight="1">
      <c r="A53" s="2219"/>
      <c r="B53" s="1409"/>
      <c r="C53" s="2220"/>
      <c r="D53" s="1808" t="str">
        <f t="shared" ref="D53:D72" si="78">T53</f>
        <v>保育士</v>
      </c>
      <c r="E53" s="1809"/>
      <c r="F53" s="1810"/>
      <c r="G53" s="1811"/>
      <c r="H53" s="1811"/>
      <c r="I53" s="743" t="str">
        <f t="shared" si="63"/>
        <v/>
      </c>
      <c r="J53" s="471" t="str">
        <f t="shared" si="64"/>
        <v/>
      </c>
      <c r="K53" s="864"/>
      <c r="L53" s="525" t="str">
        <f t="shared" si="65"/>
        <v/>
      </c>
      <c r="M53" s="506">
        <f t="shared" si="66"/>
        <v>0</v>
      </c>
      <c r="N53" s="1987"/>
      <c r="O53" s="1988"/>
      <c r="P53" s="150"/>
      <c r="Q53" s="337"/>
      <c r="R53" s="337"/>
      <c r="S53" s="337"/>
      <c r="T53" s="801" t="str">
        <f t="shared" si="67"/>
        <v>保育士</v>
      </c>
      <c r="U53" s="803">
        <f t="shared" si="68"/>
        <v>0</v>
      </c>
      <c r="V53" s="801">
        <v>2</v>
      </c>
      <c r="W53" s="801" t="b">
        <f t="shared" si="69"/>
        <v>0</v>
      </c>
      <c r="X53" s="463" t="b">
        <f t="shared" ca="1" si="70"/>
        <v>0</v>
      </c>
      <c r="Y53" s="523" t="b">
        <f>COUNTIF($AC$21:AC52,AC53)+COUNTIF(AC54:$AC$74,AC53)-COUNTIF(Z53:AB53,AC53)=0</f>
        <v>0</v>
      </c>
      <c r="Z53" s="524" t="s">
        <v>718</v>
      </c>
      <c r="AA53" s="524" t="s">
        <v>718</v>
      </c>
      <c r="AB53" s="524" t="s">
        <v>718</v>
      </c>
      <c r="AC53" s="804">
        <f t="shared" si="71"/>
        <v>0</v>
      </c>
      <c r="AD53" s="463" t="b">
        <f t="shared" si="72"/>
        <v>0</v>
      </c>
      <c r="AE53" s="464" t="b">
        <f t="shared" si="73"/>
        <v>0</v>
      </c>
      <c r="AF53" s="801" t="str">
        <f t="shared" si="74"/>
        <v/>
      </c>
      <c r="AG53" s="524">
        <f t="shared" si="75"/>
        <v>0</v>
      </c>
      <c r="AH53" s="470">
        <v>2</v>
      </c>
      <c r="AI53" s="272">
        <f t="shared" si="76"/>
        <v>2</v>
      </c>
      <c r="AJ53" s="273">
        <f t="shared" si="77"/>
        <v>0</v>
      </c>
      <c r="AT53" s="271">
        <f t="shared" si="53"/>
        <v>46</v>
      </c>
      <c r="AU53" s="184" t="str">
        <f>AT53&amp;" "&amp;IF(AW53&lt;&gt;"-",【様式2】職員名簿!B83&amp;"/"&amp;AV53&amp;"/"&amp;AW53,"")</f>
        <v xml:space="preserve">46 </v>
      </c>
      <c r="AV53" s="184">
        <f>【様式2】職員名簿!E83</f>
        <v>0</v>
      </c>
      <c r="AW53" s="184" t="str">
        <f>IF(【様式2】職員名簿!J83="エラー","-",【様式2】職員名簿!J83)</f>
        <v>-</v>
      </c>
      <c r="AX53" s="413">
        <f>IF($AV53="常勤",$AM$2,IF($AV53="非常勤",【様式2】職員名簿!G83,0))</f>
        <v>0</v>
      </c>
      <c r="AY53" s="440">
        <f>IF($AW53=AY$3,COUNTIF($AW$8:$AW53,AY$3),0)</f>
        <v>0</v>
      </c>
      <c r="AZ53" s="441" t="str">
        <f t="shared" si="54"/>
        <v/>
      </c>
      <c r="BA53" s="442">
        <f>IF($AW53=BA$3,COUNTIF($AW$8:$AW53,BA$3),0)</f>
        <v>0</v>
      </c>
      <c r="BB53" s="441" t="str">
        <f t="shared" si="55"/>
        <v/>
      </c>
      <c r="BC53" s="442">
        <f>IF($AW53=BC$3,COUNTIFS($AW$8:$AW53,BC$3,$AV$8:$AV53,BC$4),0)</f>
        <v>0</v>
      </c>
      <c r="BD53" s="441" t="str">
        <f t="shared" si="56"/>
        <v/>
      </c>
      <c r="BE53" s="272">
        <f>IF($AW53=BE$3,COUNTIF($AW$8:$AW53,BE$3),0)</f>
        <v>0</v>
      </c>
      <c r="BF53" s="441" t="str">
        <f t="shared" si="57"/>
        <v/>
      </c>
      <c r="BG53" s="271">
        <f>IF(OR($AW53=BG$3,$AW53=BG$4),COUNTIF($AW$8:$AW53,BG$3)+COUNTIF($AW$8:$AW53,BG$4),0)</f>
        <v>0</v>
      </c>
      <c r="BH53" s="441" t="str">
        <f t="shared" si="58"/>
        <v/>
      </c>
      <c r="BI53" s="271">
        <f>IF($AW53=BI$3,COUNTIF($AW$8:$AW53,BI$3),0)</f>
        <v>0</v>
      </c>
      <c r="BJ53" s="441" t="str">
        <f t="shared" si="59"/>
        <v/>
      </c>
      <c r="BK53" s="271">
        <f>IF($AW53&lt;&gt;BK$3,COUNTIF($AW$8:$AW53,"&lt;&gt;"&amp;BK$3),0)</f>
        <v>0</v>
      </c>
      <c r="BL53" s="441" t="str">
        <f t="shared" si="60"/>
        <v/>
      </c>
      <c r="BM53" s="337"/>
      <c r="BN53" s="337"/>
    </row>
    <row r="54" spans="1:66" ht="15" customHeight="1">
      <c r="A54" s="2219"/>
      <c r="B54" s="1409"/>
      <c r="C54" s="2220"/>
      <c r="D54" s="1808" t="str">
        <f t="shared" si="78"/>
        <v>保育士</v>
      </c>
      <c r="E54" s="1809"/>
      <c r="F54" s="1810"/>
      <c r="G54" s="1811"/>
      <c r="H54" s="1811"/>
      <c r="I54" s="743" t="str">
        <f t="shared" si="63"/>
        <v/>
      </c>
      <c r="J54" s="471" t="str">
        <f t="shared" si="64"/>
        <v/>
      </c>
      <c r="K54" s="864"/>
      <c r="L54" s="525" t="str">
        <f t="shared" si="65"/>
        <v/>
      </c>
      <c r="M54" s="506">
        <f t="shared" si="66"/>
        <v>0</v>
      </c>
      <c r="N54" s="1987"/>
      <c r="O54" s="1988"/>
      <c r="P54" s="150"/>
      <c r="Q54" s="337"/>
      <c r="R54" s="337"/>
      <c r="S54" s="337"/>
      <c r="T54" s="801" t="str">
        <f t="shared" si="67"/>
        <v>保育士</v>
      </c>
      <c r="U54" s="803">
        <f t="shared" si="68"/>
        <v>0</v>
      </c>
      <c r="V54" s="801">
        <v>2</v>
      </c>
      <c r="W54" s="801" t="b">
        <f t="shared" si="69"/>
        <v>0</v>
      </c>
      <c r="X54" s="463" t="b">
        <f t="shared" ca="1" si="70"/>
        <v>0</v>
      </c>
      <c r="Y54" s="523" t="b">
        <f>COUNTIF($AC$21:AC53,AC54)+COUNTIF(AC55:$AC$74,AC54)-COUNTIF(Z54:AB54,AC54)=0</f>
        <v>0</v>
      </c>
      <c r="Z54" s="524" t="s">
        <v>718</v>
      </c>
      <c r="AA54" s="524" t="s">
        <v>718</v>
      </c>
      <c r="AB54" s="524" t="s">
        <v>718</v>
      </c>
      <c r="AC54" s="804">
        <f t="shared" si="71"/>
        <v>0</v>
      </c>
      <c r="AD54" s="463" t="b">
        <f t="shared" si="72"/>
        <v>0</v>
      </c>
      <c r="AE54" s="464" t="b">
        <f t="shared" si="73"/>
        <v>0</v>
      </c>
      <c r="AF54" s="801" t="str">
        <f t="shared" si="74"/>
        <v/>
      </c>
      <c r="AG54" s="524">
        <f t="shared" si="75"/>
        <v>0</v>
      </c>
      <c r="AH54" s="470">
        <v>2</v>
      </c>
      <c r="AI54" s="272">
        <f t="shared" si="76"/>
        <v>2</v>
      </c>
      <c r="AJ54" s="273">
        <f t="shared" si="77"/>
        <v>0</v>
      </c>
      <c r="AS54" s="486"/>
      <c r="AT54" s="271">
        <f t="shared" si="53"/>
        <v>47</v>
      </c>
      <c r="AU54" s="184" t="str">
        <f>AT54&amp;" "&amp;IF(AW54&lt;&gt;"-",【様式2】職員名簿!B84&amp;"/"&amp;AV54&amp;"/"&amp;AW54,"")</f>
        <v xml:space="preserve">47 </v>
      </c>
      <c r="AV54" s="184">
        <f>【様式2】職員名簿!E84</f>
        <v>0</v>
      </c>
      <c r="AW54" s="184" t="str">
        <f>IF(【様式2】職員名簿!J84="エラー","-",【様式2】職員名簿!J84)</f>
        <v>-</v>
      </c>
      <c r="AX54" s="413">
        <f>IF($AV54="常勤",$AM$2,IF($AV54="非常勤",【様式2】職員名簿!G84,0))</f>
        <v>0</v>
      </c>
      <c r="AY54" s="440">
        <f>IF($AW54=AY$3,COUNTIF($AW$8:$AW54,AY$3),0)</f>
        <v>0</v>
      </c>
      <c r="AZ54" s="441" t="str">
        <f t="shared" si="54"/>
        <v/>
      </c>
      <c r="BA54" s="442">
        <f>IF($AW54=BA$3,COUNTIF($AW$8:$AW54,BA$3),0)</f>
        <v>0</v>
      </c>
      <c r="BB54" s="441" t="str">
        <f t="shared" si="55"/>
        <v/>
      </c>
      <c r="BC54" s="442">
        <f>IF($AW54=BC$3,COUNTIFS($AW$8:$AW54,BC$3,$AV$8:$AV54,BC$4),0)</f>
        <v>0</v>
      </c>
      <c r="BD54" s="441" t="str">
        <f t="shared" si="56"/>
        <v/>
      </c>
      <c r="BE54" s="272">
        <f>IF($AW54=BE$3,COUNTIF($AW$8:$AW54,BE$3),0)</f>
        <v>0</v>
      </c>
      <c r="BF54" s="441" t="str">
        <f t="shared" si="57"/>
        <v/>
      </c>
      <c r="BG54" s="271">
        <f>IF(OR($AW54=BG$3,$AW54=BG$4),COUNTIF($AW$8:$AW54,BG$3)+COUNTIF($AW$8:$AW54,BG$4),0)</f>
        <v>0</v>
      </c>
      <c r="BH54" s="441" t="str">
        <f t="shared" si="58"/>
        <v/>
      </c>
      <c r="BI54" s="271">
        <f>IF($AW54=BI$3,COUNTIF($AW$8:$AW54,BI$3),0)</f>
        <v>0</v>
      </c>
      <c r="BJ54" s="441" t="str">
        <f t="shared" si="59"/>
        <v/>
      </c>
      <c r="BK54" s="271">
        <f>IF($AW54&lt;&gt;BK$3,COUNTIF($AW$8:$AW54,"&lt;&gt;"&amp;BK$3),0)</f>
        <v>0</v>
      </c>
      <c r="BL54" s="441" t="str">
        <f t="shared" si="60"/>
        <v/>
      </c>
      <c r="BM54" s="337"/>
      <c r="BN54" s="337"/>
    </row>
    <row r="55" spans="1:66" ht="15" customHeight="1">
      <c r="A55" s="2219"/>
      <c r="B55" s="1409"/>
      <c r="C55" s="2220"/>
      <c r="D55" s="1808" t="str">
        <f t="shared" si="78"/>
        <v>保育士</v>
      </c>
      <c r="E55" s="1809"/>
      <c r="F55" s="1810"/>
      <c r="G55" s="1811"/>
      <c r="H55" s="1811"/>
      <c r="I55" s="743" t="str">
        <f t="shared" si="63"/>
        <v/>
      </c>
      <c r="J55" s="471" t="str">
        <f t="shared" si="64"/>
        <v/>
      </c>
      <c r="K55" s="864"/>
      <c r="L55" s="525" t="str">
        <f t="shared" si="65"/>
        <v/>
      </c>
      <c r="M55" s="506">
        <f t="shared" si="66"/>
        <v>0</v>
      </c>
      <c r="N55" s="1987"/>
      <c r="O55" s="1988"/>
      <c r="P55" s="150"/>
      <c r="Q55" s="337"/>
      <c r="R55" s="337"/>
      <c r="S55" s="337"/>
      <c r="T55" s="801" t="str">
        <f t="shared" si="67"/>
        <v>保育士</v>
      </c>
      <c r="U55" s="803">
        <f t="shared" si="68"/>
        <v>0</v>
      </c>
      <c r="V55" s="801">
        <v>2</v>
      </c>
      <c r="W55" s="801" t="b">
        <f t="shared" si="69"/>
        <v>0</v>
      </c>
      <c r="X55" s="463" t="b">
        <f t="shared" ca="1" si="70"/>
        <v>0</v>
      </c>
      <c r="Y55" s="523" t="b">
        <f>COUNTIF($AC$21:AC54,AC55)+COUNTIF(AC56:$AC$74,AC55)-COUNTIF(Z55:AB55,AC55)=0</f>
        <v>0</v>
      </c>
      <c r="Z55" s="524" t="s">
        <v>718</v>
      </c>
      <c r="AA55" s="524" t="s">
        <v>718</v>
      </c>
      <c r="AB55" s="524" t="s">
        <v>718</v>
      </c>
      <c r="AC55" s="804">
        <f t="shared" si="71"/>
        <v>0</v>
      </c>
      <c r="AD55" s="463" t="b">
        <f t="shared" si="72"/>
        <v>0</v>
      </c>
      <c r="AE55" s="464" t="b">
        <f t="shared" si="73"/>
        <v>0</v>
      </c>
      <c r="AF55" s="801" t="str">
        <f t="shared" si="74"/>
        <v/>
      </c>
      <c r="AG55" s="524">
        <f t="shared" si="75"/>
        <v>0</v>
      </c>
      <c r="AH55" s="470">
        <v>2</v>
      </c>
      <c r="AI55" s="272">
        <f t="shared" si="76"/>
        <v>2</v>
      </c>
      <c r="AJ55" s="273">
        <f t="shared" si="77"/>
        <v>0</v>
      </c>
      <c r="AS55" s="486"/>
      <c r="AT55" s="271">
        <f t="shared" si="53"/>
        <v>48</v>
      </c>
      <c r="AU55" s="184" t="str">
        <f>AT55&amp;" "&amp;IF(AW55&lt;&gt;"-",【様式2】職員名簿!B85&amp;"/"&amp;AV55&amp;"/"&amp;AW55,"")</f>
        <v xml:space="preserve">48 </v>
      </c>
      <c r="AV55" s="184">
        <f>【様式2】職員名簿!E85</f>
        <v>0</v>
      </c>
      <c r="AW55" s="184" t="str">
        <f>IF(【様式2】職員名簿!J85="エラー","-",【様式2】職員名簿!J85)</f>
        <v>-</v>
      </c>
      <c r="AX55" s="413">
        <f>IF($AV55="常勤",$AM$2,IF($AV55="非常勤",【様式2】職員名簿!G85,0))</f>
        <v>0</v>
      </c>
      <c r="AY55" s="440">
        <f>IF($AW55=AY$3,COUNTIF($AW$8:$AW55,AY$3),0)</f>
        <v>0</v>
      </c>
      <c r="AZ55" s="441" t="str">
        <f t="shared" si="54"/>
        <v/>
      </c>
      <c r="BA55" s="442">
        <f>IF($AW55=BA$3,COUNTIF($AW$8:$AW55,BA$3),0)</f>
        <v>0</v>
      </c>
      <c r="BB55" s="441" t="str">
        <f t="shared" si="55"/>
        <v/>
      </c>
      <c r="BC55" s="442">
        <f>IF($AW55=BC$3,COUNTIFS($AW$8:$AW55,BC$3,$AV$8:$AV55,BC$4),0)</f>
        <v>0</v>
      </c>
      <c r="BD55" s="441" t="str">
        <f t="shared" si="56"/>
        <v/>
      </c>
      <c r="BE55" s="272">
        <f>IF($AW55=BE$3,COUNTIF($AW$8:$AW55,BE$3),0)</f>
        <v>0</v>
      </c>
      <c r="BF55" s="441" t="str">
        <f t="shared" si="57"/>
        <v/>
      </c>
      <c r="BG55" s="271">
        <f>IF(OR($AW55=BG$3,$AW55=BG$4),COUNTIF($AW$8:$AW55,BG$3)+COUNTIF($AW$8:$AW55,BG$4),0)</f>
        <v>0</v>
      </c>
      <c r="BH55" s="441" t="str">
        <f t="shared" si="58"/>
        <v/>
      </c>
      <c r="BI55" s="271">
        <f>IF($AW55=BI$3,COUNTIF($AW$8:$AW55,BI$3),0)</f>
        <v>0</v>
      </c>
      <c r="BJ55" s="441" t="str">
        <f t="shared" si="59"/>
        <v/>
      </c>
      <c r="BK55" s="271">
        <f>IF($AW55&lt;&gt;BK$3,COUNTIF($AW$8:$AW55,"&lt;&gt;"&amp;BK$3),0)</f>
        <v>0</v>
      </c>
      <c r="BL55" s="441" t="str">
        <f t="shared" si="60"/>
        <v/>
      </c>
      <c r="BM55" s="337"/>
      <c r="BN55" s="337"/>
    </row>
    <row r="56" spans="1:66" ht="15" customHeight="1">
      <c r="A56" s="2221"/>
      <c r="B56" s="1347"/>
      <c r="C56" s="1416"/>
      <c r="D56" s="2003" t="str">
        <f t="shared" si="78"/>
        <v>保育士</v>
      </c>
      <c r="E56" s="2004"/>
      <c r="F56" s="2005"/>
      <c r="G56" s="2006"/>
      <c r="H56" s="2006"/>
      <c r="I56" s="748" t="str">
        <f t="shared" si="63"/>
        <v/>
      </c>
      <c r="J56" s="754" t="str">
        <f t="shared" si="64"/>
        <v/>
      </c>
      <c r="K56" s="866"/>
      <c r="L56" s="527" t="str">
        <f t="shared" si="65"/>
        <v/>
      </c>
      <c r="M56" s="528">
        <f t="shared" si="66"/>
        <v>0</v>
      </c>
      <c r="N56" s="2007"/>
      <c r="O56" s="2008"/>
      <c r="P56" s="150"/>
      <c r="Q56" s="337"/>
      <c r="R56" s="337"/>
      <c r="S56" s="337"/>
      <c r="T56" s="801" t="str">
        <f t="shared" si="67"/>
        <v>保育士</v>
      </c>
      <c r="U56" s="803">
        <f t="shared" si="68"/>
        <v>0</v>
      </c>
      <c r="V56" s="801">
        <v>2</v>
      </c>
      <c r="W56" s="801" t="b">
        <f t="shared" si="69"/>
        <v>0</v>
      </c>
      <c r="X56" s="463" t="b">
        <f t="shared" ca="1" si="70"/>
        <v>0</v>
      </c>
      <c r="Y56" s="523" t="b">
        <f>COUNTIF($AC$21:AC55,AC56)+COUNTIF(AC57:$AC$74,AC56)-COUNTIF(Z56:AB56,AC56)=0</f>
        <v>0</v>
      </c>
      <c r="Z56" s="524" t="s">
        <v>718</v>
      </c>
      <c r="AA56" s="524" t="s">
        <v>718</v>
      </c>
      <c r="AB56" s="524" t="s">
        <v>718</v>
      </c>
      <c r="AC56" s="804">
        <f t="shared" si="71"/>
        <v>0</v>
      </c>
      <c r="AD56" s="463" t="b">
        <f t="shared" si="72"/>
        <v>0</v>
      </c>
      <c r="AE56" s="464" t="b">
        <f t="shared" si="73"/>
        <v>0</v>
      </c>
      <c r="AF56" s="801" t="str">
        <f t="shared" si="74"/>
        <v/>
      </c>
      <c r="AG56" s="524">
        <f t="shared" si="75"/>
        <v>0</v>
      </c>
      <c r="AH56" s="470">
        <v>2</v>
      </c>
      <c r="AI56" s="272">
        <f t="shared" si="76"/>
        <v>2</v>
      </c>
      <c r="AJ56" s="273">
        <f t="shared" si="77"/>
        <v>0</v>
      </c>
      <c r="AS56" s="486"/>
      <c r="AT56" s="271">
        <f t="shared" si="53"/>
        <v>49</v>
      </c>
      <c r="AU56" s="184" t="str">
        <f>AT56&amp;" "&amp;IF(AW56&lt;&gt;"-",【様式2】職員名簿!B86&amp;"/"&amp;AV56&amp;"/"&amp;AW56,"")</f>
        <v xml:space="preserve">49 </v>
      </c>
      <c r="AV56" s="184">
        <f>【様式2】職員名簿!E86</f>
        <v>0</v>
      </c>
      <c r="AW56" s="184" t="str">
        <f>IF(【様式2】職員名簿!J86="エラー","-",【様式2】職員名簿!J86)</f>
        <v>-</v>
      </c>
      <c r="AX56" s="413">
        <f>IF($AV56="常勤",$AM$2,IF($AV56="非常勤",【様式2】職員名簿!G86,0))</f>
        <v>0</v>
      </c>
      <c r="AY56" s="440">
        <f>IF($AW56=AY$3,COUNTIF($AW$8:$AW56,AY$3),0)</f>
        <v>0</v>
      </c>
      <c r="AZ56" s="441" t="str">
        <f t="shared" si="54"/>
        <v/>
      </c>
      <c r="BA56" s="442">
        <f>IF($AW56=BA$3,COUNTIF($AW$8:$AW56,BA$3),0)</f>
        <v>0</v>
      </c>
      <c r="BB56" s="441" t="str">
        <f t="shared" si="55"/>
        <v/>
      </c>
      <c r="BC56" s="442">
        <f>IF($AW56=BC$3,COUNTIFS($AW$8:$AW56,BC$3,$AV$8:$AV56,BC$4),0)</f>
        <v>0</v>
      </c>
      <c r="BD56" s="441" t="str">
        <f t="shared" si="56"/>
        <v/>
      </c>
      <c r="BE56" s="272">
        <f>IF($AW56=BE$3,COUNTIF($AW$8:$AW56,BE$3),0)</f>
        <v>0</v>
      </c>
      <c r="BF56" s="441" t="str">
        <f t="shared" si="57"/>
        <v/>
      </c>
      <c r="BG56" s="271">
        <f>IF(OR($AW56=BG$3,$AW56=BG$4),COUNTIF($AW$8:$AW56,BG$3)+COUNTIF($AW$8:$AW56,BG$4),0)</f>
        <v>0</v>
      </c>
      <c r="BH56" s="441" t="str">
        <f t="shared" si="58"/>
        <v/>
      </c>
      <c r="BI56" s="271">
        <f>IF($AW56=BI$3,COUNTIF($AW$8:$AW56,BI$3),0)</f>
        <v>0</v>
      </c>
      <c r="BJ56" s="441" t="str">
        <f t="shared" si="59"/>
        <v/>
      </c>
      <c r="BK56" s="271">
        <f>IF($AW56&lt;&gt;BK$3,COUNTIF($AW$8:$AW56,"&lt;&gt;"&amp;BK$3),0)</f>
        <v>0</v>
      </c>
      <c r="BL56" s="441" t="str">
        <f t="shared" si="60"/>
        <v/>
      </c>
      <c r="BM56" s="337"/>
      <c r="BN56" s="337"/>
    </row>
    <row r="57" spans="1:66" ht="15" customHeight="1">
      <c r="A57" s="2009" t="s">
        <v>754</v>
      </c>
      <c r="B57" s="2010"/>
      <c r="C57" s="2011"/>
      <c r="D57" s="1999" t="str">
        <f t="shared" si="78"/>
        <v>全職種</v>
      </c>
      <c r="E57" s="2000"/>
      <c r="F57" s="2001"/>
      <c r="G57" s="2002"/>
      <c r="H57" s="2002"/>
      <c r="I57" s="745" t="str">
        <f t="shared" si="63"/>
        <v/>
      </c>
      <c r="J57" s="753" t="str">
        <f t="shared" si="64"/>
        <v/>
      </c>
      <c r="K57" s="863"/>
      <c r="L57" s="529" t="str">
        <f t="shared" si="65"/>
        <v/>
      </c>
      <c r="M57" s="530">
        <f t="shared" si="66"/>
        <v>0</v>
      </c>
      <c r="N57" s="1985">
        <f>SUM(M57:M59)</f>
        <v>0</v>
      </c>
      <c r="O57" s="1986"/>
      <c r="P57" s="150"/>
      <c r="Q57" s="337"/>
      <c r="R57" s="337"/>
      <c r="S57" s="337"/>
      <c r="T57" s="801" t="str">
        <f t="shared" ref="T57:T72" si="79">$BL$6</f>
        <v>全職種</v>
      </c>
      <c r="U57" s="803">
        <f t="shared" si="68"/>
        <v>0</v>
      </c>
      <c r="V57" s="801">
        <v>2</v>
      </c>
      <c r="W57" s="801" t="b">
        <f t="shared" si="69"/>
        <v>0</v>
      </c>
      <c r="X57" s="463" t="b">
        <f t="shared" ca="1" si="70"/>
        <v>0</v>
      </c>
      <c r="Y57" s="523" t="b">
        <f>COUNTIF($AC$21:AC56,AC57)+COUNTIF(AC58:$AC$74,AC57)-COUNTIF(Z57:AB57,AC57)=0</f>
        <v>0</v>
      </c>
      <c r="Z57" s="524" t="s">
        <v>718</v>
      </c>
      <c r="AA57" s="524" t="s">
        <v>718</v>
      </c>
      <c r="AB57" s="524" t="s">
        <v>718</v>
      </c>
      <c r="AC57" s="804">
        <f t="shared" si="71"/>
        <v>0</v>
      </c>
      <c r="AD57" s="463" t="b">
        <f t="shared" si="72"/>
        <v>0</v>
      </c>
      <c r="AE57" s="464" t="b">
        <f t="shared" si="73"/>
        <v>0</v>
      </c>
      <c r="AF57" s="801" t="str">
        <f t="shared" si="74"/>
        <v/>
      </c>
      <c r="AG57" s="524">
        <f t="shared" si="75"/>
        <v>0</v>
      </c>
      <c r="AH57" s="470">
        <v>2</v>
      </c>
      <c r="AI57" s="272">
        <f t="shared" si="76"/>
        <v>2</v>
      </c>
      <c r="AJ57" s="273">
        <f t="shared" si="77"/>
        <v>0</v>
      </c>
      <c r="AQ57" s="486"/>
      <c r="AR57" s="486"/>
      <c r="AS57" s="486"/>
      <c r="AT57" s="271">
        <f t="shared" si="53"/>
        <v>50</v>
      </c>
      <c r="AU57" s="184" t="str">
        <f>AT57&amp;" "&amp;IF(AW57&lt;&gt;"-",【様式2】職員名簿!B87&amp;"/"&amp;AV57&amp;"/"&amp;AW57,"")</f>
        <v xml:space="preserve">50 </v>
      </c>
      <c r="AV57" s="184">
        <f>【様式2】職員名簿!E87</f>
        <v>0</v>
      </c>
      <c r="AW57" s="184" t="str">
        <f>IF(【様式2】職員名簿!J87="エラー","-",【様式2】職員名簿!J87)</f>
        <v>-</v>
      </c>
      <c r="AX57" s="413">
        <f>IF($AV57="常勤",$AM$2,IF($AV57="非常勤",【様式2】職員名簿!G87,0))</f>
        <v>0</v>
      </c>
      <c r="AY57" s="440">
        <f>IF($AW57=AY$3,COUNTIF($AW$8:$AW57,AY$3),0)</f>
        <v>0</v>
      </c>
      <c r="AZ57" s="441" t="str">
        <f t="shared" si="54"/>
        <v/>
      </c>
      <c r="BA57" s="442">
        <f>IF($AW57=BA$3,COUNTIF($AW$8:$AW57,BA$3),0)</f>
        <v>0</v>
      </c>
      <c r="BB57" s="441" t="str">
        <f t="shared" si="55"/>
        <v/>
      </c>
      <c r="BC57" s="442">
        <f>IF($AW57=BC$3,COUNTIFS($AW$8:$AW57,BC$3,$AV$8:$AV57,BC$4),0)</f>
        <v>0</v>
      </c>
      <c r="BD57" s="441" t="str">
        <f t="shared" si="56"/>
        <v/>
      </c>
      <c r="BE57" s="272">
        <f>IF($AW57=BE$3,COUNTIF($AW$8:$AW57,BE$3),0)</f>
        <v>0</v>
      </c>
      <c r="BF57" s="441" t="str">
        <f t="shared" si="57"/>
        <v/>
      </c>
      <c r="BG57" s="271">
        <f>IF(OR($AW57=BG$3,$AW57=BG$4),COUNTIF($AW$8:$AW57,BG$3)+COUNTIF($AW$8:$AW57,BG$4),0)</f>
        <v>0</v>
      </c>
      <c r="BH57" s="441" t="str">
        <f t="shared" si="58"/>
        <v/>
      </c>
      <c r="BI57" s="271">
        <f>IF($AW57=BI$3,COUNTIF($AW$8:$AW57,BI$3),0)</f>
        <v>0</v>
      </c>
      <c r="BJ57" s="441" t="str">
        <f t="shared" si="59"/>
        <v/>
      </c>
      <c r="BK57" s="271">
        <f>IF($AW57&lt;&gt;BK$3,COUNTIF($AW$8:$AW57,"&lt;&gt;"&amp;BK$3),0)</f>
        <v>0</v>
      </c>
      <c r="BL57" s="441" t="str">
        <f t="shared" si="60"/>
        <v/>
      </c>
      <c r="BM57" s="337"/>
      <c r="BN57" s="337"/>
    </row>
    <row r="58" spans="1:66" ht="15" customHeight="1">
      <c r="A58" s="2012"/>
      <c r="B58" s="2013"/>
      <c r="C58" s="2014"/>
      <c r="D58" s="1808" t="str">
        <f t="shared" si="78"/>
        <v>全職種</v>
      </c>
      <c r="E58" s="1809"/>
      <c r="F58" s="1810"/>
      <c r="G58" s="1811"/>
      <c r="H58" s="1811"/>
      <c r="I58" s="743" t="str">
        <f t="shared" si="63"/>
        <v/>
      </c>
      <c r="J58" s="471" t="str">
        <f t="shared" si="64"/>
        <v/>
      </c>
      <c r="K58" s="864"/>
      <c r="L58" s="525" t="str">
        <f t="shared" si="65"/>
        <v/>
      </c>
      <c r="M58" s="506">
        <f t="shared" si="66"/>
        <v>0</v>
      </c>
      <c r="N58" s="1987"/>
      <c r="O58" s="1988"/>
      <c r="P58" s="150"/>
      <c r="Q58" s="337"/>
      <c r="R58" s="337"/>
      <c r="S58" s="337"/>
      <c r="T58" s="801" t="str">
        <f t="shared" si="79"/>
        <v>全職種</v>
      </c>
      <c r="U58" s="803">
        <f t="shared" si="68"/>
        <v>0</v>
      </c>
      <c r="V58" s="801">
        <v>2</v>
      </c>
      <c r="W58" s="801" t="b">
        <f t="shared" si="69"/>
        <v>0</v>
      </c>
      <c r="X58" s="463" t="b">
        <f t="shared" ca="1" si="70"/>
        <v>0</v>
      </c>
      <c r="Y58" s="523" t="b">
        <f>COUNTIF($AC$21:AC57,AC58)+COUNTIF(AC59:$AC$74,AC58)-COUNTIF(Z58:AB58,AC58)=0</f>
        <v>0</v>
      </c>
      <c r="Z58" s="524" t="s">
        <v>718</v>
      </c>
      <c r="AA58" s="524" t="s">
        <v>718</v>
      </c>
      <c r="AB58" s="524" t="s">
        <v>718</v>
      </c>
      <c r="AC58" s="804">
        <f t="shared" si="71"/>
        <v>0</v>
      </c>
      <c r="AD58" s="463" t="b">
        <f t="shared" si="72"/>
        <v>0</v>
      </c>
      <c r="AE58" s="464" t="b">
        <f t="shared" si="73"/>
        <v>0</v>
      </c>
      <c r="AF58" s="801" t="str">
        <f t="shared" si="74"/>
        <v/>
      </c>
      <c r="AG58" s="524">
        <f t="shared" si="75"/>
        <v>0</v>
      </c>
      <c r="AH58" s="470">
        <v>2</v>
      </c>
      <c r="AI58" s="272">
        <f t="shared" si="76"/>
        <v>2</v>
      </c>
      <c r="AJ58" s="273">
        <f t="shared" si="77"/>
        <v>0</v>
      </c>
      <c r="AQ58" s="486"/>
      <c r="AR58" s="486"/>
      <c r="AS58" s="486"/>
      <c r="AT58" s="271">
        <f t="shared" si="53"/>
        <v>51</v>
      </c>
      <c r="AU58" s="184" t="str">
        <f>AT58&amp;" "&amp;IF(AW58&lt;&gt;"-",【様式2】職員名簿!B88&amp;"/"&amp;AV58&amp;"/"&amp;AW58,"")</f>
        <v xml:space="preserve">51 </v>
      </c>
      <c r="AV58" s="184">
        <f>【様式2】職員名簿!E88</f>
        <v>0</v>
      </c>
      <c r="AW58" s="184" t="str">
        <f>IF(【様式2】職員名簿!J88="エラー","-",【様式2】職員名簿!J88)</f>
        <v>-</v>
      </c>
      <c r="AX58" s="413">
        <f>IF($AV58="常勤",$AM$2,IF($AV58="非常勤",【様式2】職員名簿!G88,0))</f>
        <v>0</v>
      </c>
      <c r="AY58" s="440">
        <f>IF($AW58=AY$3,COUNTIF($AW$8:$AW58,AY$3),0)</f>
        <v>0</v>
      </c>
      <c r="AZ58" s="441" t="str">
        <f t="shared" si="54"/>
        <v/>
      </c>
      <c r="BA58" s="442">
        <f>IF($AW58=BA$3,COUNTIF($AW$8:$AW58,BA$3),0)</f>
        <v>0</v>
      </c>
      <c r="BB58" s="441" t="str">
        <f t="shared" si="55"/>
        <v/>
      </c>
      <c r="BC58" s="442">
        <f>IF($AW58=BC$3,COUNTIFS($AW$8:$AW58,BC$3,$AV$8:$AV58,BC$4),0)</f>
        <v>0</v>
      </c>
      <c r="BD58" s="441" t="str">
        <f t="shared" si="56"/>
        <v/>
      </c>
      <c r="BE58" s="272">
        <f>IF($AW58=BE$3,COUNTIF($AW$8:$AW58,BE$3),0)</f>
        <v>0</v>
      </c>
      <c r="BF58" s="441" t="str">
        <f t="shared" si="57"/>
        <v/>
      </c>
      <c r="BG58" s="271">
        <f>IF(OR($AW58=BG$3,$AW58=BG$4),COUNTIF($AW$8:$AW58,BG$3)+COUNTIF($AW$8:$AW58,BG$4),0)</f>
        <v>0</v>
      </c>
      <c r="BH58" s="441" t="str">
        <f t="shared" si="58"/>
        <v/>
      </c>
      <c r="BI58" s="271">
        <f>IF($AW58=BI$3,COUNTIF($AW$8:$AW58,BI$3),0)</f>
        <v>0</v>
      </c>
      <c r="BJ58" s="441" t="str">
        <f t="shared" si="59"/>
        <v/>
      </c>
      <c r="BK58" s="271">
        <f>IF($AW58&lt;&gt;BK$3,COUNTIF($AW$8:$AW58,"&lt;&gt;"&amp;BK$3),0)</f>
        <v>0</v>
      </c>
      <c r="BL58" s="441" t="str">
        <f t="shared" si="60"/>
        <v/>
      </c>
      <c r="BM58" s="337"/>
      <c r="BN58" s="337"/>
    </row>
    <row r="59" spans="1:66" ht="15" customHeight="1">
      <c r="A59" s="2015"/>
      <c r="B59" s="2016"/>
      <c r="C59" s="2017"/>
      <c r="D59" s="2003" t="str">
        <f t="shared" si="78"/>
        <v>全職種</v>
      </c>
      <c r="E59" s="2004"/>
      <c r="F59" s="2005"/>
      <c r="G59" s="2006"/>
      <c r="H59" s="2006"/>
      <c r="I59" s="748" t="str">
        <f t="shared" si="63"/>
        <v/>
      </c>
      <c r="J59" s="754" t="str">
        <f t="shared" si="64"/>
        <v/>
      </c>
      <c r="K59" s="866"/>
      <c r="L59" s="527" t="str">
        <f t="shared" si="65"/>
        <v/>
      </c>
      <c r="M59" s="528">
        <f t="shared" si="66"/>
        <v>0</v>
      </c>
      <c r="N59" s="2007"/>
      <c r="O59" s="2008"/>
      <c r="P59" s="150"/>
      <c r="Q59" s="337"/>
      <c r="R59" s="337"/>
      <c r="S59" s="337"/>
      <c r="T59" s="801" t="str">
        <f t="shared" si="79"/>
        <v>全職種</v>
      </c>
      <c r="U59" s="803">
        <f t="shared" si="68"/>
        <v>0</v>
      </c>
      <c r="V59" s="801">
        <v>2</v>
      </c>
      <c r="W59" s="801" t="b">
        <f t="shared" si="69"/>
        <v>0</v>
      </c>
      <c r="X59" s="463" t="b">
        <f t="shared" ca="1" si="70"/>
        <v>0</v>
      </c>
      <c r="Y59" s="523" t="b">
        <f>COUNTIF($AC$21:AC58,AC59)+COUNTIF(AC60:$AC$74,AC59)-COUNTIF(Z59:AB59,AC59)=0</f>
        <v>0</v>
      </c>
      <c r="Z59" s="524" t="s">
        <v>718</v>
      </c>
      <c r="AA59" s="524" t="s">
        <v>718</v>
      </c>
      <c r="AB59" s="524" t="s">
        <v>718</v>
      </c>
      <c r="AC59" s="804">
        <f t="shared" si="71"/>
        <v>0</v>
      </c>
      <c r="AD59" s="463" t="b">
        <f t="shared" si="72"/>
        <v>0</v>
      </c>
      <c r="AE59" s="464" t="b">
        <f t="shared" si="73"/>
        <v>0</v>
      </c>
      <c r="AF59" s="801" t="str">
        <f t="shared" si="74"/>
        <v/>
      </c>
      <c r="AG59" s="524">
        <f t="shared" si="75"/>
        <v>0</v>
      </c>
      <c r="AH59" s="470">
        <v>2</v>
      </c>
      <c r="AI59" s="272">
        <f t="shared" si="76"/>
        <v>2</v>
      </c>
      <c r="AJ59" s="273">
        <f t="shared" si="77"/>
        <v>0</v>
      </c>
      <c r="AQ59" s="486"/>
      <c r="AR59" s="486"/>
      <c r="AS59" s="486"/>
      <c r="AT59" s="271">
        <f t="shared" si="53"/>
        <v>52</v>
      </c>
      <c r="AU59" s="184" t="str">
        <f>AT59&amp;" "&amp;IF(AW59&lt;&gt;"-",【様式2】職員名簿!B89&amp;"/"&amp;AV59&amp;"/"&amp;AW59,"")</f>
        <v xml:space="preserve">52 </v>
      </c>
      <c r="AV59" s="184">
        <f>【様式2】職員名簿!E89</f>
        <v>0</v>
      </c>
      <c r="AW59" s="184" t="str">
        <f>IF(【様式2】職員名簿!J89="エラー","-",【様式2】職員名簿!J89)</f>
        <v>-</v>
      </c>
      <c r="AX59" s="413">
        <f>IF($AV59="常勤",$AM$2,IF($AV59="非常勤",【様式2】職員名簿!G89,0))</f>
        <v>0</v>
      </c>
      <c r="AY59" s="440">
        <f>IF($AW59=AY$3,COUNTIF($AW$8:$AW59,AY$3),0)</f>
        <v>0</v>
      </c>
      <c r="AZ59" s="441" t="str">
        <f t="shared" si="54"/>
        <v/>
      </c>
      <c r="BA59" s="442">
        <f>IF($AW59=BA$3,COUNTIF($AW$8:$AW59,BA$3),0)</f>
        <v>0</v>
      </c>
      <c r="BB59" s="441" t="str">
        <f t="shared" si="55"/>
        <v/>
      </c>
      <c r="BC59" s="442">
        <f>IF($AW59=BC$3,COUNTIFS($AW$8:$AW59,BC$3,$AV$8:$AV59,BC$4),0)</f>
        <v>0</v>
      </c>
      <c r="BD59" s="441" t="str">
        <f t="shared" si="56"/>
        <v/>
      </c>
      <c r="BE59" s="272">
        <f>IF($AW59=BE$3,COUNTIF($AW$8:$AW59,BE$3),0)</f>
        <v>0</v>
      </c>
      <c r="BF59" s="441" t="str">
        <f t="shared" si="57"/>
        <v/>
      </c>
      <c r="BG59" s="271">
        <f>IF(OR($AW59=BG$3,$AW59=BG$4),COUNTIF($AW$8:$AW59,BG$3)+COUNTIF($AW$8:$AW59,BG$4),0)</f>
        <v>0</v>
      </c>
      <c r="BH59" s="441" t="str">
        <f t="shared" si="58"/>
        <v/>
      </c>
      <c r="BI59" s="271">
        <f>IF($AW59=BI$3,COUNTIF($AW$8:$AW59,BI$3),0)</f>
        <v>0</v>
      </c>
      <c r="BJ59" s="441" t="str">
        <f t="shared" si="59"/>
        <v/>
      </c>
      <c r="BK59" s="271">
        <f>IF($AW59&lt;&gt;BK$3,COUNTIF($AW$8:$AW59,"&lt;&gt;"&amp;BK$3),0)</f>
        <v>0</v>
      </c>
      <c r="BL59" s="441" t="str">
        <f t="shared" si="60"/>
        <v/>
      </c>
      <c r="BM59" s="337"/>
      <c r="BN59" s="337"/>
    </row>
    <row r="60" spans="1:66" ht="15" customHeight="1">
      <c r="A60" s="2009" t="s">
        <v>755</v>
      </c>
      <c r="B60" s="2010"/>
      <c r="C60" s="2011"/>
      <c r="D60" s="1999" t="str">
        <f t="shared" si="78"/>
        <v>調理員</v>
      </c>
      <c r="E60" s="2000"/>
      <c r="F60" s="2001"/>
      <c r="G60" s="2002"/>
      <c r="H60" s="2002"/>
      <c r="I60" s="745" t="str">
        <f t="shared" si="63"/>
        <v/>
      </c>
      <c r="J60" s="753" t="str">
        <f t="shared" si="64"/>
        <v/>
      </c>
      <c r="K60" s="863"/>
      <c r="L60" s="529" t="str">
        <f t="shared" si="65"/>
        <v/>
      </c>
      <c r="M60" s="530">
        <f t="shared" si="66"/>
        <v>0</v>
      </c>
      <c r="N60" s="1985">
        <f>SUM(M60:M62)</f>
        <v>0</v>
      </c>
      <c r="O60" s="1986"/>
      <c r="P60" s="150"/>
      <c r="Q60" s="337"/>
      <c r="R60" s="337"/>
      <c r="S60" s="337"/>
      <c r="T60" s="801" t="s">
        <v>929</v>
      </c>
      <c r="U60" s="803">
        <f t="shared" si="68"/>
        <v>0</v>
      </c>
      <c r="V60" s="801">
        <v>2</v>
      </c>
      <c r="W60" s="801" t="b">
        <f t="shared" si="69"/>
        <v>0</v>
      </c>
      <c r="X60" s="463" t="b">
        <f t="shared" ca="1" si="70"/>
        <v>0</v>
      </c>
      <c r="Y60" s="523" t="b">
        <f>COUNTIF($AC$21:AC59,AC60)+COUNTIF(AC61:$AC$74,AC60)-COUNTIF(Z60:AB60,AC60)=0</f>
        <v>0</v>
      </c>
      <c r="Z60" s="524" t="s">
        <v>718</v>
      </c>
      <c r="AA60" s="524" t="s">
        <v>718</v>
      </c>
      <c r="AB60" s="524" t="s">
        <v>718</v>
      </c>
      <c r="AC60" s="804">
        <f t="shared" si="71"/>
        <v>0</v>
      </c>
      <c r="AD60" s="463" t="b">
        <f t="shared" si="72"/>
        <v>0</v>
      </c>
      <c r="AE60" s="464" t="b">
        <f t="shared" si="73"/>
        <v>0</v>
      </c>
      <c r="AF60" s="801" t="str">
        <f t="shared" si="74"/>
        <v/>
      </c>
      <c r="AG60" s="524">
        <f t="shared" si="75"/>
        <v>0</v>
      </c>
      <c r="AH60" s="470">
        <v>2</v>
      </c>
      <c r="AI60" s="272">
        <f t="shared" si="76"/>
        <v>2</v>
      </c>
      <c r="AJ60" s="273">
        <f t="shared" si="77"/>
        <v>0</v>
      </c>
      <c r="AR60" s="486"/>
      <c r="AS60" s="486"/>
      <c r="AT60" s="271">
        <f t="shared" si="53"/>
        <v>53</v>
      </c>
      <c r="AU60" s="184" t="str">
        <f>AT60&amp;" "&amp;IF(AW60&lt;&gt;"-",【様式2】職員名簿!B90&amp;"/"&amp;AV60&amp;"/"&amp;AW60,"")</f>
        <v xml:space="preserve">53 </v>
      </c>
      <c r="AV60" s="184">
        <f>【様式2】職員名簿!E90</f>
        <v>0</v>
      </c>
      <c r="AW60" s="184" t="str">
        <f>IF(【様式2】職員名簿!J90="エラー","-",【様式2】職員名簿!J90)</f>
        <v>-</v>
      </c>
      <c r="AX60" s="413">
        <f>IF($AV60="常勤",$AM$2,IF($AV60="非常勤",【様式2】職員名簿!G90,0))</f>
        <v>0</v>
      </c>
      <c r="AY60" s="440">
        <f>IF($AW60=AY$3,COUNTIF($AW$8:$AW60,AY$3),0)</f>
        <v>0</v>
      </c>
      <c r="AZ60" s="441" t="str">
        <f t="shared" si="54"/>
        <v/>
      </c>
      <c r="BA60" s="442">
        <f>IF($AW60=BA$3,COUNTIF($AW$8:$AW60,BA$3),0)</f>
        <v>0</v>
      </c>
      <c r="BB60" s="441" t="str">
        <f t="shared" si="55"/>
        <v/>
      </c>
      <c r="BC60" s="442">
        <f>IF($AW60=BC$3,COUNTIFS($AW$8:$AW60,BC$3,$AV$8:$AV60,BC$4),0)</f>
        <v>0</v>
      </c>
      <c r="BD60" s="441" t="str">
        <f t="shared" si="56"/>
        <v/>
      </c>
      <c r="BE60" s="272">
        <f>IF($AW60=BE$3,COUNTIF($AW$8:$AW60,BE$3),0)</f>
        <v>0</v>
      </c>
      <c r="BF60" s="441" t="str">
        <f t="shared" si="57"/>
        <v/>
      </c>
      <c r="BG60" s="271">
        <f>IF(OR($AW60=BG$3,$AW60=BG$4),COUNTIF($AW$8:$AW60,BG$3)+COUNTIF($AW$8:$AW60,BG$4),0)</f>
        <v>0</v>
      </c>
      <c r="BH60" s="441" t="str">
        <f t="shared" si="58"/>
        <v/>
      </c>
      <c r="BI60" s="271">
        <f>IF($AW60=BI$3,COUNTIF($AW$8:$AW60,BI$3),0)</f>
        <v>0</v>
      </c>
      <c r="BJ60" s="441" t="str">
        <f t="shared" si="59"/>
        <v/>
      </c>
      <c r="BK60" s="271">
        <f>IF($AW60&lt;&gt;BK$3,COUNTIF($AW$8:$AW60,"&lt;&gt;"&amp;BK$3),0)</f>
        <v>0</v>
      </c>
      <c r="BL60" s="441" t="str">
        <f t="shared" si="60"/>
        <v/>
      </c>
      <c r="BM60" s="337"/>
      <c r="BN60" s="337"/>
    </row>
    <row r="61" spans="1:66" ht="15" customHeight="1">
      <c r="A61" s="2012"/>
      <c r="B61" s="2013"/>
      <c r="C61" s="2014"/>
      <c r="D61" s="1808" t="str">
        <f t="shared" si="78"/>
        <v>調理員</v>
      </c>
      <c r="E61" s="1809"/>
      <c r="F61" s="1810"/>
      <c r="G61" s="1811"/>
      <c r="H61" s="1811"/>
      <c r="I61" s="743" t="str">
        <f t="shared" si="63"/>
        <v/>
      </c>
      <c r="J61" s="471" t="str">
        <f t="shared" si="64"/>
        <v/>
      </c>
      <c r="K61" s="864"/>
      <c r="L61" s="525" t="str">
        <f t="shared" si="65"/>
        <v/>
      </c>
      <c r="M61" s="506">
        <f t="shared" si="66"/>
        <v>0</v>
      </c>
      <c r="N61" s="1987"/>
      <c r="O61" s="1988"/>
      <c r="P61" s="150"/>
      <c r="Q61" s="337"/>
      <c r="R61" s="337"/>
      <c r="S61" s="337"/>
      <c r="T61" s="801" t="s">
        <v>929</v>
      </c>
      <c r="U61" s="803">
        <f t="shared" si="68"/>
        <v>0</v>
      </c>
      <c r="V61" s="801">
        <v>2</v>
      </c>
      <c r="W61" s="801" t="b">
        <f t="shared" si="69"/>
        <v>0</v>
      </c>
      <c r="X61" s="463" t="b">
        <f t="shared" ca="1" si="70"/>
        <v>0</v>
      </c>
      <c r="Y61" s="523" t="b">
        <f>COUNTIF($AC$21:AC60,AC61)+COUNTIF(AC62:$AC$74,AC61)-COUNTIF(Z61:AB61,AC61)=0</f>
        <v>0</v>
      </c>
      <c r="Z61" s="524" t="s">
        <v>718</v>
      </c>
      <c r="AA61" s="524" t="s">
        <v>718</v>
      </c>
      <c r="AB61" s="524" t="s">
        <v>718</v>
      </c>
      <c r="AC61" s="804">
        <f t="shared" si="71"/>
        <v>0</v>
      </c>
      <c r="AD61" s="463" t="b">
        <f t="shared" si="72"/>
        <v>0</v>
      </c>
      <c r="AE61" s="464" t="b">
        <f t="shared" si="73"/>
        <v>0</v>
      </c>
      <c r="AF61" s="801" t="str">
        <f t="shared" si="74"/>
        <v/>
      </c>
      <c r="AG61" s="524">
        <f t="shared" si="75"/>
        <v>0</v>
      </c>
      <c r="AH61" s="470">
        <v>2</v>
      </c>
      <c r="AI61" s="272">
        <f t="shared" si="76"/>
        <v>2</v>
      </c>
      <c r="AJ61" s="273">
        <f t="shared" si="77"/>
        <v>0</v>
      </c>
      <c r="AR61" s="486"/>
      <c r="AS61" s="486"/>
      <c r="AT61" s="271">
        <f t="shared" si="53"/>
        <v>54</v>
      </c>
      <c r="AU61" s="184" t="str">
        <f>AT61&amp;" "&amp;IF(AW61&lt;&gt;"-",【様式2】職員名簿!B91&amp;"/"&amp;AV61&amp;"/"&amp;AW61,"")</f>
        <v xml:space="preserve">54 </v>
      </c>
      <c r="AV61" s="184">
        <f>【様式2】職員名簿!E91</f>
        <v>0</v>
      </c>
      <c r="AW61" s="184" t="str">
        <f>IF(【様式2】職員名簿!J91="エラー","-",【様式2】職員名簿!J91)</f>
        <v>-</v>
      </c>
      <c r="AX61" s="413">
        <f>IF($AV61="常勤",$AM$2,IF($AV61="非常勤",【様式2】職員名簿!G91,0))</f>
        <v>0</v>
      </c>
      <c r="AY61" s="440">
        <f>IF($AW61=AY$3,COUNTIF($AW$8:$AW61,AY$3),0)</f>
        <v>0</v>
      </c>
      <c r="AZ61" s="441" t="str">
        <f t="shared" si="54"/>
        <v/>
      </c>
      <c r="BA61" s="442">
        <f>IF($AW61=BA$3,COUNTIF($AW$8:$AW61,BA$3),0)</f>
        <v>0</v>
      </c>
      <c r="BB61" s="441" t="str">
        <f t="shared" si="55"/>
        <v/>
      </c>
      <c r="BC61" s="442">
        <f>IF($AW61=BC$3,COUNTIFS($AW$8:$AW61,BC$3,$AV$8:$AV61,BC$4),0)</f>
        <v>0</v>
      </c>
      <c r="BD61" s="441" t="str">
        <f t="shared" si="56"/>
        <v/>
      </c>
      <c r="BE61" s="272">
        <f>IF($AW61=BE$3,COUNTIF($AW$8:$AW61,BE$3),0)</f>
        <v>0</v>
      </c>
      <c r="BF61" s="441" t="str">
        <f t="shared" si="57"/>
        <v/>
      </c>
      <c r="BG61" s="271">
        <f>IF(OR($AW61=BG$3,$AW61=BG$4),COUNTIF($AW$8:$AW61,BG$3)+COUNTIF($AW$8:$AW61,BG$4),0)</f>
        <v>0</v>
      </c>
      <c r="BH61" s="441" t="str">
        <f t="shared" si="58"/>
        <v/>
      </c>
      <c r="BI61" s="271">
        <f>IF($AW61=BI$3,COUNTIF($AW$8:$AW61,BI$3),0)</f>
        <v>0</v>
      </c>
      <c r="BJ61" s="441" t="str">
        <f t="shared" si="59"/>
        <v/>
      </c>
      <c r="BK61" s="271">
        <f>IF($AW61&lt;&gt;BK$3,COUNTIF($AW$8:$AW61,"&lt;&gt;"&amp;BK$3),0)</f>
        <v>0</v>
      </c>
      <c r="BL61" s="441" t="str">
        <f t="shared" si="60"/>
        <v/>
      </c>
      <c r="BM61" s="337"/>
      <c r="BN61" s="337"/>
    </row>
    <row r="62" spans="1:66" ht="15" customHeight="1">
      <c r="A62" s="2015"/>
      <c r="B62" s="2016"/>
      <c r="C62" s="2017"/>
      <c r="D62" s="2003" t="str">
        <f t="shared" si="78"/>
        <v>調理員</v>
      </c>
      <c r="E62" s="2004"/>
      <c r="F62" s="2005"/>
      <c r="G62" s="2006"/>
      <c r="H62" s="2006"/>
      <c r="I62" s="748" t="str">
        <f t="shared" si="63"/>
        <v/>
      </c>
      <c r="J62" s="754" t="str">
        <f t="shared" si="64"/>
        <v/>
      </c>
      <c r="K62" s="866"/>
      <c r="L62" s="527" t="str">
        <f t="shared" si="65"/>
        <v/>
      </c>
      <c r="M62" s="528">
        <f t="shared" si="66"/>
        <v>0</v>
      </c>
      <c r="N62" s="2007"/>
      <c r="O62" s="2008"/>
      <c r="P62" s="150"/>
      <c r="Q62" s="337"/>
      <c r="R62" s="337"/>
      <c r="S62" s="337"/>
      <c r="T62" s="801" t="s">
        <v>929</v>
      </c>
      <c r="U62" s="803">
        <f t="shared" si="68"/>
        <v>0</v>
      </c>
      <c r="V62" s="801">
        <v>2</v>
      </c>
      <c r="W62" s="801" t="b">
        <f t="shared" si="69"/>
        <v>0</v>
      </c>
      <c r="X62" s="463" t="b">
        <f t="shared" ca="1" si="70"/>
        <v>0</v>
      </c>
      <c r="Y62" s="523" t="b">
        <f>COUNTIF($AC$21:AC61,AC62)+COUNTIF(AC63:$AC$74,AC62)-COUNTIF(Z62:AB62,AC62)=0</f>
        <v>0</v>
      </c>
      <c r="Z62" s="524" t="s">
        <v>718</v>
      </c>
      <c r="AA62" s="524" t="s">
        <v>718</v>
      </c>
      <c r="AB62" s="524" t="s">
        <v>718</v>
      </c>
      <c r="AC62" s="804">
        <f t="shared" si="71"/>
        <v>0</v>
      </c>
      <c r="AD62" s="463" t="b">
        <f t="shared" si="72"/>
        <v>0</v>
      </c>
      <c r="AE62" s="464" t="b">
        <f t="shared" si="73"/>
        <v>0</v>
      </c>
      <c r="AF62" s="801" t="str">
        <f t="shared" si="74"/>
        <v/>
      </c>
      <c r="AG62" s="524">
        <f t="shared" si="75"/>
        <v>0</v>
      </c>
      <c r="AH62" s="470">
        <v>2</v>
      </c>
      <c r="AI62" s="272">
        <f t="shared" si="76"/>
        <v>2</v>
      </c>
      <c r="AJ62" s="273">
        <f t="shared" si="77"/>
        <v>0</v>
      </c>
      <c r="AR62" s="486"/>
      <c r="AS62" s="486"/>
      <c r="AT62" s="271">
        <f t="shared" si="53"/>
        <v>55</v>
      </c>
      <c r="AU62" s="184" t="str">
        <f>AT62&amp;" "&amp;IF(AW62&lt;&gt;"-",【様式2】職員名簿!B92&amp;"/"&amp;AV62&amp;"/"&amp;AW62,"")</f>
        <v xml:space="preserve">55 </v>
      </c>
      <c r="AV62" s="184">
        <f>【様式2】職員名簿!E92</f>
        <v>0</v>
      </c>
      <c r="AW62" s="184" t="str">
        <f>IF(【様式2】職員名簿!J92="エラー","-",【様式2】職員名簿!J92)</f>
        <v>-</v>
      </c>
      <c r="AX62" s="413">
        <f>IF($AV62="常勤",$AM$2,IF($AV62="非常勤",【様式2】職員名簿!G92,0))</f>
        <v>0</v>
      </c>
      <c r="AY62" s="440">
        <f>IF($AW62=AY$3,COUNTIF($AW$8:$AW62,AY$3),0)</f>
        <v>0</v>
      </c>
      <c r="AZ62" s="441" t="str">
        <f t="shared" si="54"/>
        <v/>
      </c>
      <c r="BA62" s="442">
        <f>IF($AW62=BA$3,COUNTIF($AW$8:$AW62,BA$3),0)</f>
        <v>0</v>
      </c>
      <c r="BB62" s="441" t="str">
        <f t="shared" si="55"/>
        <v/>
      </c>
      <c r="BC62" s="442">
        <f>IF($AW62=BC$3,COUNTIFS($AW$8:$AW62,BC$3,$AV$8:$AV62,BC$4),0)</f>
        <v>0</v>
      </c>
      <c r="BD62" s="441" t="str">
        <f t="shared" si="56"/>
        <v/>
      </c>
      <c r="BE62" s="272">
        <f>IF($AW62=BE$3,COUNTIF($AW$8:$AW62,BE$3),0)</f>
        <v>0</v>
      </c>
      <c r="BF62" s="441" t="str">
        <f t="shared" si="57"/>
        <v/>
      </c>
      <c r="BG62" s="271">
        <f>IF(OR($AW62=BG$3,$AW62=BG$4),COUNTIF($AW$8:$AW62,BG$3)+COUNTIF($AW$8:$AW62,BG$4),0)</f>
        <v>0</v>
      </c>
      <c r="BH62" s="441" t="str">
        <f t="shared" si="58"/>
        <v/>
      </c>
      <c r="BI62" s="271">
        <f>IF($AW62=BI$3,COUNTIF($AW$8:$AW62,BI$3),0)</f>
        <v>0</v>
      </c>
      <c r="BJ62" s="441" t="str">
        <f t="shared" si="59"/>
        <v/>
      </c>
      <c r="BK62" s="271">
        <f>IF($AW62&lt;&gt;BK$3,COUNTIF($AW$8:$AW62,"&lt;&gt;"&amp;BK$3),0)</f>
        <v>0</v>
      </c>
      <c r="BL62" s="441" t="str">
        <f t="shared" si="60"/>
        <v/>
      </c>
      <c r="BM62" s="337"/>
      <c r="BN62" s="337"/>
    </row>
    <row r="63" spans="1:66" ht="15" customHeight="1">
      <c r="A63" s="1995" t="s">
        <v>756</v>
      </c>
      <c r="B63" s="1997"/>
      <c r="C63" s="1998"/>
      <c r="D63" s="1999" t="str">
        <f t="shared" si="78"/>
        <v>全職種</v>
      </c>
      <c r="E63" s="2000"/>
      <c r="F63" s="2001"/>
      <c r="G63" s="2002"/>
      <c r="H63" s="2002"/>
      <c r="I63" s="745" t="str">
        <f t="shared" si="63"/>
        <v/>
      </c>
      <c r="J63" s="753" t="str">
        <f t="shared" si="64"/>
        <v/>
      </c>
      <c r="K63" s="863"/>
      <c r="L63" s="529" t="str">
        <f t="shared" si="65"/>
        <v/>
      </c>
      <c r="M63" s="530">
        <f t="shared" si="66"/>
        <v>0</v>
      </c>
      <c r="N63" s="1985">
        <f>SUM(M63:M72)</f>
        <v>0</v>
      </c>
      <c r="O63" s="1986"/>
      <c r="P63" s="150"/>
      <c r="Q63" s="337"/>
      <c r="R63" s="337"/>
      <c r="S63" s="337"/>
      <c r="T63" s="801" t="str">
        <f t="shared" si="79"/>
        <v>全職種</v>
      </c>
      <c r="U63" s="803">
        <f t="shared" si="68"/>
        <v>0</v>
      </c>
      <c r="V63" s="801">
        <v>2</v>
      </c>
      <c r="W63" s="801" t="b">
        <f t="shared" si="69"/>
        <v>0</v>
      </c>
      <c r="X63" s="463" t="b">
        <f t="shared" ca="1" si="70"/>
        <v>0</v>
      </c>
      <c r="Y63" s="523" t="b">
        <f>COUNTIF($AC$21:AC62,AC63)+COUNTIF(AC64:$AC$74,AC63)-COUNTIF(Z63:AB63,AC63)=0</f>
        <v>0</v>
      </c>
      <c r="Z63" s="524" t="s">
        <v>718</v>
      </c>
      <c r="AA63" s="524" t="s">
        <v>718</v>
      </c>
      <c r="AB63" s="524" t="s">
        <v>718</v>
      </c>
      <c r="AC63" s="804">
        <f t="shared" si="71"/>
        <v>0</v>
      </c>
      <c r="AD63" s="463" t="b">
        <f t="shared" si="72"/>
        <v>0</v>
      </c>
      <c r="AE63" s="464" t="b">
        <f t="shared" si="73"/>
        <v>0</v>
      </c>
      <c r="AF63" s="801" t="str">
        <f t="shared" si="74"/>
        <v/>
      </c>
      <c r="AG63" s="524">
        <f t="shared" si="75"/>
        <v>0</v>
      </c>
      <c r="AH63" s="470">
        <v>2</v>
      </c>
      <c r="AI63" s="272">
        <f t="shared" si="76"/>
        <v>2</v>
      </c>
      <c r="AJ63" s="273">
        <f t="shared" si="77"/>
        <v>0</v>
      </c>
      <c r="AR63" s="486"/>
      <c r="AS63" s="486"/>
      <c r="AT63" s="271">
        <f t="shared" si="53"/>
        <v>56</v>
      </c>
      <c r="AU63" s="184" t="str">
        <f>AT63&amp;" "&amp;IF(AW63&lt;&gt;"-",【様式2】職員名簿!B93&amp;"/"&amp;AV63&amp;"/"&amp;AW63,"")</f>
        <v xml:space="preserve">56 </v>
      </c>
      <c r="AV63" s="184">
        <f>【様式2】職員名簿!E93</f>
        <v>0</v>
      </c>
      <c r="AW63" s="184" t="str">
        <f>IF(【様式2】職員名簿!J93="エラー","-",【様式2】職員名簿!J93)</f>
        <v>-</v>
      </c>
      <c r="AX63" s="413">
        <f>IF($AV63="常勤",$AM$2,IF($AV63="非常勤",【様式2】職員名簿!G93,0))</f>
        <v>0</v>
      </c>
      <c r="AY63" s="440">
        <f>IF($AW63=AY$3,COUNTIF($AW$8:$AW63,AY$3),0)</f>
        <v>0</v>
      </c>
      <c r="AZ63" s="441" t="str">
        <f t="shared" si="54"/>
        <v/>
      </c>
      <c r="BA63" s="442">
        <f>IF($AW63=BA$3,COUNTIF($AW$8:$AW63,BA$3),0)</f>
        <v>0</v>
      </c>
      <c r="BB63" s="441" t="str">
        <f t="shared" si="55"/>
        <v/>
      </c>
      <c r="BC63" s="442">
        <f>IF($AW63=BC$3,COUNTIFS($AW$8:$AW63,BC$3,$AV$8:$AV63,BC$4),0)</f>
        <v>0</v>
      </c>
      <c r="BD63" s="441" t="str">
        <f t="shared" si="56"/>
        <v/>
      </c>
      <c r="BE63" s="272">
        <f>IF($AW63=BE$3,COUNTIF($AW$8:$AW63,BE$3),0)</f>
        <v>0</v>
      </c>
      <c r="BF63" s="441" t="str">
        <f t="shared" si="57"/>
        <v/>
      </c>
      <c r="BG63" s="271">
        <f>IF(OR($AW63=BG$3,$AW63=BG$4),COUNTIF($AW$8:$AW63,BG$3)+COUNTIF($AW$8:$AW63,BG$4),0)</f>
        <v>0</v>
      </c>
      <c r="BH63" s="441" t="str">
        <f t="shared" si="58"/>
        <v/>
      </c>
      <c r="BI63" s="271">
        <f>IF($AW63=BI$3,COUNTIF($AW$8:$AW63,BI$3),0)</f>
        <v>0</v>
      </c>
      <c r="BJ63" s="441" t="str">
        <f t="shared" si="59"/>
        <v/>
      </c>
      <c r="BK63" s="271">
        <f>IF($AW63&lt;&gt;BK$3,COUNTIF($AW$8:$AW63,"&lt;&gt;"&amp;BK$3),0)</f>
        <v>0</v>
      </c>
      <c r="BL63" s="441" t="str">
        <f t="shared" si="60"/>
        <v/>
      </c>
      <c r="BM63" s="337"/>
      <c r="BN63" s="337"/>
    </row>
    <row r="64" spans="1:66" ht="15" customHeight="1">
      <c r="A64" s="1996"/>
      <c r="B64" s="1806"/>
      <c r="C64" s="1807"/>
      <c r="D64" s="1808" t="str">
        <f t="shared" si="78"/>
        <v>全職種</v>
      </c>
      <c r="E64" s="1809"/>
      <c r="F64" s="1810"/>
      <c r="G64" s="1811"/>
      <c r="H64" s="1811"/>
      <c r="I64" s="743" t="str">
        <f t="shared" si="63"/>
        <v/>
      </c>
      <c r="J64" s="471" t="str">
        <f t="shared" si="64"/>
        <v/>
      </c>
      <c r="K64" s="864"/>
      <c r="L64" s="525" t="str">
        <f t="shared" si="65"/>
        <v/>
      </c>
      <c r="M64" s="506">
        <f t="shared" si="66"/>
        <v>0</v>
      </c>
      <c r="N64" s="1987"/>
      <c r="O64" s="1988"/>
      <c r="P64" s="150"/>
      <c r="Q64" s="337"/>
      <c r="R64" s="337"/>
      <c r="S64" s="337"/>
      <c r="T64" s="801" t="str">
        <f t="shared" si="79"/>
        <v>全職種</v>
      </c>
      <c r="U64" s="803">
        <f t="shared" si="68"/>
        <v>0</v>
      </c>
      <c r="V64" s="801">
        <v>2</v>
      </c>
      <c r="W64" s="801" t="b">
        <f t="shared" si="69"/>
        <v>0</v>
      </c>
      <c r="X64" s="463" t="b">
        <f t="shared" ca="1" si="70"/>
        <v>0</v>
      </c>
      <c r="Y64" s="523" t="b">
        <f>COUNTIF($AC$21:AC63,AC64)+COUNTIF(AC65:$AC$74,AC64)-COUNTIF(Z64:AB64,AC64)=0</f>
        <v>0</v>
      </c>
      <c r="Z64" s="524" t="s">
        <v>718</v>
      </c>
      <c r="AA64" s="524" t="s">
        <v>718</v>
      </c>
      <c r="AB64" s="524" t="s">
        <v>718</v>
      </c>
      <c r="AC64" s="804">
        <f t="shared" si="71"/>
        <v>0</v>
      </c>
      <c r="AD64" s="463" t="b">
        <f t="shared" si="72"/>
        <v>0</v>
      </c>
      <c r="AE64" s="464" t="b">
        <f t="shared" si="73"/>
        <v>0</v>
      </c>
      <c r="AF64" s="801" t="str">
        <f t="shared" si="74"/>
        <v/>
      </c>
      <c r="AG64" s="524">
        <f t="shared" si="75"/>
        <v>0</v>
      </c>
      <c r="AH64" s="470">
        <v>2</v>
      </c>
      <c r="AI64" s="272">
        <f t="shared" si="76"/>
        <v>2</v>
      </c>
      <c r="AJ64" s="273">
        <f t="shared" si="77"/>
        <v>0</v>
      </c>
      <c r="AR64" s="486"/>
      <c r="AS64" s="486"/>
      <c r="AT64" s="271">
        <f t="shared" si="53"/>
        <v>57</v>
      </c>
      <c r="AU64" s="184" t="str">
        <f>AT64&amp;" "&amp;IF(AW64&lt;&gt;"-",【様式2】職員名簿!B94&amp;"/"&amp;AV64&amp;"/"&amp;AW64,"")</f>
        <v xml:space="preserve">57 </v>
      </c>
      <c r="AV64" s="184">
        <f>【様式2】職員名簿!E94</f>
        <v>0</v>
      </c>
      <c r="AW64" s="184" t="str">
        <f>IF(【様式2】職員名簿!J94="エラー","-",【様式2】職員名簿!J94)</f>
        <v>-</v>
      </c>
      <c r="AX64" s="413">
        <f>IF($AV64="常勤",$AM$2,IF($AV64="非常勤",【様式2】職員名簿!G94,0))</f>
        <v>0</v>
      </c>
      <c r="AY64" s="440">
        <f>IF($AW64=AY$3,COUNTIF($AW$8:$AW64,AY$3),0)</f>
        <v>0</v>
      </c>
      <c r="AZ64" s="441" t="str">
        <f t="shared" si="54"/>
        <v/>
      </c>
      <c r="BA64" s="442">
        <f>IF($AW64=BA$3,COUNTIF($AW$8:$AW64,BA$3),0)</f>
        <v>0</v>
      </c>
      <c r="BB64" s="441" t="str">
        <f t="shared" si="55"/>
        <v/>
      </c>
      <c r="BC64" s="442">
        <f>IF($AW64=BC$3,COUNTIFS($AW$8:$AW64,BC$3,$AV$8:$AV64,BC$4),0)</f>
        <v>0</v>
      </c>
      <c r="BD64" s="441" t="str">
        <f t="shared" si="56"/>
        <v/>
      </c>
      <c r="BE64" s="272">
        <f>IF($AW64=BE$3,COUNTIF($AW$8:$AW64,BE$3),0)</f>
        <v>0</v>
      </c>
      <c r="BF64" s="441" t="str">
        <f t="shared" si="57"/>
        <v/>
      </c>
      <c r="BG64" s="271">
        <f>IF(OR($AW64=BG$3,$AW64=BG$4),COUNTIF($AW$8:$AW64,BG$3)+COUNTIF($AW$8:$AW64,BG$4),0)</f>
        <v>0</v>
      </c>
      <c r="BH64" s="441" t="str">
        <f t="shared" si="58"/>
        <v/>
      </c>
      <c r="BI64" s="271">
        <f>IF($AW64=BI$3,COUNTIF($AW$8:$AW64,BI$3),0)</f>
        <v>0</v>
      </c>
      <c r="BJ64" s="441" t="str">
        <f t="shared" si="59"/>
        <v/>
      </c>
      <c r="BK64" s="271">
        <f>IF($AW64&lt;&gt;BK$3,COUNTIF($AW$8:$AW64,"&lt;&gt;"&amp;BK$3),0)</f>
        <v>0</v>
      </c>
      <c r="BL64" s="441" t="str">
        <f t="shared" si="60"/>
        <v/>
      </c>
      <c r="BM64" s="337"/>
      <c r="BN64" s="337"/>
    </row>
    <row r="65" spans="1:66" ht="15" customHeight="1">
      <c r="A65" s="1996"/>
      <c r="B65" s="1806"/>
      <c r="C65" s="1807"/>
      <c r="D65" s="1808" t="str">
        <f t="shared" si="78"/>
        <v>全職種</v>
      </c>
      <c r="E65" s="1809"/>
      <c r="F65" s="1810"/>
      <c r="G65" s="1811"/>
      <c r="H65" s="1811"/>
      <c r="I65" s="743" t="str">
        <f t="shared" si="63"/>
        <v/>
      </c>
      <c r="J65" s="471" t="str">
        <f t="shared" si="64"/>
        <v/>
      </c>
      <c r="K65" s="864"/>
      <c r="L65" s="525" t="str">
        <f t="shared" si="65"/>
        <v/>
      </c>
      <c r="M65" s="506">
        <f t="shared" si="66"/>
        <v>0</v>
      </c>
      <c r="N65" s="1987"/>
      <c r="O65" s="1988"/>
      <c r="P65" s="150"/>
      <c r="Q65" s="337"/>
      <c r="R65" s="337"/>
      <c r="S65" s="337"/>
      <c r="T65" s="801" t="str">
        <f t="shared" si="79"/>
        <v>全職種</v>
      </c>
      <c r="U65" s="803">
        <f t="shared" si="68"/>
        <v>0</v>
      </c>
      <c r="V65" s="801">
        <v>2</v>
      </c>
      <c r="W65" s="801" t="b">
        <f t="shared" si="69"/>
        <v>0</v>
      </c>
      <c r="X65" s="463" t="b">
        <f t="shared" ca="1" si="70"/>
        <v>0</v>
      </c>
      <c r="Y65" s="523" t="b">
        <f>COUNTIF($AC$21:AC64,AC65)+COUNTIF(AC66:$AC$74,AC65)-COUNTIF(Z65:AB65,AC65)=0</f>
        <v>0</v>
      </c>
      <c r="Z65" s="524" t="s">
        <v>718</v>
      </c>
      <c r="AA65" s="524" t="s">
        <v>718</v>
      </c>
      <c r="AB65" s="524" t="s">
        <v>718</v>
      </c>
      <c r="AC65" s="804">
        <f t="shared" si="71"/>
        <v>0</v>
      </c>
      <c r="AD65" s="463" t="b">
        <f t="shared" si="72"/>
        <v>0</v>
      </c>
      <c r="AE65" s="464" t="b">
        <f t="shared" si="73"/>
        <v>0</v>
      </c>
      <c r="AF65" s="801" t="str">
        <f t="shared" si="74"/>
        <v/>
      </c>
      <c r="AG65" s="524">
        <f t="shared" si="75"/>
        <v>0</v>
      </c>
      <c r="AH65" s="470">
        <v>2</v>
      </c>
      <c r="AI65" s="272">
        <f t="shared" si="76"/>
        <v>2</v>
      </c>
      <c r="AJ65" s="273">
        <f t="shared" si="77"/>
        <v>0</v>
      </c>
      <c r="AR65" s="486"/>
      <c r="AS65" s="486"/>
      <c r="AT65" s="271">
        <f t="shared" si="53"/>
        <v>58</v>
      </c>
      <c r="AU65" s="184" t="str">
        <f>AT65&amp;" "&amp;IF(AW65&lt;&gt;"-",【様式2】職員名簿!B95&amp;"/"&amp;AV65&amp;"/"&amp;AW65,"")</f>
        <v xml:space="preserve">58 </v>
      </c>
      <c r="AV65" s="184">
        <f>【様式2】職員名簿!E95</f>
        <v>0</v>
      </c>
      <c r="AW65" s="184" t="str">
        <f>IF(【様式2】職員名簿!J95="エラー","-",【様式2】職員名簿!J95)</f>
        <v>-</v>
      </c>
      <c r="AX65" s="413">
        <f>IF($AV65="常勤",$AM$2,IF($AV65="非常勤",【様式2】職員名簿!G95,0))</f>
        <v>0</v>
      </c>
      <c r="AY65" s="440">
        <f>IF($AW65=AY$3,COUNTIF($AW$8:$AW65,AY$3),0)</f>
        <v>0</v>
      </c>
      <c r="AZ65" s="441" t="str">
        <f t="shared" si="54"/>
        <v/>
      </c>
      <c r="BA65" s="442">
        <f>IF($AW65=BA$3,COUNTIF($AW$8:$AW65,BA$3),0)</f>
        <v>0</v>
      </c>
      <c r="BB65" s="441" t="str">
        <f t="shared" si="55"/>
        <v/>
      </c>
      <c r="BC65" s="442">
        <f>IF($AW65=BC$3,COUNTIFS($AW$8:$AW65,BC$3,$AV$8:$AV65,BC$4),0)</f>
        <v>0</v>
      </c>
      <c r="BD65" s="441" t="str">
        <f t="shared" si="56"/>
        <v/>
      </c>
      <c r="BE65" s="272">
        <f>IF($AW65=BE$3,COUNTIF($AW$8:$AW65,BE$3),0)</f>
        <v>0</v>
      </c>
      <c r="BF65" s="441" t="str">
        <f t="shared" si="57"/>
        <v/>
      </c>
      <c r="BG65" s="271">
        <f>IF(OR($AW65=BG$3,$AW65=BG$4),COUNTIF($AW$8:$AW65,BG$3)+COUNTIF($AW$8:$AW65,BG$4),0)</f>
        <v>0</v>
      </c>
      <c r="BH65" s="441" t="str">
        <f t="shared" si="58"/>
        <v/>
      </c>
      <c r="BI65" s="271">
        <f>IF($AW65=BI$3,COUNTIF($AW$8:$AW65,BI$3),0)</f>
        <v>0</v>
      </c>
      <c r="BJ65" s="441" t="str">
        <f t="shared" si="59"/>
        <v/>
      </c>
      <c r="BK65" s="271">
        <f>IF($AW65&lt;&gt;BK$3,COUNTIF($AW$8:$AW65,"&lt;&gt;"&amp;BK$3),0)</f>
        <v>0</v>
      </c>
      <c r="BL65" s="441" t="str">
        <f t="shared" si="60"/>
        <v/>
      </c>
      <c r="BM65" s="337"/>
      <c r="BN65" s="337"/>
    </row>
    <row r="66" spans="1:66" ht="15" customHeight="1">
      <c r="A66" s="1996"/>
      <c r="B66" s="1806"/>
      <c r="C66" s="1807"/>
      <c r="D66" s="1808" t="str">
        <f t="shared" si="78"/>
        <v>全職種</v>
      </c>
      <c r="E66" s="1809"/>
      <c r="F66" s="1810"/>
      <c r="G66" s="1811"/>
      <c r="H66" s="1811"/>
      <c r="I66" s="743" t="str">
        <f t="shared" si="63"/>
        <v/>
      </c>
      <c r="J66" s="471" t="str">
        <f t="shared" si="64"/>
        <v/>
      </c>
      <c r="K66" s="864"/>
      <c r="L66" s="525" t="str">
        <f t="shared" si="65"/>
        <v/>
      </c>
      <c r="M66" s="506">
        <f t="shared" si="66"/>
        <v>0</v>
      </c>
      <c r="N66" s="1987"/>
      <c r="O66" s="1988"/>
      <c r="P66" s="150"/>
      <c r="Q66" s="337"/>
      <c r="R66" s="337"/>
      <c r="S66" s="337"/>
      <c r="T66" s="801" t="str">
        <f t="shared" si="79"/>
        <v>全職種</v>
      </c>
      <c r="U66" s="803">
        <f t="shared" si="68"/>
        <v>0</v>
      </c>
      <c r="V66" s="801">
        <v>2</v>
      </c>
      <c r="W66" s="801" t="b">
        <f t="shared" si="69"/>
        <v>0</v>
      </c>
      <c r="X66" s="463" t="b">
        <f t="shared" ca="1" si="70"/>
        <v>0</v>
      </c>
      <c r="Y66" s="523" t="b">
        <f>COUNTIF($AC$21:AC65,AC66)+COUNTIF(AC67:$AC$74,AC66)-COUNTIF(Z66:AB66,AC66)=0</f>
        <v>0</v>
      </c>
      <c r="Z66" s="524" t="s">
        <v>718</v>
      </c>
      <c r="AA66" s="524" t="s">
        <v>718</v>
      </c>
      <c r="AB66" s="524" t="s">
        <v>718</v>
      </c>
      <c r="AC66" s="804">
        <f t="shared" si="71"/>
        <v>0</v>
      </c>
      <c r="AD66" s="463" t="b">
        <f t="shared" si="72"/>
        <v>0</v>
      </c>
      <c r="AE66" s="464" t="b">
        <f t="shared" si="73"/>
        <v>0</v>
      </c>
      <c r="AF66" s="801" t="str">
        <f t="shared" si="74"/>
        <v/>
      </c>
      <c r="AG66" s="524">
        <f t="shared" si="75"/>
        <v>0</v>
      </c>
      <c r="AH66" s="470">
        <v>2</v>
      </c>
      <c r="AI66" s="272">
        <f t="shared" si="76"/>
        <v>2</v>
      </c>
      <c r="AJ66" s="273">
        <f t="shared" si="77"/>
        <v>0</v>
      </c>
      <c r="AR66" s="486"/>
      <c r="AS66" s="486"/>
      <c r="AT66" s="271">
        <f t="shared" si="53"/>
        <v>59</v>
      </c>
      <c r="AU66" s="184" t="str">
        <f>AT66&amp;" "&amp;IF(AW66&lt;&gt;"-",【様式2】職員名簿!B96&amp;"/"&amp;AV66&amp;"/"&amp;AW66,"")</f>
        <v xml:space="preserve">59 </v>
      </c>
      <c r="AV66" s="184">
        <f>【様式2】職員名簿!E96</f>
        <v>0</v>
      </c>
      <c r="AW66" s="184" t="str">
        <f>IF(【様式2】職員名簿!J96="エラー","-",【様式2】職員名簿!J96)</f>
        <v>-</v>
      </c>
      <c r="AX66" s="413">
        <f>IF($AV66="常勤",$AM$2,IF($AV66="非常勤",【様式2】職員名簿!G96,0))</f>
        <v>0</v>
      </c>
      <c r="AY66" s="440">
        <f>IF($AW66=AY$3,COUNTIF($AW$8:$AW66,AY$3),0)</f>
        <v>0</v>
      </c>
      <c r="AZ66" s="441" t="str">
        <f t="shared" si="54"/>
        <v/>
      </c>
      <c r="BA66" s="442">
        <f>IF($AW66=BA$3,COUNTIF($AW$8:$AW66,BA$3),0)</f>
        <v>0</v>
      </c>
      <c r="BB66" s="441" t="str">
        <f t="shared" si="55"/>
        <v/>
      </c>
      <c r="BC66" s="442">
        <f>IF($AW66=BC$3,COUNTIFS($AW$8:$AW66,BC$3,$AV$8:$AV66,BC$4),0)</f>
        <v>0</v>
      </c>
      <c r="BD66" s="441" t="str">
        <f t="shared" si="56"/>
        <v/>
      </c>
      <c r="BE66" s="272">
        <f>IF($AW66=BE$3,COUNTIF($AW$8:$AW66,BE$3),0)</f>
        <v>0</v>
      </c>
      <c r="BF66" s="441" t="str">
        <f t="shared" si="57"/>
        <v/>
      </c>
      <c r="BG66" s="271">
        <f>IF(OR($AW66=BG$3,$AW66=BG$4),COUNTIF($AW$8:$AW66,BG$3)+COUNTIF($AW$8:$AW66,BG$4),0)</f>
        <v>0</v>
      </c>
      <c r="BH66" s="441" t="str">
        <f t="shared" si="58"/>
        <v/>
      </c>
      <c r="BI66" s="271">
        <f>IF($AW66=BI$3,COUNTIF($AW$8:$AW66,BI$3),0)</f>
        <v>0</v>
      </c>
      <c r="BJ66" s="441" t="str">
        <f t="shared" si="59"/>
        <v/>
      </c>
      <c r="BK66" s="271">
        <f>IF($AW66&lt;&gt;BK$3,COUNTIF($AW$8:$AW66,"&lt;&gt;"&amp;BK$3),0)</f>
        <v>0</v>
      </c>
      <c r="BL66" s="441" t="str">
        <f t="shared" si="60"/>
        <v/>
      </c>
      <c r="BM66" s="337"/>
      <c r="BN66" s="337"/>
    </row>
    <row r="67" spans="1:66" ht="15" customHeight="1">
      <c r="A67" s="1996"/>
      <c r="B67" s="1806"/>
      <c r="C67" s="1807"/>
      <c r="D67" s="1808" t="str">
        <f t="shared" si="78"/>
        <v>全職種</v>
      </c>
      <c r="E67" s="1809"/>
      <c r="F67" s="1810"/>
      <c r="G67" s="1811"/>
      <c r="H67" s="1811"/>
      <c r="I67" s="743" t="str">
        <f t="shared" si="63"/>
        <v/>
      </c>
      <c r="J67" s="471" t="str">
        <f t="shared" si="64"/>
        <v/>
      </c>
      <c r="K67" s="864"/>
      <c r="L67" s="525" t="str">
        <f t="shared" si="65"/>
        <v/>
      </c>
      <c r="M67" s="506">
        <f t="shared" si="66"/>
        <v>0</v>
      </c>
      <c r="N67" s="1987"/>
      <c r="O67" s="1988"/>
      <c r="P67" s="150"/>
      <c r="Q67" s="337"/>
      <c r="R67" s="337"/>
      <c r="S67" s="337"/>
      <c r="T67" s="801" t="str">
        <f t="shared" si="79"/>
        <v>全職種</v>
      </c>
      <c r="U67" s="803">
        <f t="shared" si="68"/>
        <v>0</v>
      </c>
      <c r="V67" s="801">
        <v>2</v>
      </c>
      <c r="W67" s="801" t="b">
        <f t="shared" si="69"/>
        <v>0</v>
      </c>
      <c r="X67" s="463" t="b">
        <f t="shared" ca="1" si="70"/>
        <v>0</v>
      </c>
      <c r="Y67" s="523" t="b">
        <f>COUNTIF($AC$21:AC66,AC67)+COUNTIF(AC68:$AC$74,AC67)-COUNTIF(Z67:AB67,AC67)=0</f>
        <v>0</v>
      </c>
      <c r="Z67" s="524" t="s">
        <v>718</v>
      </c>
      <c r="AA67" s="524" t="s">
        <v>718</v>
      </c>
      <c r="AB67" s="524" t="s">
        <v>718</v>
      </c>
      <c r="AC67" s="804">
        <f t="shared" si="71"/>
        <v>0</v>
      </c>
      <c r="AD67" s="463" t="b">
        <f t="shared" si="72"/>
        <v>0</v>
      </c>
      <c r="AE67" s="464" t="b">
        <f t="shared" si="73"/>
        <v>0</v>
      </c>
      <c r="AF67" s="801" t="str">
        <f t="shared" si="74"/>
        <v/>
      </c>
      <c r="AG67" s="524">
        <f t="shared" si="75"/>
        <v>0</v>
      </c>
      <c r="AH67" s="470">
        <v>2</v>
      </c>
      <c r="AI67" s="272">
        <f t="shared" si="76"/>
        <v>2</v>
      </c>
      <c r="AJ67" s="273">
        <f t="shared" si="77"/>
        <v>0</v>
      </c>
      <c r="AP67" s="486"/>
      <c r="AR67" s="486"/>
      <c r="AT67" s="271">
        <f t="shared" si="53"/>
        <v>60</v>
      </c>
      <c r="AU67" s="184" t="str">
        <f>AT67&amp;" "&amp;IF(AW67&lt;&gt;"-",【様式2】職員名簿!B97&amp;"/"&amp;AV67&amp;"/"&amp;AW67,"")</f>
        <v xml:space="preserve">60 </v>
      </c>
      <c r="AV67" s="184">
        <f>【様式2】職員名簿!E97</f>
        <v>0</v>
      </c>
      <c r="AW67" s="184" t="str">
        <f>IF(【様式2】職員名簿!J97="エラー","-",【様式2】職員名簿!J97)</f>
        <v>-</v>
      </c>
      <c r="AX67" s="413">
        <f>IF($AV67="常勤",$AM$2,IF($AV67="非常勤",【様式2】職員名簿!G97,0))</f>
        <v>0</v>
      </c>
      <c r="AY67" s="440">
        <f>IF($AW67=AY$3,COUNTIF($AW$8:$AW67,AY$3),0)</f>
        <v>0</v>
      </c>
      <c r="AZ67" s="441" t="str">
        <f t="shared" si="54"/>
        <v/>
      </c>
      <c r="BA67" s="442">
        <f>IF($AW67=BA$3,COUNTIF($AW$8:$AW67,BA$3),0)</f>
        <v>0</v>
      </c>
      <c r="BB67" s="441" t="str">
        <f t="shared" si="55"/>
        <v/>
      </c>
      <c r="BC67" s="442">
        <f>IF($AW67=BC$3,COUNTIFS($AW$8:$AW67,BC$3,$AV$8:$AV67,BC$4),0)</f>
        <v>0</v>
      </c>
      <c r="BD67" s="441" t="str">
        <f t="shared" si="56"/>
        <v/>
      </c>
      <c r="BE67" s="272">
        <f>IF($AW67=BE$3,COUNTIF($AW$8:$AW67,BE$3),0)</f>
        <v>0</v>
      </c>
      <c r="BF67" s="441" t="str">
        <f t="shared" si="57"/>
        <v/>
      </c>
      <c r="BG67" s="271">
        <f>IF(OR($AW67=BG$3,$AW67=BG$4),COUNTIF($AW$8:$AW67,BG$3)+COUNTIF($AW$8:$AW67,BG$4),0)</f>
        <v>0</v>
      </c>
      <c r="BH67" s="441" t="str">
        <f t="shared" si="58"/>
        <v/>
      </c>
      <c r="BI67" s="271">
        <f>IF($AW67=BI$3,COUNTIF($AW$8:$AW67,BI$3),0)</f>
        <v>0</v>
      </c>
      <c r="BJ67" s="441" t="str">
        <f t="shared" si="59"/>
        <v/>
      </c>
      <c r="BK67" s="271">
        <f>IF($AW67&lt;&gt;BK$3,COUNTIF($AW$8:$AW67,"&lt;&gt;"&amp;BK$3),0)</f>
        <v>0</v>
      </c>
      <c r="BL67" s="441" t="str">
        <f t="shared" si="60"/>
        <v/>
      </c>
      <c r="BM67" s="337"/>
      <c r="BN67" s="337"/>
    </row>
    <row r="68" spans="1:66" ht="15" customHeight="1">
      <c r="A68" s="1996"/>
      <c r="B68" s="1806"/>
      <c r="C68" s="1807"/>
      <c r="D68" s="1808" t="str">
        <f t="shared" si="78"/>
        <v>全職種</v>
      </c>
      <c r="E68" s="1809"/>
      <c r="F68" s="1810"/>
      <c r="G68" s="1811"/>
      <c r="H68" s="1811"/>
      <c r="I68" s="743" t="str">
        <f t="shared" si="63"/>
        <v/>
      </c>
      <c r="J68" s="471" t="str">
        <f t="shared" si="64"/>
        <v/>
      </c>
      <c r="K68" s="864"/>
      <c r="L68" s="525" t="str">
        <f t="shared" si="65"/>
        <v/>
      </c>
      <c r="M68" s="506">
        <f t="shared" si="66"/>
        <v>0</v>
      </c>
      <c r="N68" s="1987"/>
      <c r="O68" s="1988"/>
      <c r="P68" s="150"/>
      <c r="Q68" s="337"/>
      <c r="R68" s="337"/>
      <c r="S68" s="337"/>
      <c r="T68" s="801" t="str">
        <f t="shared" si="79"/>
        <v>全職種</v>
      </c>
      <c r="U68" s="803">
        <f t="shared" si="68"/>
        <v>0</v>
      </c>
      <c r="V68" s="801">
        <v>2</v>
      </c>
      <c r="W68" s="801" t="b">
        <f t="shared" si="69"/>
        <v>0</v>
      </c>
      <c r="X68" s="463" t="b">
        <f t="shared" ca="1" si="70"/>
        <v>0</v>
      </c>
      <c r="Y68" s="523" t="b">
        <f>COUNTIF($AC$21:AC67,AC68)+COUNTIF(AC69:$AC$74,AC68)-COUNTIF(Z68:AB68,AC68)=0</f>
        <v>0</v>
      </c>
      <c r="Z68" s="524" t="s">
        <v>718</v>
      </c>
      <c r="AA68" s="524" t="s">
        <v>718</v>
      </c>
      <c r="AB68" s="524" t="s">
        <v>718</v>
      </c>
      <c r="AC68" s="804">
        <f t="shared" si="71"/>
        <v>0</v>
      </c>
      <c r="AD68" s="463" t="b">
        <f t="shared" si="72"/>
        <v>0</v>
      </c>
      <c r="AE68" s="464" t="b">
        <f t="shared" si="73"/>
        <v>0</v>
      </c>
      <c r="AF68" s="801" t="str">
        <f t="shared" si="74"/>
        <v/>
      </c>
      <c r="AG68" s="524">
        <f t="shared" si="75"/>
        <v>0</v>
      </c>
      <c r="AH68" s="470">
        <v>2</v>
      </c>
      <c r="AI68" s="272">
        <f t="shared" si="76"/>
        <v>2</v>
      </c>
      <c r="AJ68" s="273">
        <f t="shared" si="77"/>
        <v>0</v>
      </c>
      <c r="AP68" s="486"/>
      <c r="AR68" s="486"/>
      <c r="AS68" s="486"/>
      <c r="AT68" s="271">
        <f t="shared" si="53"/>
        <v>61</v>
      </c>
      <c r="AU68" s="184" t="str">
        <f>AT68&amp;" "&amp;IF(AW68&lt;&gt;"-",【様式2】職員名簿!B98&amp;"/"&amp;AV68&amp;"/"&amp;AW68,"")</f>
        <v xml:space="preserve">61 </v>
      </c>
      <c r="AV68" s="184">
        <f>【様式2】職員名簿!E98</f>
        <v>0</v>
      </c>
      <c r="AW68" s="184" t="str">
        <f>IF(【様式2】職員名簿!J98="エラー","-",【様式2】職員名簿!J98)</f>
        <v>-</v>
      </c>
      <c r="AX68" s="413">
        <f>IF($AV68="常勤",$AM$2,IF($AV68="非常勤",【様式2】職員名簿!G98,0))</f>
        <v>0</v>
      </c>
      <c r="AY68" s="440">
        <f>IF($AW68=AY$3,COUNTIF($AW$8:$AW68,AY$3),0)</f>
        <v>0</v>
      </c>
      <c r="AZ68" s="441" t="str">
        <f t="shared" si="54"/>
        <v/>
      </c>
      <c r="BA68" s="442">
        <f>IF($AW68=BA$3,COUNTIF($AW$8:$AW68,BA$3),0)</f>
        <v>0</v>
      </c>
      <c r="BB68" s="441" t="str">
        <f t="shared" si="55"/>
        <v/>
      </c>
      <c r="BC68" s="442">
        <f>IF($AW68=BC$3,COUNTIFS($AW$8:$AW68,BC$3,$AV$8:$AV68,BC$4),0)</f>
        <v>0</v>
      </c>
      <c r="BD68" s="441" t="str">
        <f t="shared" si="56"/>
        <v/>
      </c>
      <c r="BE68" s="272">
        <f>IF($AW68=BE$3,COUNTIF($AW$8:$AW68,BE$3),0)</f>
        <v>0</v>
      </c>
      <c r="BF68" s="441" t="str">
        <f t="shared" si="57"/>
        <v/>
      </c>
      <c r="BG68" s="271">
        <f>IF(OR($AW68=BG$3,$AW68=BG$4),COUNTIF($AW$8:$AW68,BG$3)+COUNTIF($AW$8:$AW68,BG$4),0)</f>
        <v>0</v>
      </c>
      <c r="BH68" s="441" t="str">
        <f t="shared" si="58"/>
        <v/>
      </c>
      <c r="BI68" s="271">
        <f>IF($AW68=BI$3,COUNTIF($AW$8:$AW68,BI$3),0)</f>
        <v>0</v>
      </c>
      <c r="BJ68" s="441" t="str">
        <f t="shared" si="59"/>
        <v/>
      </c>
      <c r="BK68" s="271">
        <f>IF($AW68&lt;&gt;BK$3,COUNTIF($AW$8:$AW68,"&lt;&gt;"&amp;BK$3),0)</f>
        <v>0</v>
      </c>
      <c r="BL68" s="441" t="str">
        <f t="shared" si="60"/>
        <v/>
      </c>
      <c r="BM68" s="337"/>
      <c r="BN68" s="337"/>
    </row>
    <row r="69" spans="1:66" ht="15" customHeight="1">
      <c r="A69" s="1996"/>
      <c r="B69" s="1806"/>
      <c r="C69" s="1807"/>
      <c r="D69" s="1808" t="str">
        <f t="shared" si="78"/>
        <v>全職種</v>
      </c>
      <c r="E69" s="1809"/>
      <c r="F69" s="1810"/>
      <c r="G69" s="1811"/>
      <c r="H69" s="1811"/>
      <c r="I69" s="743" t="str">
        <f t="shared" si="63"/>
        <v/>
      </c>
      <c r="J69" s="471" t="str">
        <f t="shared" si="64"/>
        <v/>
      </c>
      <c r="K69" s="864"/>
      <c r="L69" s="525" t="str">
        <f t="shared" si="65"/>
        <v/>
      </c>
      <c r="M69" s="506">
        <f t="shared" si="66"/>
        <v>0</v>
      </c>
      <c r="N69" s="1987"/>
      <c r="O69" s="1988"/>
      <c r="P69" s="150"/>
      <c r="Q69" s="337"/>
      <c r="R69" s="337"/>
      <c r="S69" s="337"/>
      <c r="T69" s="801" t="str">
        <f t="shared" si="79"/>
        <v>全職種</v>
      </c>
      <c r="U69" s="803">
        <f t="shared" si="68"/>
        <v>0</v>
      </c>
      <c r="V69" s="801">
        <v>2</v>
      </c>
      <c r="W69" s="801" t="b">
        <f t="shared" si="69"/>
        <v>0</v>
      </c>
      <c r="X69" s="463" t="b">
        <f t="shared" ca="1" si="70"/>
        <v>0</v>
      </c>
      <c r="Y69" s="523" t="b">
        <f>COUNTIF($AC$21:AC68,AC69)+COUNTIF(AC70:$AC$74,AC69)-COUNTIF(Z69:AB69,AC69)=0</f>
        <v>0</v>
      </c>
      <c r="Z69" s="524" t="s">
        <v>718</v>
      </c>
      <c r="AA69" s="524" t="s">
        <v>718</v>
      </c>
      <c r="AB69" s="524" t="s">
        <v>718</v>
      </c>
      <c r="AC69" s="804">
        <f t="shared" si="71"/>
        <v>0</v>
      </c>
      <c r="AD69" s="463" t="b">
        <f t="shared" si="72"/>
        <v>0</v>
      </c>
      <c r="AE69" s="464" t="b">
        <f t="shared" si="73"/>
        <v>0</v>
      </c>
      <c r="AF69" s="801" t="str">
        <f t="shared" si="74"/>
        <v/>
      </c>
      <c r="AG69" s="524">
        <f t="shared" si="75"/>
        <v>0</v>
      </c>
      <c r="AH69" s="470">
        <v>2</v>
      </c>
      <c r="AI69" s="272">
        <f t="shared" si="76"/>
        <v>2</v>
      </c>
      <c r="AJ69" s="273">
        <f t="shared" si="77"/>
        <v>0</v>
      </c>
      <c r="AP69" s="486"/>
      <c r="AS69" s="486"/>
      <c r="AT69" s="271">
        <f t="shared" si="53"/>
        <v>62</v>
      </c>
      <c r="AU69" s="184" t="str">
        <f>AT69&amp;" "&amp;IF(AW69&lt;&gt;"-",【様式2】職員名簿!B99&amp;"/"&amp;AV69&amp;"/"&amp;AW69,"")</f>
        <v xml:space="preserve">62 </v>
      </c>
      <c r="AV69" s="184">
        <f>【様式2】職員名簿!E99</f>
        <v>0</v>
      </c>
      <c r="AW69" s="184" t="str">
        <f>IF(【様式2】職員名簿!J99="エラー","-",【様式2】職員名簿!J99)</f>
        <v>-</v>
      </c>
      <c r="AX69" s="413">
        <f>IF($AV69="常勤",$AM$2,IF($AV69="非常勤",【様式2】職員名簿!G99,0))</f>
        <v>0</v>
      </c>
      <c r="AY69" s="440">
        <f>IF($AW69=AY$3,COUNTIF($AW$8:$AW69,AY$3),0)</f>
        <v>0</v>
      </c>
      <c r="AZ69" s="441" t="str">
        <f t="shared" si="54"/>
        <v/>
      </c>
      <c r="BA69" s="442">
        <f>IF($AW69=BA$3,COUNTIF($AW$8:$AW69,BA$3),0)</f>
        <v>0</v>
      </c>
      <c r="BB69" s="441" t="str">
        <f t="shared" si="55"/>
        <v/>
      </c>
      <c r="BC69" s="442">
        <f>IF($AW69=BC$3,COUNTIFS($AW$8:$AW69,BC$3,$AV$8:$AV69,BC$4),0)</f>
        <v>0</v>
      </c>
      <c r="BD69" s="441" t="str">
        <f t="shared" si="56"/>
        <v/>
      </c>
      <c r="BE69" s="272">
        <f>IF($AW69=BE$3,COUNTIF($AW$8:$AW69,BE$3),0)</f>
        <v>0</v>
      </c>
      <c r="BF69" s="441" t="str">
        <f t="shared" si="57"/>
        <v/>
      </c>
      <c r="BG69" s="271">
        <f>IF(OR($AW69=BG$3,$AW69=BG$4),COUNTIF($AW$8:$AW69,BG$3)+COUNTIF($AW$8:$AW69,BG$4),0)</f>
        <v>0</v>
      </c>
      <c r="BH69" s="441" t="str">
        <f t="shared" si="58"/>
        <v/>
      </c>
      <c r="BI69" s="271">
        <f>IF($AW69=BI$3,COUNTIF($AW$8:$AW69,BI$3),0)</f>
        <v>0</v>
      </c>
      <c r="BJ69" s="441" t="str">
        <f t="shared" si="59"/>
        <v/>
      </c>
      <c r="BK69" s="271">
        <f>IF($AW69&lt;&gt;BK$3,COUNTIF($AW$8:$AW69,"&lt;&gt;"&amp;BK$3),0)</f>
        <v>0</v>
      </c>
      <c r="BL69" s="441" t="str">
        <f t="shared" si="60"/>
        <v/>
      </c>
      <c r="BM69" s="337"/>
      <c r="BN69" s="337"/>
    </row>
    <row r="70" spans="1:66" ht="15" customHeight="1">
      <c r="A70" s="1996"/>
      <c r="B70" s="1806"/>
      <c r="C70" s="1807"/>
      <c r="D70" s="1808" t="str">
        <f t="shared" si="78"/>
        <v>全職種</v>
      </c>
      <c r="E70" s="1809"/>
      <c r="F70" s="1810"/>
      <c r="G70" s="1811"/>
      <c r="H70" s="1811"/>
      <c r="I70" s="743" t="str">
        <f t="shared" si="63"/>
        <v/>
      </c>
      <c r="J70" s="471" t="str">
        <f t="shared" si="64"/>
        <v/>
      </c>
      <c r="K70" s="864"/>
      <c r="L70" s="525" t="str">
        <f t="shared" si="65"/>
        <v/>
      </c>
      <c r="M70" s="506">
        <f t="shared" si="66"/>
        <v>0</v>
      </c>
      <c r="N70" s="1987"/>
      <c r="O70" s="1988"/>
      <c r="P70" s="150"/>
      <c r="Q70" s="337"/>
      <c r="R70" s="337"/>
      <c r="S70" s="337"/>
      <c r="T70" s="801" t="str">
        <f t="shared" si="79"/>
        <v>全職種</v>
      </c>
      <c r="U70" s="803">
        <f t="shared" si="68"/>
        <v>0</v>
      </c>
      <c r="V70" s="801">
        <v>2</v>
      </c>
      <c r="W70" s="801" t="b">
        <f t="shared" si="69"/>
        <v>0</v>
      </c>
      <c r="X70" s="463" t="b">
        <f t="shared" ca="1" si="70"/>
        <v>0</v>
      </c>
      <c r="Y70" s="523" t="b">
        <f>COUNTIF($AC$21:AC69,AC70)+COUNTIF(AC71:$AC$74,AC70)-COUNTIF(Z70:AB70,AC70)=0</f>
        <v>0</v>
      </c>
      <c r="Z70" s="524" t="s">
        <v>718</v>
      </c>
      <c r="AA70" s="524" t="s">
        <v>718</v>
      </c>
      <c r="AB70" s="524" t="s">
        <v>718</v>
      </c>
      <c r="AC70" s="804">
        <f t="shared" si="71"/>
        <v>0</v>
      </c>
      <c r="AD70" s="463" t="b">
        <f t="shared" si="72"/>
        <v>0</v>
      </c>
      <c r="AE70" s="464" t="b">
        <f t="shared" si="73"/>
        <v>0</v>
      </c>
      <c r="AF70" s="801" t="str">
        <f t="shared" si="74"/>
        <v/>
      </c>
      <c r="AG70" s="524">
        <f t="shared" si="75"/>
        <v>0</v>
      </c>
      <c r="AH70" s="470">
        <v>2</v>
      </c>
      <c r="AI70" s="272">
        <f t="shared" si="76"/>
        <v>2</v>
      </c>
      <c r="AJ70" s="273">
        <f t="shared" si="77"/>
        <v>0</v>
      </c>
      <c r="AR70" s="486"/>
      <c r="AS70" s="486"/>
      <c r="AT70" s="271">
        <f t="shared" si="53"/>
        <v>63</v>
      </c>
      <c r="AU70" s="184" t="str">
        <f>AT70&amp;" "&amp;IF(AW70&lt;&gt;"-",【様式2】職員名簿!B100&amp;"/"&amp;AV70&amp;"/"&amp;AW70,"")</f>
        <v xml:space="preserve">63 </v>
      </c>
      <c r="AV70" s="184">
        <f>【様式2】職員名簿!E100</f>
        <v>0</v>
      </c>
      <c r="AW70" s="184" t="str">
        <f>IF(【様式2】職員名簿!J100="エラー","-",【様式2】職員名簿!J100)</f>
        <v>-</v>
      </c>
      <c r="AX70" s="413">
        <f>IF($AV70="常勤",$AM$2,IF($AV70="非常勤",【様式2】職員名簿!G100,0))</f>
        <v>0</v>
      </c>
      <c r="AY70" s="440">
        <f>IF($AW70=AY$3,COUNTIF($AW$8:$AW70,AY$3),0)</f>
        <v>0</v>
      </c>
      <c r="AZ70" s="441" t="str">
        <f t="shared" si="54"/>
        <v/>
      </c>
      <c r="BA70" s="442">
        <f>IF($AW70=BA$3,COUNTIF($AW$8:$AW70,BA$3),0)</f>
        <v>0</v>
      </c>
      <c r="BB70" s="441" t="str">
        <f t="shared" si="55"/>
        <v/>
      </c>
      <c r="BC70" s="442">
        <f>IF($AW70=BC$3,COUNTIFS($AW$8:$AW70,BC$3,$AV$8:$AV70,BC$4),0)</f>
        <v>0</v>
      </c>
      <c r="BD70" s="441" t="str">
        <f t="shared" si="56"/>
        <v/>
      </c>
      <c r="BE70" s="272">
        <f>IF($AW70=BE$3,COUNTIF($AW$8:$AW70,BE$3),0)</f>
        <v>0</v>
      </c>
      <c r="BF70" s="441" t="str">
        <f t="shared" si="57"/>
        <v/>
      </c>
      <c r="BG70" s="271">
        <f>IF(OR($AW70=BG$3,$AW70=BG$4),COUNTIF($AW$8:$AW70,BG$3)+COUNTIF($AW$8:$AW70,BG$4),0)</f>
        <v>0</v>
      </c>
      <c r="BH70" s="441" t="str">
        <f t="shared" si="58"/>
        <v/>
      </c>
      <c r="BI70" s="271">
        <f>IF($AW70=BI$3,COUNTIF($AW$8:$AW70,BI$3),0)</f>
        <v>0</v>
      </c>
      <c r="BJ70" s="441" t="str">
        <f t="shared" si="59"/>
        <v/>
      </c>
      <c r="BK70" s="271">
        <f>IF($AW70&lt;&gt;BK$3,COUNTIF($AW$8:$AW70,"&lt;&gt;"&amp;BK$3),0)</f>
        <v>0</v>
      </c>
      <c r="BL70" s="441" t="str">
        <f t="shared" si="60"/>
        <v/>
      </c>
      <c r="BM70" s="337"/>
      <c r="BN70" s="337"/>
    </row>
    <row r="71" spans="1:66" ht="15" customHeight="1">
      <c r="A71" s="1996"/>
      <c r="B71" s="1806"/>
      <c r="C71" s="1807"/>
      <c r="D71" s="1808" t="str">
        <f t="shared" si="78"/>
        <v>全職種</v>
      </c>
      <c r="E71" s="1809"/>
      <c r="F71" s="1810"/>
      <c r="G71" s="1811"/>
      <c r="H71" s="1811"/>
      <c r="I71" s="743" t="str">
        <f t="shared" si="63"/>
        <v/>
      </c>
      <c r="J71" s="471" t="str">
        <f t="shared" si="64"/>
        <v/>
      </c>
      <c r="K71" s="864"/>
      <c r="L71" s="525" t="str">
        <f t="shared" si="65"/>
        <v/>
      </c>
      <c r="M71" s="506">
        <f t="shared" si="66"/>
        <v>0</v>
      </c>
      <c r="N71" s="1987"/>
      <c r="O71" s="1988"/>
      <c r="P71" s="150"/>
      <c r="Q71" s="337"/>
      <c r="R71" s="337"/>
      <c r="S71" s="337"/>
      <c r="T71" s="801" t="str">
        <f t="shared" si="79"/>
        <v>全職種</v>
      </c>
      <c r="U71" s="803">
        <f t="shared" si="68"/>
        <v>0</v>
      </c>
      <c r="V71" s="801">
        <v>2</v>
      </c>
      <c r="W71" s="801" t="b">
        <f t="shared" si="69"/>
        <v>0</v>
      </c>
      <c r="X71" s="463" t="b">
        <f t="shared" ca="1" si="70"/>
        <v>0</v>
      </c>
      <c r="Y71" s="523" t="b">
        <f>COUNTIF($AC$21:AC70,AC71)+COUNTIF(AC72:$AC$74,AC71)-COUNTIF(Z71:AB71,AC71)=0</f>
        <v>0</v>
      </c>
      <c r="Z71" s="524" t="s">
        <v>718</v>
      </c>
      <c r="AA71" s="524" t="s">
        <v>718</v>
      </c>
      <c r="AB71" s="524" t="s">
        <v>718</v>
      </c>
      <c r="AC71" s="804">
        <f t="shared" si="71"/>
        <v>0</v>
      </c>
      <c r="AD71" s="463" t="b">
        <f t="shared" si="72"/>
        <v>0</v>
      </c>
      <c r="AE71" s="464" t="b">
        <f t="shared" si="73"/>
        <v>0</v>
      </c>
      <c r="AF71" s="801" t="str">
        <f t="shared" si="74"/>
        <v/>
      </c>
      <c r="AG71" s="524">
        <f t="shared" si="75"/>
        <v>0</v>
      </c>
      <c r="AH71" s="470">
        <v>2</v>
      </c>
      <c r="AI71" s="272">
        <f t="shared" si="76"/>
        <v>2</v>
      </c>
      <c r="AJ71" s="273">
        <f t="shared" si="77"/>
        <v>0</v>
      </c>
      <c r="AQ71" s="486"/>
      <c r="AR71" s="486"/>
      <c r="AS71" s="486"/>
      <c r="AT71" s="271">
        <f t="shared" si="53"/>
        <v>64</v>
      </c>
      <c r="AU71" s="184" t="str">
        <f>AT71&amp;" "&amp;IF(AW71&lt;&gt;"-",【様式2】職員名簿!B101&amp;"/"&amp;AV71&amp;"/"&amp;AW71,"")</f>
        <v xml:space="preserve">64 </v>
      </c>
      <c r="AV71" s="184">
        <f>【様式2】職員名簿!E101</f>
        <v>0</v>
      </c>
      <c r="AW71" s="184" t="str">
        <f>IF(【様式2】職員名簿!J101="エラー","-",【様式2】職員名簿!J101)</f>
        <v>-</v>
      </c>
      <c r="AX71" s="413">
        <f>IF($AV71="常勤",$AM$2,IF($AV71="非常勤",【様式2】職員名簿!G101,0))</f>
        <v>0</v>
      </c>
      <c r="AY71" s="440">
        <f>IF($AW71=AY$3,COUNTIF($AW$8:$AW71,AY$3),0)</f>
        <v>0</v>
      </c>
      <c r="AZ71" s="441" t="str">
        <f t="shared" si="54"/>
        <v/>
      </c>
      <c r="BA71" s="442">
        <f>IF($AW71=BA$3,COUNTIF($AW$8:$AW71,BA$3),0)</f>
        <v>0</v>
      </c>
      <c r="BB71" s="441" t="str">
        <f t="shared" si="55"/>
        <v/>
      </c>
      <c r="BC71" s="442">
        <f>IF($AW71=BC$3,COUNTIFS($AW$8:$AW71,BC$3,$AV$8:$AV71,BC$4),0)</f>
        <v>0</v>
      </c>
      <c r="BD71" s="441" t="str">
        <f t="shared" si="56"/>
        <v/>
      </c>
      <c r="BE71" s="272">
        <f>IF($AW71=BE$3,COUNTIF($AW$8:$AW71,BE$3),0)</f>
        <v>0</v>
      </c>
      <c r="BF71" s="441" t="str">
        <f t="shared" si="57"/>
        <v/>
      </c>
      <c r="BG71" s="271">
        <f>IF(OR($AW71=BG$3,$AW71=BG$4),COUNTIF($AW$8:$AW71,BG$3)+COUNTIF($AW$8:$AW71,BG$4),0)</f>
        <v>0</v>
      </c>
      <c r="BH71" s="441" t="str">
        <f t="shared" si="58"/>
        <v/>
      </c>
      <c r="BI71" s="271">
        <f>IF($AW71=BI$3,COUNTIF($AW$8:$AW71,BI$3),0)</f>
        <v>0</v>
      </c>
      <c r="BJ71" s="441" t="str">
        <f t="shared" si="59"/>
        <v/>
      </c>
      <c r="BK71" s="271">
        <f>IF($AW71&lt;&gt;BK$3,COUNTIF($AW$8:$AW71,"&lt;&gt;"&amp;BK$3),0)</f>
        <v>0</v>
      </c>
      <c r="BL71" s="441" t="str">
        <f t="shared" si="60"/>
        <v/>
      </c>
      <c r="BM71" s="337"/>
      <c r="BN71" s="337"/>
    </row>
    <row r="72" spans="1:66" ht="15" customHeight="1">
      <c r="A72" s="1996"/>
      <c r="B72" s="1989"/>
      <c r="C72" s="1990"/>
      <c r="D72" s="1991" t="str">
        <f t="shared" si="78"/>
        <v>全職種</v>
      </c>
      <c r="E72" s="1992"/>
      <c r="F72" s="1993"/>
      <c r="G72" s="1994"/>
      <c r="H72" s="1994"/>
      <c r="I72" s="742" t="str">
        <f t="shared" si="63"/>
        <v/>
      </c>
      <c r="J72" s="489" t="str">
        <f t="shared" si="64"/>
        <v/>
      </c>
      <c r="K72" s="862"/>
      <c r="L72" s="490" t="str">
        <f t="shared" si="65"/>
        <v/>
      </c>
      <c r="M72" s="491">
        <f t="shared" si="66"/>
        <v>0</v>
      </c>
      <c r="N72" s="1987"/>
      <c r="O72" s="1988"/>
      <c r="P72" s="150"/>
      <c r="Q72" s="337"/>
      <c r="R72" s="337"/>
      <c r="S72" s="337"/>
      <c r="T72" s="801" t="str">
        <f t="shared" si="79"/>
        <v>全職種</v>
      </c>
      <c r="U72" s="803">
        <f t="shared" si="68"/>
        <v>0</v>
      </c>
      <c r="V72" s="801">
        <v>2</v>
      </c>
      <c r="W72" s="801" t="b">
        <f t="shared" si="69"/>
        <v>0</v>
      </c>
      <c r="X72" s="463" t="b">
        <f t="shared" ca="1" si="70"/>
        <v>0</v>
      </c>
      <c r="Y72" s="523" t="b">
        <f>COUNTIF($AC$21:AC71,AC72)+COUNTIF(AC73:$AC$74,AC72)-COUNTIF(Z72:AB72,AC72)=0</f>
        <v>0</v>
      </c>
      <c r="Z72" s="524" t="s">
        <v>718</v>
      </c>
      <c r="AA72" s="524" t="s">
        <v>718</v>
      </c>
      <c r="AB72" s="524" t="s">
        <v>718</v>
      </c>
      <c r="AC72" s="804">
        <f t="shared" si="71"/>
        <v>0</v>
      </c>
      <c r="AD72" s="463" t="b">
        <f t="shared" si="72"/>
        <v>0</v>
      </c>
      <c r="AE72" s="464" t="b">
        <f t="shared" si="73"/>
        <v>0</v>
      </c>
      <c r="AF72" s="801" t="str">
        <f t="shared" si="74"/>
        <v/>
      </c>
      <c r="AG72" s="524">
        <f t="shared" si="75"/>
        <v>0</v>
      </c>
      <c r="AH72" s="470">
        <v>2</v>
      </c>
      <c r="AI72" s="272">
        <f t="shared" si="76"/>
        <v>2</v>
      </c>
      <c r="AJ72" s="273">
        <f t="shared" si="77"/>
        <v>0</v>
      </c>
      <c r="AQ72" s="486"/>
      <c r="AR72" s="486"/>
      <c r="AS72" s="486"/>
      <c r="AT72" s="271">
        <f t="shared" ref="AT72:AT107" si="80">ROW()-ROW($AT$7)</f>
        <v>65</v>
      </c>
      <c r="AU72" s="184" t="str">
        <f>AT72&amp;" "&amp;IF(AW72&lt;&gt;"-",【様式2】職員名簿!B102&amp;"/"&amp;AV72&amp;"/"&amp;AW72,"")</f>
        <v xml:space="preserve">65 </v>
      </c>
      <c r="AV72" s="184">
        <f>【様式2】職員名簿!E102</f>
        <v>0</v>
      </c>
      <c r="AW72" s="184" t="str">
        <f>IF(【様式2】職員名簿!J102="エラー","-",【様式2】職員名簿!J102)</f>
        <v>-</v>
      </c>
      <c r="AX72" s="413">
        <f>IF($AV72="常勤",$AM$2,IF($AV72="非常勤",【様式2】職員名簿!G102,0))</f>
        <v>0</v>
      </c>
      <c r="AY72" s="440">
        <f>IF($AW72=AY$3,COUNTIF($AW$8:$AW72,AY$3),0)</f>
        <v>0</v>
      </c>
      <c r="AZ72" s="441" t="str">
        <f t="shared" ref="AZ72:AZ103" si="81">IFERROR(INDEX($AU$8:$AU$107,MATCH($AT72,AY$8:AY$107,0),1),"")</f>
        <v/>
      </c>
      <c r="BA72" s="442">
        <f>IF($AW72=BA$3,COUNTIF($AW$8:$AW72,BA$3),0)</f>
        <v>0</v>
      </c>
      <c r="BB72" s="441" t="str">
        <f t="shared" ref="BB72:BB103" si="82">IFERROR(INDEX($AU$8:$AU$107,MATCH($AT72,BA$8:BA$107,0),1),"")</f>
        <v/>
      </c>
      <c r="BC72" s="442">
        <f>IF($AW72=BC$3,COUNTIFS($AW$8:$AW72,BC$3,$AV$8:$AV72,BC$4),0)</f>
        <v>0</v>
      </c>
      <c r="BD72" s="441" t="str">
        <f t="shared" ref="BD72:BD103" si="83">IFERROR(INDEX($AU$8:$AU$107,MATCH($AT72,BC$8:BC$107,0),1),"")</f>
        <v/>
      </c>
      <c r="BE72" s="272">
        <f>IF($AW72=BE$3,COUNTIF($AW$8:$AW72,BE$3),0)</f>
        <v>0</v>
      </c>
      <c r="BF72" s="441" t="str">
        <f t="shared" ref="BF72:BF103" si="84">IFERROR(INDEX($AU$8:$AU$107,MATCH($AT72,BE$8:BE$107,0),1),"")</f>
        <v/>
      </c>
      <c r="BG72" s="271">
        <f>IF(OR($AW72=BG$3,$AW72=BG$4),COUNTIF($AW$8:$AW72,BG$3)+COUNTIF($AW$8:$AW72,BG$4),0)</f>
        <v>0</v>
      </c>
      <c r="BH72" s="441" t="str">
        <f t="shared" ref="BH72:BH103" si="85">IFERROR(INDEX($AU$8:$AU$107,MATCH($AT72,BG$8:BG$107,0),1),"")</f>
        <v/>
      </c>
      <c r="BI72" s="271">
        <f>IF($AW72=BI$3,COUNTIF($AW$8:$AW72,BI$3),0)</f>
        <v>0</v>
      </c>
      <c r="BJ72" s="441" t="str">
        <f t="shared" ref="BJ72:BJ103" si="86">IFERROR(INDEX($AU$8:$AU$107,MATCH($AT72,BI$8:BI$107,0),1),"")</f>
        <v/>
      </c>
      <c r="BK72" s="271">
        <f>IF($AW72&lt;&gt;BK$3,COUNTIF($AW$8:$AW72,"&lt;&gt;"&amp;BK$3),0)</f>
        <v>0</v>
      </c>
      <c r="BL72" s="441" t="str">
        <f t="shared" ref="BL72:BL103" si="87">IFERROR(INDEX($AU$8:$AU$107,MATCH($AT72,BK$8:BK$107,0),1),"")</f>
        <v/>
      </c>
      <c r="BM72" s="337"/>
      <c r="BN72" s="337"/>
    </row>
    <row r="73" spans="1:66" ht="15" customHeight="1">
      <c r="A73" s="531" t="s">
        <v>757</v>
      </c>
      <c r="B73" s="1800"/>
      <c r="C73" s="1801"/>
      <c r="D73" s="1802" t="str">
        <f t="shared" ref="D73" si="88">AF73</f>
        <v>保育士</v>
      </c>
      <c r="E73" s="1803"/>
      <c r="F73" s="1804" t="str">
        <f>IF(ISTEXT(B73),【様式2】職員名簿!B28,"")</f>
        <v/>
      </c>
      <c r="G73" s="1805"/>
      <c r="H73" s="1805"/>
      <c r="I73" s="749" t="str">
        <f t="shared" si="63"/>
        <v/>
      </c>
      <c r="J73" s="791" t="str">
        <f>IF(OR(F73=0,F73=""),"",IF(W73,IF(X73,IF(OR(Y73,V73=3),IF(AD73,IF(OR(AE73,V73=2,V73=3),"○","要常勤"),"時間無"),"重複"),"名簿無"),"対象外"))</f>
        <v/>
      </c>
      <c r="K73" s="867"/>
      <c r="L73" s="532" t="str">
        <f t="shared" si="65"/>
        <v/>
      </c>
      <c r="M73" s="504">
        <f t="shared" si="66"/>
        <v>0</v>
      </c>
      <c r="N73" s="1935">
        <f>SUM(M73:M73)</f>
        <v>0</v>
      </c>
      <c r="O73" s="1936"/>
      <c r="P73" s="150"/>
      <c r="Q73" s="337"/>
      <c r="R73" s="337"/>
      <c r="S73" s="337"/>
      <c r="T73" s="470" t="s">
        <v>758</v>
      </c>
      <c r="U73" s="502">
        <f>BO7</f>
        <v>0</v>
      </c>
      <c r="V73" s="494">
        <v>3</v>
      </c>
      <c r="W73" s="494" t="b">
        <f t="shared" ref="W73" si="89">AND(ISTEXT(B73),ISTEXT(F73))</f>
        <v>0</v>
      </c>
      <c r="X73" s="479" t="b">
        <f t="shared" ref="X73" ca="1" si="90">COUNTIF(INDIRECT(T73),F73)&gt;0</f>
        <v>0</v>
      </c>
      <c r="Y73" s="533" t="b">
        <f>COUNTIF($AC$21:AC72,AC73)+COUNTIF(AC74:$AC$74,AC73)-COUNTIF(Z73:AB73,AC73)=0</f>
        <v>0</v>
      </c>
      <c r="Z73" s="499" t="s">
        <v>718</v>
      </c>
      <c r="AA73" s="499" t="s">
        <v>718</v>
      </c>
      <c r="AB73" s="499" t="s">
        <v>718</v>
      </c>
      <c r="AC73" s="478" t="str">
        <f>IF(V73=3,"-",IFERROR(INDEX($AT$8:$AT$107,MATCH($F73,AU$8:AU$107,0),1),0))</f>
        <v>-</v>
      </c>
      <c r="AD73" s="502" t="b">
        <f t="shared" si="72"/>
        <v>0</v>
      </c>
      <c r="AE73" s="480" t="s">
        <v>647</v>
      </c>
      <c r="AF73" s="470" t="str">
        <f>BM7</f>
        <v>保育士</v>
      </c>
      <c r="AG73" s="499">
        <f t="shared" si="75"/>
        <v>0</v>
      </c>
      <c r="AH73" s="470">
        <v>2</v>
      </c>
      <c r="AI73" s="272">
        <f t="shared" si="76"/>
        <v>2</v>
      </c>
      <c r="AJ73" s="273">
        <f t="shared" si="77"/>
        <v>0</v>
      </c>
      <c r="AQ73" s="486"/>
      <c r="AR73" s="486"/>
      <c r="AS73" s="486"/>
      <c r="AT73" s="271">
        <f t="shared" si="80"/>
        <v>66</v>
      </c>
      <c r="AU73" s="184" t="str">
        <f>AT73&amp;" "&amp;IF(AW73&lt;&gt;"-",【様式2】職員名簿!B103&amp;"/"&amp;AV73&amp;"/"&amp;AW73,"")</f>
        <v xml:space="preserve">66 </v>
      </c>
      <c r="AV73" s="184">
        <f>【様式2】職員名簿!E103</f>
        <v>0</v>
      </c>
      <c r="AW73" s="184" t="str">
        <f>IF(【様式2】職員名簿!J103="エラー","-",【様式2】職員名簿!J103)</f>
        <v>-</v>
      </c>
      <c r="AX73" s="413">
        <f>IF($AV73="常勤",$AM$2,IF($AV73="非常勤",【様式2】職員名簿!G103,0))</f>
        <v>0</v>
      </c>
      <c r="AY73" s="440">
        <f>IF($AW73=AY$3,COUNTIF($AW$8:$AW73,AY$3),0)</f>
        <v>0</v>
      </c>
      <c r="AZ73" s="441" t="str">
        <f t="shared" si="81"/>
        <v/>
      </c>
      <c r="BA73" s="442">
        <f>IF($AW73=BA$3,COUNTIF($AW$8:$AW73,BA$3),0)</f>
        <v>0</v>
      </c>
      <c r="BB73" s="441" t="str">
        <f t="shared" si="82"/>
        <v/>
      </c>
      <c r="BC73" s="442">
        <f>IF($AW73=BC$3,COUNTIFS($AW$8:$AW73,BC$3,$AV$8:$AV73,BC$4),0)</f>
        <v>0</v>
      </c>
      <c r="BD73" s="441" t="str">
        <f t="shared" si="83"/>
        <v/>
      </c>
      <c r="BE73" s="272">
        <f>IF($AW73=BE$3,COUNTIF($AW$8:$AW73,BE$3),0)</f>
        <v>0</v>
      </c>
      <c r="BF73" s="441" t="str">
        <f t="shared" si="84"/>
        <v/>
      </c>
      <c r="BG73" s="271">
        <f>IF(OR($AW73=BG$3,$AW73=BG$4),COUNTIF($AW$8:$AW73,BG$3)+COUNTIF($AW$8:$AW73,BG$4),0)</f>
        <v>0</v>
      </c>
      <c r="BH73" s="441" t="str">
        <f t="shared" si="85"/>
        <v/>
      </c>
      <c r="BI73" s="271">
        <f>IF($AW73=BI$3,COUNTIF($AW$8:$AW73,BI$3),0)</f>
        <v>0</v>
      </c>
      <c r="BJ73" s="441" t="str">
        <f t="shared" si="86"/>
        <v/>
      </c>
      <c r="BK73" s="271">
        <f>IF($AW73&lt;&gt;BK$3,COUNTIF($AW$8:$AW73,"&lt;&gt;"&amp;BK$3),0)</f>
        <v>0</v>
      </c>
      <c r="BL73" s="441" t="str">
        <f t="shared" si="87"/>
        <v/>
      </c>
      <c r="BM73" s="337"/>
      <c r="BN73" s="337"/>
    </row>
    <row r="74" spans="1:66" ht="15" hidden="1" customHeight="1" outlineLevel="1" thickBot="1">
      <c r="A74" s="154"/>
      <c r="B74" s="534"/>
      <c r="C74" s="195"/>
      <c r="D74" s="195"/>
      <c r="E74" s="195"/>
      <c r="F74" s="195"/>
      <c r="G74" s="195"/>
      <c r="H74" s="195"/>
      <c r="I74" s="195"/>
      <c r="J74" s="195"/>
      <c r="K74" s="195"/>
      <c r="L74" s="195"/>
      <c r="M74" s="195"/>
      <c r="N74" s="195"/>
      <c r="O74" s="195"/>
      <c r="P74" s="150"/>
      <c r="Q74" s="150"/>
      <c r="AC74" s="535">
        <v>0</v>
      </c>
      <c r="AQ74" s="486"/>
      <c r="AR74" s="486"/>
      <c r="AS74" s="486"/>
      <c r="AT74" s="271">
        <f t="shared" si="80"/>
        <v>67</v>
      </c>
      <c r="AU74" s="184" t="str">
        <f>AT74&amp;" "&amp;IF(AW74&lt;&gt;"-",【様式2】職員名簿!B104&amp;"/"&amp;AV74&amp;"/"&amp;AW74,"")</f>
        <v xml:space="preserve">67 </v>
      </c>
      <c r="AV74" s="184">
        <f>【様式2】職員名簿!E104</f>
        <v>0</v>
      </c>
      <c r="AW74" s="184" t="str">
        <f>IF(【様式2】職員名簿!J104="エラー","-",【様式2】職員名簿!J104)</f>
        <v>-</v>
      </c>
      <c r="AX74" s="413">
        <f>IF($AV74="常勤",$AM$2,IF($AV74="非常勤",【様式2】職員名簿!G104,0))</f>
        <v>0</v>
      </c>
      <c r="AY74" s="440">
        <f>IF($AW74=AY$3,COUNTIF($AW$8:$AW74,AY$3),0)</f>
        <v>0</v>
      </c>
      <c r="AZ74" s="441" t="str">
        <f t="shared" si="81"/>
        <v/>
      </c>
      <c r="BA74" s="442">
        <f>IF($AW74=BA$3,COUNTIF($AW$8:$AW74,BA$3),0)</f>
        <v>0</v>
      </c>
      <c r="BB74" s="441" t="str">
        <f t="shared" si="82"/>
        <v/>
      </c>
      <c r="BC74" s="442">
        <f>IF($AW74=BC$3,COUNTIFS($AW$8:$AW74,BC$3,$AV$8:$AV74,BC$4),0)</f>
        <v>0</v>
      </c>
      <c r="BD74" s="441" t="str">
        <f t="shared" si="83"/>
        <v/>
      </c>
      <c r="BE74" s="272">
        <f>IF($AW74=BE$3,COUNTIF($AW$8:$AW74,BE$3),0)</f>
        <v>0</v>
      </c>
      <c r="BF74" s="441" t="str">
        <f t="shared" si="84"/>
        <v/>
      </c>
      <c r="BG74" s="271">
        <f>IF(OR($AW74=BG$3,$AW74=BG$4),COUNTIF($AW$8:$AW74,BG$3)+COUNTIF($AW$8:$AW74,BG$4),0)</f>
        <v>0</v>
      </c>
      <c r="BH74" s="441" t="str">
        <f t="shared" si="85"/>
        <v/>
      </c>
      <c r="BI74" s="271">
        <f>IF($AW74=BI$3,COUNTIF($AW$8:$AW74,BI$3),0)</f>
        <v>0</v>
      </c>
      <c r="BJ74" s="441" t="str">
        <f t="shared" si="86"/>
        <v/>
      </c>
      <c r="BK74" s="271">
        <f>IF($AW74&lt;&gt;BK$3,COUNTIF($AW$8:$AW74,"&lt;&gt;"&amp;BK$3),0)</f>
        <v>0</v>
      </c>
      <c r="BL74" s="441" t="str">
        <f t="shared" si="87"/>
        <v/>
      </c>
      <c r="BM74" s="337"/>
      <c r="BN74" s="337"/>
    </row>
    <row r="75" spans="1:66" ht="15" hidden="1" customHeight="1" outlineLevel="1" thickBot="1">
      <c r="A75" s="159" t="s">
        <v>759</v>
      </c>
      <c r="B75" s="195"/>
      <c r="C75" s="195"/>
      <c r="D75" s="195"/>
      <c r="E75" s="195"/>
      <c r="F75" s="195"/>
      <c r="H75" s="195" t="s">
        <v>760</v>
      </c>
      <c r="I75" s="154"/>
      <c r="J75" s="154"/>
      <c r="K75" s="195"/>
      <c r="L75" s="154"/>
      <c r="M75" s="195"/>
      <c r="N75" s="195"/>
      <c r="O75" s="154"/>
      <c r="P75" s="150"/>
      <c r="Q75" s="150"/>
      <c r="AQ75" s="486"/>
      <c r="AR75" s="486"/>
      <c r="AS75" s="486"/>
      <c r="AT75" s="271">
        <f t="shared" si="80"/>
        <v>68</v>
      </c>
      <c r="AU75" s="184" t="str">
        <f>AT75&amp;" "&amp;IF(AW75&lt;&gt;"-",【様式2】職員名簿!B105&amp;"/"&amp;AV75&amp;"/"&amp;AW75,"")</f>
        <v xml:space="preserve">68 </v>
      </c>
      <c r="AV75" s="184">
        <f>【様式2】職員名簿!E105</f>
        <v>0</v>
      </c>
      <c r="AW75" s="184" t="str">
        <f>IF(【様式2】職員名簿!J105="エラー","-",【様式2】職員名簿!J105)</f>
        <v>-</v>
      </c>
      <c r="AX75" s="413">
        <f>IF($AV75="常勤",$AM$2,IF($AV75="非常勤",【様式2】職員名簿!G105,0))</f>
        <v>0</v>
      </c>
      <c r="AY75" s="440">
        <f>IF($AW75=AY$3,COUNTIF($AW$8:$AW75,AY$3),0)</f>
        <v>0</v>
      </c>
      <c r="AZ75" s="441" t="str">
        <f t="shared" si="81"/>
        <v/>
      </c>
      <c r="BA75" s="442">
        <f>IF($AW75=BA$3,COUNTIF($AW$8:$AW75,BA$3),0)</f>
        <v>0</v>
      </c>
      <c r="BB75" s="441" t="str">
        <f t="shared" si="82"/>
        <v/>
      </c>
      <c r="BC75" s="442">
        <f>IF($AW75=BC$3,COUNTIFS($AW$8:$AW75,BC$3,$AV$8:$AV75,BC$4),0)</f>
        <v>0</v>
      </c>
      <c r="BD75" s="441" t="str">
        <f t="shared" si="83"/>
        <v/>
      </c>
      <c r="BE75" s="272">
        <f>IF($AW75=BE$3,COUNTIF($AW$8:$AW75,BE$3),0)</f>
        <v>0</v>
      </c>
      <c r="BF75" s="441" t="str">
        <f t="shared" si="84"/>
        <v/>
      </c>
      <c r="BG75" s="271">
        <f>IF(OR($AW75=BG$3,$AW75=BG$4),COUNTIF($AW$8:$AW75,BG$3)+COUNTIF($AW$8:$AW75,BG$4),0)</f>
        <v>0</v>
      </c>
      <c r="BH75" s="441" t="str">
        <f t="shared" si="85"/>
        <v/>
      </c>
      <c r="BI75" s="271">
        <f>IF($AW75=BI$3,COUNTIF($AW$8:$AW75,BI$3),0)</f>
        <v>0</v>
      </c>
      <c r="BJ75" s="441" t="str">
        <f t="shared" si="86"/>
        <v/>
      </c>
      <c r="BK75" s="271">
        <f>IF($AW75&lt;&gt;BK$3,COUNTIF($AW$8:$AW75,"&lt;&gt;"&amp;BK$3),0)</f>
        <v>0</v>
      </c>
      <c r="BL75" s="441" t="str">
        <f t="shared" si="87"/>
        <v/>
      </c>
      <c r="BM75" s="337"/>
      <c r="BN75" s="337"/>
    </row>
    <row r="76" spans="1:66" ht="15" hidden="1" customHeight="1" outlineLevel="1">
      <c r="A76" s="1937" t="s">
        <v>127</v>
      </c>
      <c r="B76" s="2195" t="s">
        <v>761</v>
      </c>
      <c r="C76" s="2196"/>
      <c r="D76" s="2196"/>
      <c r="E76" s="2196"/>
      <c r="F76" s="2196"/>
      <c r="G76" s="2196"/>
      <c r="H76" s="536"/>
      <c r="I76" s="158"/>
      <c r="J76" s="154"/>
      <c r="K76" s="154"/>
      <c r="L76" s="154"/>
      <c r="M76" s="154"/>
      <c r="N76" s="154"/>
      <c r="O76" s="154"/>
      <c r="P76" s="150"/>
      <c r="Q76" s="150"/>
      <c r="AQ76" s="486"/>
      <c r="AR76" s="486"/>
      <c r="AS76" s="486"/>
      <c r="AT76" s="271">
        <f t="shared" si="80"/>
        <v>69</v>
      </c>
      <c r="AU76" s="184" t="str">
        <f>AT76&amp;" "&amp;IF(AW76&lt;&gt;"-",【様式2】職員名簿!B106&amp;"/"&amp;AV76&amp;"/"&amp;AW76,"")</f>
        <v xml:space="preserve">69 </v>
      </c>
      <c r="AV76" s="184">
        <f>【様式2】職員名簿!E106</f>
        <v>0</v>
      </c>
      <c r="AW76" s="184" t="str">
        <f>IF(【様式2】職員名簿!J106="エラー","-",【様式2】職員名簿!J106)</f>
        <v>-</v>
      </c>
      <c r="AX76" s="413">
        <f>IF($AV76="常勤",$AM$2,IF($AV76="非常勤",【様式2】職員名簿!G106,0))</f>
        <v>0</v>
      </c>
      <c r="AY76" s="440">
        <f>IF($AW76=AY$3,COUNTIF($AW$8:$AW76,AY$3),0)</f>
        <v>0</v>
      </c>
      <c r="AZ76" s="441" t="str">
        <f t="shared" si="81"/>
        <v/>
      </c>
      <c r="BA76" s="442">
        <f>IF($AW76=BA$3,COUNTIF($AW$8:$AW76,BA$3),0)</f>
        <v>0</v>
      </c>
      <c r="BB76" s="441" t="str">
        <f t="shared" si="82"/>
        <v/>
      </c>
      <c r="BC76" s="442">
        <f>IF($AW76=BC$3,COUNTIFS($AW$8:$AW76,BC$3,$AV$8:$AV76,BC$4),0)</f>
        <v>0</v>
      </c>
      <c r="BD76" s="441" t="str">
        <f t="shared" si="83"/>
        <v/>
      </c>
      <c r="BE76" s="272">
        <f>IF($AW76=BE$3,COUNTIF($AW$8:$AW76,BE$3),0)</f>
        <v>0</v>
      </c>
      <c r="BF76" s="441" t="str">
        <f t="shared" si="84"/>
        <v/>
      </c>
      <c r="BG76" s="271">
        <f>IF(OR($AW76=BG$3,$AW76=BG$4),COUNTIF($AW$8:$AW76,BG$3)+COUNTIF($AW$8:$AW76,BG$4),0)</f>
        <v>0</v>
      </c>
      <c r="BH76" s="441" t="str">
        <f t="shared" si="85"/>
        <v/>
      </c>
      <c r="BI76" s="271">
        <f>IF($AW76=BI$3,COUNTIF($AW$8:$AW76,BI$3),0)</f>
        <v>0</v>
      </c>
      <c r="BJ76" s="441" t="str">
        <f t="shared" si="86"/>
        <v/>
      </c>
      <c r="BK76" s="271">
        <f>IF($AW76&lt;&gt;BK$3,COUNTIF($AW$8:$AW76,"&lt;&gt;"&amp;BK$3),0)</f>
        <v>0</v>
      </c>
      <c r="BL76" s="441" t="str">
        <f t="shared" si="87"/>
        <v/>
      </c>
      <c r="BM76" s="337"/>
      <c r="BN76" s="337"/>
    </row>
    <row r="77" spans="1:66" ht="15" hidden="1" customHeight="1" outlineLevel="1" thickBot="1">
      <c r="A77" s="1938"/>
      <c r="B77" s="1940" t="s">
        <v>762</v>
      </c>
      <c r="C77" s="2197" t="s">
        <v>763</v>
      </c>
      <c r="D77" s="2198"/>
      <c r="E77" s="2201" t="s">
        <v>766</v>
      </c>
      <c r="F77" s="2202"/>
      <c r="G77" s="2203"/>
      <c r="H77" s="1943" t="s">
        <v>764</v>
      </c>
      <c r="I77" s="537"/>
      <c r="J77" s="154"/>
      <c r="K77" s="154"/>
      <c r="L77" s="154"/>
      <c r="M77" s="154"/>
      <c r="N77" s="154"/>
      <c r="O77" s="154"/>
      <c r="P77" s="150"/>
      <c r="Q77" s="150"/>
      <c r="AM77" s="526"/>
      <c r="AQ77" s="486"/>
      <c r="AR77" s="486"/>
      <c r="AS77" s="486"/>
      <c r="AT77" s="271">
        <f t="shared" si="80"/>
        <v>70</v>
      </c>
      <c r="AU77" s="184" t="str">
        <f>AT77&amp;" "&amp;IF(AW77&lt;&gt;"-",【様式2】職員名簿!B107&amp;"/"&amp;AV77&amp;"/"&amp;AW77,"")</f>
        <v xml:space="preserve">70 </v>
      </c>
      <c r="AV77" s="184">
        <f>【様式2】職員名簿!E107</f>
        <v>0</v>
      </c>
      <c r="AW77" s="184" t="str">
        <f>IF(【様式2】職員名簿!J107="エラー","-",【様式2】職員名簿!J107)</f>
        <v>-</v>
      </c>
      <c r="AX77" s="413">
        <f>IF($AV77="常勤",$AM$2,IF($AV77="非常勤",【様式2】職員名簿!G107,0))</f>
        <v>0</v>
      </c>
      <c r="AY77" s="440">
        <f>IF($AW77=AY$3,COUNTIF($AW$8:$AW77,AY$3),0)</f>
        <v>0</v>
      </c>
      <c r="AZ77" s="441" t="str">
        <f t="shared" si="81"/>
        <v/>
      </c>
      <c r="BA77" s="442">
        <f>IF($AW77=BA$3,COUNTIF($AW$8:$AW77,BA$3),0)</f>
        <v>0</v>
      </c>
      <c r="BB77" s="441" t="str">
        <f t="shared" si="82"/>
        <v/>
      </c>
      <c r="BC77" s="442">
        <f>IF($AW77=BC$3,COUNTIFS($AW$8:$AW77,BC$3,$AV$8:$AV77,BC$4),0)</f>
        <v>0</v>
      </c>
      <c r="BD77" s="441" t="str">
        <f t="shared" si="83"/>
        <v/>
      </c>
      <c r="BE77" s="272">
        <f>IF($AW77=BE$3,COUNTIF($AW$8:$AW77,BE$3),0)</f>
        <v>0</v>
      </c>
      <c r="BF77" s="441" t="str">
        <f t="shared" si="84"/>
        <v/>
      </c>
      <c r="BG77" s="271">
        <f>IF(OR($AW77=BG$3,$AW77=BG$4),COUNTIF($AW$8:$AW77,BG$3)+COUNTIF($AW$8:$AW77,BG$4),0)</f>
        <v>0</v>
      </c>
      <c r="BH77" s="441" t="str">
        <f t="shared" si="85"/>
        <v/>
      </c>
      <c r="BI77" s="271">
        <f>IF($AW77=BI$3,COUNTIF($AW$8:$AW77,BI$3),0)</f>
        <v>0</v>
      </c>
      <c r="BJ77" s="441" t="str">
        <f t="shared" si="86"/>
        <v/>
      </c>
      <c r="BK77" s="271">
        <f>IF($AW77&lt;&gt;BK$3,COUNTIF($AW$8:$AW77,"&lt;&gt;"&amp;BK$3),0)</f>
        <v>0</v>
      </c>
      <c r="BL77" s="441" t="str">
        <f t="shared" si="87"/>
        <v/>
      </c>
      <c r="BM77" s="337"/>
      <c r="BN77" s="337"/>
    </row>
    <row r="78" spans="1:66" ht="15" hidden="1" customHeight="1" outlineLevel="1" thickBot="1">
      <c r="A78" s="1938"/>
      <c r="B78" s="1941"/>
      <c r="C78" s="1945" t="s">
        <v>497</v>
      </c>
      <c r="D78" s="1945" t="s">
        <v>765</v>
      </c>
      <c r="E78" s="2198" t="s">
        <v>939</v>
      </c>
      <c r="F78" s="2198"/>
      <c r="G78" s="2199" t="s">
        <v>940</v>
      </c>
      <c r="H78" s="1943"/>
      <c r="I78" s="537"/>
      <c r="J78" s="154"/>
      <c r="K78" s="154"/>
      <c r="L78" s="154"/>
      <c r="M78" s="154"/>
      <c r="N78" s="154"/>
      <c r="O78" s="154"/>
      <c r="P78" s="150"/>
      <c r="Q78" s="1947" t="s">
        <v>476</v>
      </c>
      <c r="R78" s="1948"/>
      <c r="S78" s="1948"/>
      <c r="T78" s="1948"/>
      <c r="U78" s="1948"/>
      <c r="V78" s="1948"/>
      <c r="W78" s="1948"/>
      <c r="X78" s="1948"/>
      <c r="Y78" s="1948"/>
      <c r="Z78" s="1948"/>
      <c r="AA78" s="1948"/>
      <c r="AB78" s="1948"/>
      <c r="AC78" s="1948"/>
      <c r="AD78" s="1948"/>
      <c r="AE78" s="1948"/>
      <c r="AF78" s="1948"/>
      <c r="AG78" s="1948"/>
      <c r="AH78" s="1948"/>
      <c r="AI78" s="1948"/>
      <c r="AJ78" s="1949"/>
      <c r="AM78" s="526"/>
      <c r="AQ78" s="486"/>
      <c r="AR78" s="486"/>
      <c r="AS78" s="486"/>
      <c r="AT78" s="271">
        <f t="shared" si="80"/>
        <v>71</v>
      </c>
      <c r="AU78" s="184" t="str">
        <f>AT78&amp;" "&amp;IF(AW78&lt;&gt;"-",【様式2】職員名簿!B108&amp;"/"&amp;AV78&amp;"/"&amp;AW78,"")</f>
        <v xml:space="preserve">71 </v>
      </c>
      <c r="AV78" s="184">
        <f>【様式2】職員名簿!E108</f>
        <v>0</v>
      </c>
      <c r="AW78" s="184" t="str">
        <f>IF(【様式2】職員名簿!J108="エラー","-",【様式2】職員名簿!J108)</f>
        <v>-</v>
      </c>
      <c r="AX78" s="413">
        <f>IF($AV78="常勤",$AM$2,IF($AV78="非常勤",【様式2】職員名簿!G108,0))</f>
        <v>0</v>
      </c>
      <c r="AY78" s="440">
        <f>IF($AW78=AY$3,COUNTIF($AW$8:$AW78,AY$3),0)</f>
        <v>0</v>
      </c>
      <c r="AZ78" s="441" t="str">
        <f t="shared" si="81"/>
        <v/>
      </c>
      <c r="BA78" s="442">
        <f>IF($AW78=BA$3,COUNTIF($AW$8:$AW78,BA$3),0)</f>
        <v>0</v>
      </c>
      <c r="BB78" s="441" t="str">
        <f t="shared" si="82"/>
        <v/>
      </c>
      <c r="BC78" s="442">
        <f>IF($AW78=BC$3,COUNTIFS($AW$8:$AW78,BC$3,$AV$8:$AV78,BC$4),0)</f>
        <v>0</v>
      </c>
      <c r="BD78" s="441" t="str">
        <f t="shared" si="83"/>
        <v/>
      </c>
      <c r="BE78" s="272">
        <f>IF($AW78=BE$3,COUNTIF($AW$8:$AW78,BE$3),0)</f>
        <v>0</v>
      </c>
      <c r="BF78" s="441" t="str">
        <f t="shared" si="84"/>
        <v/>
      </c>
      <c r="BG78" s="271">
        <f>IF(OR($AW78=BG$3,$AW78=BG$4),COUNTIF($AW$8:$AW78,BG$3)+COUNTIF($AW$8:$AW78,BG$4),0)</f>
        <v>0</v>
      </c>
      <c r="BH78" s="441" t="str">
        <f t="shared" si="85"/>
        <v/>
      </c>
      <c r="BI78" s="271">
        <f>IF($AW78=BI$3,COUNTIF($AW$8:$AW78,BI$3),0)</f>
        <v>0</v>
      </c>
      <c r="BJ78" s="441" t="str">
        <f t="shared" si="86"/>
        <v/>
      </c>
      <c r="BK78" s="271">
        <f>IF($AW78&lt;&gt;BK$3,COUNTIF($AW$8:$AW78,"&lt;&gt;"&amp;BK$3),0)</f>
        <v>0</v>
      </c>
      <c r="BL78" s="441" t="str">
        <f t="shared" si="87"/>
        <v/>
      </c>
      <c r="BM78" s="337"/>
      <c r="BN78" s="337"/>
    </row>
    <row r="79" spans="1:66" ht="15" hidden="1" customHeight="1" outlineLevel="1" thickBot="1">
      <c r="A79" s="1939"/>
      <c r="B79" s="1942"/>
      <c r="C79" s="1946"/>
      <c r="D79" s="1946"/>
      <c r="E79" s="538" t="s">
        <v>767</v>
      </c>
      <c r="F79" s="539" t="s">
        <v>768</v>
      </c>
      <c r="G79" s="2200"/>
      <c r="H79" s="1944"/>
      <c r="I79" s="537"/>
      <c r="J79" s="154"/>
      <c r="K79" s="154"/>
      <c r="L79" s="154"/>
      <c r="M79" s="154"/>
      <c r="N79" s="154"/>
      <c r="O79" s="154"/>
      <c r="P79" s="150"/>
      <c r="Q79" s="540" t="s">
        <v>769</v>
      </c>
      <c r="R79" s="541"/>
      <c r="S79" s="541"/>
      <c r="T79" s="541"/>
      <c r="U79" s="542"/>
      <c r="V79" s="542"/>
      <c r="W79" s="542"/>
      <c r="X79" s="542"/>
      <c r="Y79" s="542"/>
      <c r="Z79" s="542"/>
      <c r="AA79" s="542"/>
      <c r="AB79" s="542"/>
      <c r="AC79" s="542"/>
      <c r="AD79" s="542"/>
      <c r="AE79" s="542"/>
      <c r="AF79" s="541"/>
      <c r="AG79" s="541"/>
      <c r="AH79" s="541"/>
      <c r="AI79" s="541"/>
      <c r="AJ79" s="543"/>
      <c r="AM79" s="526"/>
      <c r="AN79" s="526"/>
      <c r="AQ79" s="486"/>
      <c r="AR79" s="486"/>
      <c r="AS79" s="486"/>
      <c r="AT79" s="271">
        <f t="shared" si="80"/>
        <v>72</v>
      </c>
      <c r="AU79" s="184" t="str">
        <f>AT79&amp;" "&amp;IF(AW79&lt;&gt;"-",【様式2】職員名簿!B109&amp;"/"&amp;AV79&amp;"/"&amp;AW79,"")</f>
        <v xml:space="preserve">72 </v>
      </c>
      <c r="AV79" s="184">
        <f>【様式2】職員名簿!E109</f>
        <v>0</v>
      </c>
      <c r="AW79" s="184" t="str">
        <f>IF(【様式2】職員名簿!J109="エラー","-",【様式2】職員名簿!J109)</f>
        <v>-</v>
      </c>
      <c r="AX79" s="413">
        <f>IF($AV79="常勤",$AM$2,IF($AV79="非常勤",【様式2】職員名簿!G109,0))</f>
        <v>0</v>
      </c>
      <c r="AY79" s="440">
        <f>IF($AW79=AY$3,COUNTIF($AW$8:$AW79,AY$3),0)</f>
        <v>0</v>
      </c>
      <c r="AZ79" s="441" t="str">
        <f t="shared" si="81"/>
        <v/>
      </c>
      <c r="BA79" s="442">
        <f>IF($AW79=BA$3,COUNTIF($AW$8:$AW79,BA$3),0)</f>
        <v>0</v>
      </c>
      <c r="BB79" s="441" t="str">
        <f t="shared" si="82"/>
        <v/>
      </c>
      <c r="BC79" s="442">
        <f>IF($AW79=BC$3,COUNTIFS($AW$8:$AW79,BC$3,$AV$8:$AV79,BC$4),0)</f>
        <v>0</v>
      </c>
      <c r="BD79" s="441" t="str">
        <f t="shared" si="83"/>
        <v/>
      </c>
      <c r="BE79" s="272">
        <f>IF($AW79=BE$3,COUNTIF($AW$8:$AW79,BE$3),0)</f>
        <v>0</v>
      </c>
      <c r="BF79" s="441" t="str">
        <f t="shared" si="84"/>
        <v/>
      </c>
      <c r="BG79" s="271">
        <f>IF(OR($AW79=BG$3,$AW79=BG$4),COUNTIF($AW$8:$AW79,BG$3)+COUNTIF($AW$8:$AW79,BG$4),0)</f>
        <v>0</v>
      </c>
      <c r="BH79" s="441" t="str">
        <f t="shared" si="85"/>
        <v/>
      </c>
      <c r="BI79" s="271">
        <f>IF($AW79=BI$3,COUNTIF($AW$8:$AW79,BI$3),0)</f>
        <v>0</v>
      </c>
      <c r="BJ79" s="441" t="str">
        <f t="shared" si="86"/>
        <v/>
      </c>
      <c r="BK79" s="271">
        <f>IF($AW79&lt;&gt;BK$3,COUNTIF($AW$8:$AW79,"&lt;&gt;"&amp;BK$3),0)</f>
        <v>0</v>
      </c>
      <c r="BL79" s="441" t="str">
        <f t="shared" si="87"/>
        <v/>
      </c>
      <c r="BM79" s="337"/>
      <c r="BN79" s="337"/>
    </row>
    <row r="80" spans="1:66" ht="15" hidden="1" customHeight="1" outlineLevel="1" thickBot="1">
      <c r="A80" s="544" t="str">
        <f t="shared" ref="A80:A83" si="91">AS2</f>
        <v>施設長</v>
      </c>
      <c r="B80" s="545">
        <f>【様式2】職員名簿!J11</f>
        <v>0</v>
      </c>
      <c r="C80" s="547"/>
      <c r="D80" s="546"/>
      <c r="E80" s="546"/>
      <c r="F80" s="548"/>
      <c r="G80" s="548"/>
      <c r="H80" s="549">
        <f>B80-SUM($C80:$G80)</f>
        <v>0</v>
      </c>
      <c r="I80" s="550"/>
      <c r="J80" s="154"/>
      <c r="K80" s="154"/>
      <c r="L80" s="154"/>
      <c r="M80" s="154"/>
      <c r="N80" s="154"/>
      <c r="O80" s="154"/>
      <c r="P80" s="150"/>
      <c r="Q80" s="551" t="s">
        <v>770</v>
      </c>
      <c r="R80" s="451"/>
      <c r="S80" s="451"/>
      <c r="T80" s="451"/>
      <c r="U80" s="451"/>
      <c r="V80" s="451"/>
      <c r="W80" s="451"/>
      <c r="X80" s="451"/>
      <c r="Y80" s="451"/>
      <c r="Z80" s="451"/>
      <c r="AA80" s="451"/>
      <c r="AB80" s="451"/>
      <c r="AC80" s="451"/>
      <c r="AD80" s="451"/>
      <c r="AE80" s="451"/>
      <c r="AF80" s="451"/>
      <c r="AG80" s="451"/>
      <c r="AH80" s="451"/>
      <c r="AI80" s="451"/>
      <c r="AJ80" s="552"/>
      <c r="AN80" s="526"/>
      <c r="AQ80" s="486"/>
      <c r="AR80" s="486"/>
      <c r="AS80" s="486"/>
      <c r="AT80" s="271">
        <f t="shared" si="80"/>
        <v>73</v>
      </c>
      <c r="AU80" s="184" t="str">
        <f>AT80&amp;" "&amp;IF(AW80&lt;&gt;"-",【様式2】職員名簿!B110&amp;"/"&amp;AV80&amp;"/"&amp;AW80,"")</f>
        <v xml:space="preserve">73 </v>
      </c>
      <c r="AV80" s="184">
        <f>【様式2】職員名簿!E110</f>
        <v>0</v>
      </c>
      <c r="AW80" s="184" t="str">
        <f>IF(【様式2】職員名簿!J110="エラー","-",【様式2】職員名簿!J110)</f>
        <v>-</v>
      </c>
      <c r="AX80" s="413">
        <f>IF($AV80="常勤",$AM$2,IF($AV80="非常勤",【様式2】職員名簿!G110,0))</f>
        <v>0</v>
      </c>
      <c r="AY80" s="440">
        <f>IF($AW80=AY$3,COUNTIF($AW$8:$AW80,AY$3),0)</f>
        <v>0</v>
      </c>
      <c r="AZ80" s="441" t="str">
        <f t="shared" si="81"/>
        <v/>
      </c>
      <c r="BA80" s="442">
        <f>IF($AW80=BA$3,COUNTIF($AW$8:$AW80,BA$3),0)</f>
        <v>0</v>
      </c>
      <c r="BB80" s="441" t="str">
        <f t="shared" si="82"/>
        <v/>
      </c>
      <c r="BC80" s="442">
        <f>IF($AW80=BC$3,COUNTIFS($AW$8:$AW80,BC$3,$AV$8:$AV80,BC$4),0)</f>
        <v>0</v>
      </c>
      <c r="BD80" s="441" t="str">
        <f t="shared" si="83"/>
        <v/>
      </c>
      <c r="BE80" s="272">
        <f>IF($AW80=BE$3,COUNTIF($AW$8:$AW80,BE$3),0)</f>
        <v>0</v>
      </c>
      <c r="BF80" s="441" t="str">
        <f t="shared" si="84"/>
        <v/>
      </c>
      <c r="BG80" s="271">
        <f>IF(OR($AW80=BG$3,$AW80=BG$4),COUNTIF($AW$8:$AW80,BG$3)+COUNTIF($AW$8:$AW80,BG$4),0)</f>
        <v>0</v>
      </c>
      <c r="BH80" s="441" t="str">
        <f t="shared" si="85"/>
        <v/>
      </c>
      <c r="BI80" s="271">
        <f>IF($AW80=BI$3,COUNTIF($AW$8:$AW80,BI$3),0)</f>
        <v>0</v>
      </c>
      <c r="BJ80" s="441" t="str">
        <f t="shared" si="86"/>
        <v/>
      </c>
      <c r="BK80" s="271">
        <f>IF($AW80&lt;&gt;BK$3,COUNTIF($AW$8:$AW80,"&lt;&gt;"&amp;BK$3),0)</f>
        <v>0</v>
      </c>
      <c r="BL80" s="441" t="str">
        <f t="shared" si="87"/>
        <v/>
      </c>
      <c r="BM80" s="337"/>
      <c r="BN80" s="337"/>
    </row>
    <row r="81" spans="1:66" ht="15" hidden="1" customHeight="1" outlineLevel="1">
      <c r="A81" s="553" t="str">
        <f t="shared" si="91"/>
        <v>保育士</v>
      </c>
      <c r="B81" s="554">
        <f>【様式2】職員名簿!J12</f>
        <v>0</v>
      </c>
      <c r="C81" s="556">
        <f>SUMIF($AF$22:$AF$48,$A81,$AG$22:$AG$48)</f>
        <v>0</v>
      </c>
      <c r="D81" s="555">
        <f>SUMIF($AF$52:$AF$73,$A81,$AG$52:$AG$73)</f>
        <v>0</v>
      </c>
      <c r="E81" s="875"/>
      <c r="F81" s="876"/>
      <c r="G81" s="896"/>
      <c r="H81" s="557">
        <f>B81-SUM($C81:$G81)</f>
        <v>0</v>
      </c>
      <c r="I81" s="558" t="s">
        <v>771</v>
      </c>
      <c r="J81" s="154"/>
      <c r="K81" s="154"/>
      <c r="L81" s="154"/>
      <c r="M81" s="154"/>
      <c r="N81" s="154"/>
      <c r="O81" s="154"/>
      <c r="P81" s="150"/>
      <c r="Q81" s="1950" t="s">
        <v>723</v>
      </c>
      <c r="R81" s="1951"/>
      <c r="S81" s="559"/>
      <c r="T81" s="1954" t="s">
        <v>724</v>
      </c>
      <c r="U81" s="1957"/>
      <c r="V81" s="1950" t="s">
        <v>726</v>
      </c>
      <c r="W81" s="1960"/>
      <c r="X81" s="1960"/>
      <c r="Y81" s="1960"/>
      <c r="Z81" s="1960"/>
      <c r="AA81" s="1960"/>
      <c r="AB81" s="1960"/>
      <c r="AC81" s="1960"/>
      <c r="AD81" s="1960"/>
      <c r="AE81" s="1951"/>
      <c r="AF81" s="1950" t="s">
        <v>727</v>
      </c>
      <c r="AG81" s="1951"/>
      <c r="AH81" s="1961" t="s">
        <v>728</v>
      </c>
      <c r="AI81" s="1962"/>
      <c r="AJ81" s="1963"/>
      <c r="AQ81" s="486"/>
      <c r="AR81" s="486"/>
      <c r="AS81" s="486"/>
      <c r="AT81" s="271">
        <f t="shared" si="80"/>
        <v>74</v>
      </c>
      <c r="AU81" s="184" t="str">
        <f>AT81&amp;" "&amp;IF(AW81&lt;&gt;"-",【様式2】職員名簿!B111&amp;"/"&amp;AV81&amp;"/"&amp;AW81,"")</f>
        <v xml:space="preserve">74 </v>
      </c>
      <c r="AV81" s="184">
        <f>【様式2】職員名簿!E111</f>
        <v>0</v>
      </c>
      <c r="AW81" s="184" t="str">
        <f>IF(【様式2】職員名簿!J111="エラー","-",【様式2】職員名簿!J111)</f>
        <v>-</v>
      </c>
      <c r="AX81" s="413">
        <f>IF($AV81="常勤",$AM$2,IF($AV81="非常勤",【様式2】職員名簿!G111,0))</f>
        <v>0</v>
      </c>
      <c r="AY81" s="440">
        <f>IF($AW81=AY$3,COUNTIF($AW$8:$AW81,AY$3),0)</f>
        <v>0</v>
      </c>
      <c r="AZ81" s="441" t="str">
        <f t="shared" si="81"/>
        <v/>
      </c>
      <c r="BA81" s="442">
        <f>IF($AW81=BA$3,COUNTIF($AW$8:$AW81,BA$3),0)</f>
        <v>0</v>
      </c>
      <c r="BB81" s="441" t="str">
        <f t="shared" si="82"/>
        <v/>
      </c>
      <c r="BC81" s="442">
        <f>IF($AW81=BC$3,COUNTIFS($AW$8:$AW81,BC$3,$AV$8:$AV81,BC$4),0)</f>
        <v>0</v>
      </c>
      <c r="BD81" s="441" t="str">
        <f t="shared" si="83"/>
        <v/>
      </c>
      <c r="BE81" s="272">
        <f>IF($AW81=BE$3,COUNTIF($AW$8:$AW81,BE$3),0)</f>
        <v>0</v>
      </c>
      <c r="BF81" s="441" t="str">
        <f t="shared" si="84"/>
        <v/>
      </c>
      <c r="BG81" s="271">
        <f>IF(OR($AW81=BG$3,$AW81=BG$4),COUNTIF($AW$8:$AW81,BG$3)+COUNTIF($AW$8:$AW81,BG$4),0)</f>
        <v>0</v>
      </c>
      <c r="BH81" s="441" t="str">
        <f t="shared" si="85"/>
        <v/>
      </c>
      <c r="BI81" s="271">
        <f>IF($AW81=BI$3,COUNTIF($AW$8:$AW81,BI$3),0)</f>
        <v>0</v>
      </c>
      <c r="BJ81" s="441" t="str">
        <f t="shared" si="86"/>
        <v/>
      </c>
      <c r="BK81" s="271">
        <f>IF($AW81&lt;&gt;BK$3,COUNTIF($AW$8:$AW81,"&lt;&gt;"&amp;BK$3),0)</f>
        <v>0</v>
      </c>
      <c r="BL81" s="441" t="str">
        <f t="shared" si="87"/>
        <v/>
      </c>
      <c r="BM81" s="337"/>
      <c r="BN81" s="337"/>
    </row>
    <row r="82" spans="1:66" ht="15" hidden="1" customHeight="1" outlineLevel="1" thickBot="1">
      <c r="A82" s="560" t="str">
        <f t="shared" si="91"/>
        <v>栄養士</v>
      </c>
      <c r="B82" s="561">
        <f>【様式2】職員名簿!J13</f>
        <v>0</v>
      </c>
      <c r="C82" s="563">
        <f>SUMIF($AF$22:$AF$48,$A82,$AG$22:$AG$48)</f>
        <v>0</v>
      </c>
      <c r="D82" s="562">
        <f>SUMIF($AF$52:$AF$73,$A82,$AG$52:$AG$73)</f>
        <v>0</v>
      </c>
      <c r="E82" s="874"/>
      <c r="F82" s="877"/>
      <c r="G82" s="569"/>
      <c r="H82" s="557">
        <f>B82-SUM($C82:$G82)</f>
        <v>0</v>
      </c>
      <c r="I82" s="550"/>
      <c r="J82" s="154"/>
      <c r="K82" s="154"/>
      <c r="L82" s="154"/>
      <c r="M82" s="154"/>
      <c r="N82" s="154"/>
      <c r="O82" s="154"/>
      <c r="P82" s="150"/>
      <c r="Q82" s="1952"/>
      <c r="R82" s="1953"/>
      <c r="S82" s="564"/>
      <c r="T82" s="1955"/>
      <c r="U82" s="1958"/>
      <c r="V82" s="1964" t="s">
        <v>732</v>
      </c>
      <c r="W82" s="1966" t="s">
        <v>733</v>
      </c>
      <c r="X82" s="1968" t="s">
        <v>734</v>
      </c>
      <c r="Y82" s="1970" t="s">
        <v>735</v>
      </c>
      <c r="Z82" s="1970"/>
      <c r="AA82" s="1970"/>
      <c r="AB82" s="1970"/>
      <c r="AC82" s="1971"/>
      <c r="AD82" s="1966" t="s">
        <v>314</v>
      </c>
      <c r="AE82" s="1953" t="s">
        <v>7</v>
      </c>
      <c r="AF82" s="1952"/>
      <c r="AG82" s="1953"/>
      <c r="AH82" s="1974" t="s">
        <v>772</v>
      </c>
      <c r="AI82" s="1976" t="s">
        <v>73</v>
      </c>
      <c r="AJ82" s="1978"/>
      <c r="AP82" s="486"/>
      <c r="AQ82" s="486"/>
      <c r="AR82" s="486"/>
      <c r="AS82" s="486"/>
      <c r="AT82" s="271">
        <f t="shared" si="80"/>
        <v>75</v>
      </c>
      <c r="AU82" s="184" t="str">
        <f>AT82&amp;" "&amp;IF(AW82&lt;&gt;"-",【様式2】職員名簿!B112&amp;"/"&amp;AV82&amp;"/"&amp;AW82,"")</f>
        <v xml:space="preserve">75 </v>
      </c>
      <c r="AV82" s="184">
        <f>【様式2】職員名簿!E112</f>
        <v>0</v>
      </c>
      <c r="AW82" s="184" t="str">
        <f>IF(【様式2】職員名簿!J112="エラー","-",【様式2】職員名簿!J112)</f>
        <v>-</v>
      </c>
      <c r="AX82" s="413">
        <f>IF($AV82="常勤",$AM$2,IF($AV82="非常勤",【様式2】職員名簿!G112,0))</f>
        <v>0</v>
      </c>
      <c r="AY82" s="440">
        <f>IF($AW82=AY$3,COUNTIF($AW$8:$AW82,AY$3),0)</f>
        <v>0</v>
      </c>
      <c r="AZ82" s="441" t="str">
        <f t="shared" si="81"/>
        <v/>
      </c>
      <c r="BA82" s="442">
        <f>IF($AW82=BA$3,COUNTIF($AW$8:$AW82,BA$3),0)</f>
        <v>0</v>
      </c>
      <c r="BB82" s="441" t="str">
        <f t="shared" si="82"/>
        <v/>
      </c>
      <c r="BC82" s="442">
        <f>IF($AW82=BC$3,COUNTIFS($AW$8:$AW82,BC$3,$AV$8:$AV82,BC$4),0)</f>
        <v>0</v>
      </c>
      <c r="BD82" s="441" t="str">
        <f t="shared" si="83"/>
        <v/>
      </c>
      <c r="BE82" s="272">
        <f>IF($AW82=BE$3,COUNTIF($AW$8:$AW82,BE$3),0)</f>
        <v>0</v>
      </c>
      <c r="BF82" s="441" t="str">
        <f t="shared" si="84"/>
        <v/>
      </c>
      <c r="BG82" s="271">
        <f>IF(OR($AW82=BG$3,$AW82=BG$4),COUNTIF($AW$8:$AW82,BG$3)+COUNTIF($AW$8:$AW82,BG$4),0)</f>
        <v>0</v>
      </c>
      <c r="BH82" s="441" t="str">
        <f t="shared" si="85"/>
        <v/>
      </c>
      <c r="BI82" s="271">
        <f>IF($AW82=BI$3,COUNTIF($AW$8:$AW82,BI$3),0)</f>
        <v>0</v>
      </c>
      <c r="BJ82" s="441" t="str">
        <f t="shared" si="86"/>
        <v/>
      </c>
      <c r="BK82" s="271">
        <f>IF($AW82&lt;&gt;BK$3,COUNTIF($AW$8:$AW82,"&lt;&gt;"&amp;BK$3),0)</f>
        <v>0</v>
      </c>
      <c r="BL82" s="441" t="str">
        <f t="shared" si="87"/>
        <v/>
      </c>
      <c r="BM82" s="337"/>
      <c r="BN82" s="337"/>
    </row>
    <row r="83" spans="1:66" ht="15" hidden="1" customHeight="1" outlineLevel="1" thickBot="1">
      <c r="A83" s="560" t="str">
        <f t="shared" si="91"/>
        <v>調理員</v>
      </c>
      <c r="B83" s="561">
        <f>【様式2】職員名簿!J14</f>
        <v>0</v>
      </c>
      <c r="C83" s="563">
        <f>SUMIF($AF$22:$AF$48,$A83,$AG$22:$AG$48)</f>
        <v>0</v>
      </c>
      <c r="D83" s="562">
        <f>SUMIF($AF$52:$AF$73,$A83,$AG$52:$AG$73)</f>
        <v>0</v>
      </c>
      <c r="E83" s="565"/>
      <c r="F83" s="877"/>
      <c r="G83" s="569"/>
      <c r="H83" s="566">
        <f>SUM(B83,E80:E85)-SUM($C83:$F83)</f>
        <v>0</v>
      </c>
      <c r="I83" s="550"/>
      <c r="J83" s="154"/>
      <c r="K83" s="154"/>
      <c r="L83" s="154"/>
      <c r="M83" s="154"/>
      <c r="N83" s="154"/>
      <c r="O83" s="154"/>
      <c r="P83" s="150"/>
      <c r="Q83" s="567" t="s">
        <v>738</v>
      </c>
      <c r="R83" s="795" t="s">
        <v>739</v>
      </c>
      <c r="S83" s="568"/>
      <c r="T83" s="1956"/>
      <c r="U83" s="1959"/>
      <c r="V83" s="1965"/>
      <c r="W83" s="1967"/>
      <c r="X83" s="1969"/>
      <c r="Y83" s="794" t="s">
        <v>73</v>
      </c>
      <c r="Z83" s="1980" t="s">
        <v>773</v>
      </c>
      <c r="AA83" s="1980"/>
      <c r="AB83" s="1981"/>
      <c r="AC83" s="1982" t="s">
        <v>774</v>
      </c>
      <c r="AD83" s="1972"/>
      <c r="AE83" s="1973"/>
      <c r="AF83" s="567" t="s">
        <v>79</v>
      </c>
      <c r="AG83" s="795" t="s">
        <v>743</v>
      </c>
      <c r="AH83" s="1975"/>
      <c r="AI83" s="1977"/>
      <c r="AJ83" s="1979"/>
      <c r="AP83" s="486"/>
      <c r="AQ83" s="486"/>
      <c r="AR83" s="486"/>
      <c r="AS83" s="486"/>
      <c r="AT83" s="271">
        <f t="shared" si="80"/>
        <v>76</v>
      </c>
      <c r="AU83" s="184" t="str">
        <f>AT83&amp;" "&amp;IF(AW83&lt;&gt;"-",【様式2】職員名簿!B113&amp;"/"&amp;AV83&amp;"/"&amp;AW83,"")</f>
        <v xml:space="preserve">76 </v>
      </c>
      <c r="AV83" s="184">
        <f>【様式2】職員名簿!E113</f>
        <v>0</v>
      </c>
      <c r="AW83" s="184" t="str">
        <f>IF(【様式2】職員名簿!J113="エラー","-",【様式2】職員名簿!J113)</f>
        <v>-</v>
      </c>
      <c r="AX83" s="413">
        <f>IF($AV83="常勤",$AM$2,IF($AV83="非常勤",【様式2】職員名簿!G113,0))</f>
        <v>0</v>
      </c>
      <c r="AY83" s="440">
        <f>IF($AW83=AY$3,COUNTIF($AW$8:$AW83,AY$3),0)</f>
        <v>0</v>
      </c>
      <c r="AZ83" s="441" t="str">
        <f t="shared" si="81"/>
        <v/>
      </c>
      <c r="BA83" s="442">
        <f>IF($AW83=BA$3,COUNTIF($AW$8:$AW83,BA$3),0)</f>
        <v>0</v>
      </c>
      <c r="BB83" s="441" t="str">
        <f t="shared" si="82"/>
        <v/>
      </c>
      <c r="BC83" s="442">
        <f>IF($AW83=BC$3,COUNTIFS($AW$8:$AW83,BC$3,$AV$8:$AV83,BC$4),0)</f>
        <v>0</v>
      </c>
      <c r="BD83" s="441" t="str">
        <f t="shared" si="83"/>
        <v/>
      </c>
      <c r="BE83" s="272">
        <f>IF($AW83=BE$3,COUNTIF($AW$8:$AW83,BE$3),0)</f>
        <v>0</v>
      </c>
      <c r="BF83" s="441" t="str">
        <f t="shared" si="84"/>
        <v/>
      </c>
      <c r="BG83" s="271">
        <f>IF(OR($AW83=BG$3,$AW83=BG$4),COUNTIF($AW$8:$AW83,BG$3)+COUNTIF($AW$8:$AW83,BG$4),0)</f>
        <v>0</v>
      </c>
      <c r="BH83" s="441" t="str">
        <f t="shared" si="85"/>
        <v/>
      </c>
      <c r="BI83" s="271">
        <f>IF($AW83=BI$3,COUNTIF($AW$8:$AW83,BI$3),0)</f>
        <v>0</v>
      </c>
      <c r="BJ83" s="441" t="str">
        <f t="shared" si="86"/>
        <v/>
      </c>
      <c r="BK83" s="271">
        <f>IF($AW83&lt;&gt;BK$3,COUNTIF($AW$8:$AW83,"&lt;&gt;"&amp;BK$3),0)</f>
        <v>0</v>
      </c>
      <c r="BL83" s="441" t="str">
        <f t="shared" si="87"/>
        <v/>
      </c>
      <c r="BM83" s="337"/>
      <c r="BN83" s="337"/>
    </row>
    <row r="84" spans="1:66" ht="15" hidden="1" customHeight="1" outlineLevel="1">
      <c r="A84" s="560" t="str">
        <f>AS6</f>
        <v>事務員</v>
      </c>
      <c r="B84" s="561">
        <f>【様式2】職員名簿!J15</f>
        <v>0</v>
      </c>
      <c r="C84" s="563">
        <f>SUMIF($AF$22:$AF$48,$A84,$AG$22:$AG$48)</f>
        <v>0</v>
      </c>
      <c r="D84" s="562">
        <f>SUMIF($AF$52:$AF$73,$A84,$AG$52:$AG$73)</f>
        <v>0</v>
      </c>
      <c r="E84" s="874"/>
      <c r="F84" s="569"/>
      <c r="G84" s="897">
        <f>SUM(M34)</f>
        <v>0</v>
      </c>
      <c r="H84" s="566">
        <f>SUM(B84,F80:F85,G84)-SUM(C84:F84)</f>
        <v>0</v>
      </c>
      <c r="I84" s="550"/>
      <c r="J84" s="154"/>
      <c r="K84" s="154"/>
      <c r="L84" s="154"/>
      <c r="M84" s="154"/>
      <c r="N84" s="154"/>
      <c r="O84" s="154"/>
      <c r="P84" s="150"/>
      <c r="Q84" s="1911" t="s">
        <v>775</v>
      </c>
      <c r="R84" s="1914" t="s">
        <v>776</v>
      </c>
      <c r="S84" s="570"/>
      <c r="T84" s="1917" t="s">
        <v>777</v>
      </c>
      <c r="U84" s="1920"/>
      <c r="V84" s="117">
        <v>1</v>
      </c>
      <c r="W84" s="571" t="s">
        <v>51</v>
      </c>
      <c r="X84" s="571" t="s">
        <v>51</v>
      </c>
      <c r="Y84" s="571" t="s">
        <v>51</v>
      </c>
      <c r="Z84" s="1923" t="s">
        <v>778</v>
      </c>
      <c r="AA84" s="1924"/>
      <c r="AB84" s="1924"/>
      <c r="AC84" s="1983"/>
      <c r="AD84" s="117" t="s">
        <v>51</v>
      </c>
      <c r="AE84" s="572" t="s">
        <v>51</v>
      </c>
      <c r="AF84" s="1929" t="s">
        <v>779</v>
      </c>
      <c r="AG84" s="1930"/>
      <c r="AH84" s="573">
        <v>1</v>
      </c>
      <c r="AI84" s="1895" t="s">
        <v>780</v>
      </c>
      <c r="AJ84" s="1896"/>
      <c r="AP84" s="486"/>
      <c r="AQ84" s="486"/>
      <c r="AR84" s="486"/>
      <c r="AS84" s="486"/>
      <c r="AT84" s="271">
        <f t="shared" si="80"/>
        <v>77</v>
      </c>
      <c r="AU84" s="184" t="str">
        <f>AT84&amp;" "&amp;IF(AW84&lt;&gt;"-",【様式2】職員名簿!B114&amp;"/"&amp;AV84&amp;"/"&amp;AW84,"")</f>
        <v xml:space="preserve">77 </v>
      </c>
      <c r="AV84" s="184">
        <f>【様式2】職員名簿!E114</f>
        <v>0</v>
      </c>
      <c r="AW84" s="184" t="str">
        <f>IF(【様式2】職員名簿!J114="エラー","-",【様式2】職員名簿!J114)</f>
        <v>-</v>
      </c>
      <c r="AX84" s="413">
        <f>IF($AV84="常勤",$AM$2,IF($AV84="非常勤",【様式2】職員名簿!G114,0))</f>
        <v>0</v>
      </c>
      <c r="AY84" s="440">
        <f>IF($AW84=AY$3,COUNTIF($AW$8:$AW84,AY$3),0)</f>
        <v>0</v>
      </c>
      <c r="AZ84" s="441" t="str">
        <f t="shared" si="81"/>
        <v/>
      </c>
      <c r="BA84" s="442">
        <f>IF($AW84=BA$3,COUNTIF($AW$8:$AW84,BA$3),0)</f>
        <v>0</v>
      </c>
      <c r="BB84" s="441" t="str">
        <f t="shared" si="82"/>
        <v/>
      </c>
      <c r="BC84" s="442">
        <f>IF($AW84=BC$3,COUNTIFS($AW$8:$AW84,BC$3,$AV$8:$AV84,BC$4),0)</f>
        <v>0</v>
      </c>
      <c r="BD84" s="441" t="str">
        <f t="shared" si="83"/>
        <v/>
      </c>
      <c r="BE84" s="272">
        <f>IF($AW84=BE$3,COUNTIF($AW$8:$AW84,BE$3),0)</f>
        <v>0</v>
      </c>
      <c r="BF84" s="441" t="str">
        <f t="shared" si="84"/>
        <v/>
      </c>
      <c r="BG84" s="271">
        <f>IF(OR($AW84=BG$3,$AW84=BG$4),COUNTIF($AW$8:$AW84,BG$3)+COUNTIF($AW$8:$AW84,BG$4),0)</f>
        <v>0</v>
      </c>
      <c r="BH84" s="441" t="str">
        <f t="shared" si="85"/>
        <v/>
      </c>
      <c r="BI84" s="271">
        <f>IF($AW84=BI$3,COUNTIF($AW$8:$AW84,BI$3),0)</f>
        <v>0</v>
      </c>
      <c r="BJ84" s="441" t="str">
        <f t="shared" si="86"/>
        <v/>
      </c>
      <c r="BK84" s="271">
        <f>IF($AW84&lt;&gt;BK$3,COUNTIF($AW$8:$AW84,"&lt;&gt;"&amp;BK$3),0)</f>
        <v>0</v>
      </c>
      <c r="BL84" s="441" t="str">
        <f t="shared" si="87"/>
        <v/>
      </c>
      <c r="BM84" s="337"/>
      <c r="BN84" s="337"/>
    </row>
    <row r="85" spans="1:66" ht="15" hidden="1" customHeight="1" outlineLevel="1">
      <c r="A85" s="574" t="str">
        <f>AS7</f>
        <v>その他</v>
      </c>
      <c r="B85" s="575">
        <f>【様式2】職員名簿!J16</f>
        <v>0</v>
      </c>
      <c r="C85" s="577">
        <f>SUMIF($AF$22:$AF$48,$A85,$AG$22:$AG$48)</f>
        <v>0</v>
      </c>
      <c r="D85" s="576">
        <f>SUMIF($AF$52:$AF$73,$A85,$AG$52:$AG$73)</f>
        <v>0</v>
      </c>
      <c r="E85" s="873"/>
      <c r="F85" s="878"/>
      <c r="G85" s="898"/>
      <c r="H85" s="557">
        <f>B85-SUM($C85:$G85)</f>
        <v>0</v>
      </c>
      <c r="I85" s="550"/>
      <c r="J85" s="154"/>
      <c r="K85" s="154"/>
      <c r="L85" s="154"/>
      <c r="M85" s="154"/>
      <c r="N85" s="154"/>
      <c r="O85" s="154"/>
      <c r="P85" s="150"/>
      <c r="Q85" s="1912"/>
      <c r="R85" s="1915"/>
      <c r="S85" s="578"/>
      <c r="T85" s="1918"/>
      <c r="U85" s="1921"/>
      <c r="V85" s="579">
        <v>2</v>
      </c>
      <c r="W85" s="149" t="s">
        <v>51</v>
      </c>
      <c r="X85" s="149" t="s">
        <v>51</v>
      </c>
      <c r="Y85" s="149" t="s">
        <v>51</v>
      </c>
      <c r="Z85" s="1925"/>
      <c r="AA85" s="1926"/>
      <c r="AB85" s="1926"/>
      <c r="AC85" s="1983"/>
      <c r="AD85" s="147" t="s">
        <v>51</v>
      </c>
      <c r="AE85" s="580"/>
      <c r="AF85" s="1931"/>
      <c r="AG85" s="1932"/>
      <c r="AH85" s="148">
        <v>2</v>
      </c>
      <c r="AI85" s="1895" t="s">
        <v>781</v>
      </c>
      <c r="AJ85" s="1896"/>
      <c r="AP85" s="486"/>
      <c r="AQ85" s="486"/>
      <c r="AR85" s="486"/>
      <c r="AS85" s="486"/>
      <c r="AT85" s="271">
        <f t="shared" si="80"/>
        <v>78</v>
      </c>
      <c r="AU85" s="184" t="str">
        <f>AT85&amp;" "&amp;IF(AW85&lt;&gt;"-",【様式2】職員名簿!B115&amp;"/"&amp;AV85&amp;"/"&amp;AW85,"")</f>
        <v xml:space="preserve">78 </v>
      </c>
      <c r="AV85" s="184">
        <f>【様式2】職員名簿!E115</f>
        <v>0</v>
      </c>
      <c r="AW85" s="184" t="str">
        <f>IF(【様式2】職員名簿!J115="エラー","-",【様式2】職員名簿!J115)</f>
        <v>-</v>
      </c>
      <c r="AX85" s="413">
        <f>IF($AV85="常勤",$AM$2,IF($AV85="非常勤",【様式2】職員名簿!G115,0))</f>
        <v>0</v>
      </c>
      <c r="AY85" s="440">
        <f>IF($AW85=AY$3,COUNTIF($AW$8:$AW85,AY$3),0)</f>
        <v>0</v>
      </c>
      <c r="AZ85" s="441" t="str">
        <f t="shared" si="81"/>
        <v/>
      </c>
      <c r="BA85" s="442">
        <f>IF($AW85=BA$3,COUNTIF($AW$8:$AW85,BA$3),0)</f>
        <v>0</v>
      </c>
      <c r="BB85" s="441" t="str">
        <f t="shared" si="82"/>
        <v/>
      </c>
      <c r="BC85" s="442">
        <f>IF($AW85=BC$3,COUNTIFS($AW$8:$AW85,BC$3,$AV$8:$AV85,BC$4),0)</f>
        <v>0</v>
      </c>
      <c r="BD85" s="441" t="str">
        <f t="shared" si="83"/>
        <v/>
      </c>
      <c r="BE85" s="272">
        <f>IF($AW85=BE$3,COUNTIF($AW$8:$AW85,BE$3),0)</f>
        <v>0</v>
      </c>
      <c r="BF85" s="441" t="str">
        <f t="shared" si="84"/>
        <v/>
      </c>
      <c r="BG85" s="271">
        <f>IF(OR($AW85=BG$3,$AW85=BG$4),COUNTIF($AW$8:$AW85,BG$3)+COUNTIF($AW$8:$AW85,BG$4),0)</f>
        <v>0</v>
      </c>
      <c r="BH85" s="441" t="str">
        <f t="shared" si="85"/>
        <v/>
      </c>
      <c r="BI85" s="271">
        <f>IF($AW85=BI$3,COUNTIF($AW$8:$AW85,BI$3),0)</f>
        <v>0</v>
      </c>
      <c r="BJ85" s="441" t="str">
        <f t="shared" si="86"/>
        <v/>
      </c>
      <c r="BK85" s="271">
        <f>IF($AW85&lt;&gt;BK$3,COUNTIF($AW$8:$AW85,"&lt;&gt;"&amp;BK$3),0)</f>
        <v>0</v>
      </c>
      <c r="BL85" s="441" t="str">
        <f t="shared" si="87"/>
        <v/>
      </c>
      <c r="BM85" s="337"/>
      <c r="BN85" s="337"/>
    </row>
    <row r="86" spans="1:66" ht="15" customHeight="1" collapsed="1">
      <c r="A86" s="154"/>
      <c r="B86" s="154"/>
      <c r="C86" s="154"/>
      <c r="D86" s="154"/>
      <c r="E86" s="581"/>
      <c r="F86" s="550"/>
      <c r="G86" s="550"/>
      <c r="H86" s="550"/>
      <c r="I86" s="550"/>
      <c r="J86" s="550"/>
      <c r="K86" s="550"/>
      <c r="L86" s="550"/>
      <c r="M86" s="550"/>
      <c r="N86" s="195"/>
      <c r="O86" s="195"/>
      <c r="P86" s="150"/>
      <c r="Q86" s="1912"/>
      <c r="R86" s="1915"/>
      <c r="S86" s="578"/>
      <c r="T86" s="1918"/>
      <c r="U86" s="1921"/>
      <c r="V86" s="579">
        <v>3</v>
      </c>
      <c r="W86" s="149" t="s">
        <v>51</v>
      </c>
      <c r="X86" s="149" t="s">
        <v>51</v>
      </c>
      <c r="Y86" s="149"/>
      <c r="Z86" s="1925"/>
      <c r="AA86" s="1926"/>
      <c r="AB86" s="1926"/>
      <c r="AC86" s="1983"/>
      <c r="AD86" s="147" t="s">
        <v>51</v>
      </c>
      <c r="AE86" s="580"/>
      <c r="AF86" s="1931"/>
      <c r="AG86" s="1932"/>
      <c r="AH86" s="148">
        <v>3</v>
      </c>
      <c r="AI86" s="1897" t="s">
        <v>782</v>
      </c>
      <c r="AJ86" s="1898"/>
      <c r="AP86" s="486"/>
      <c r="AQ86" s="486"/>
      <c r="AR86" s="486"/>
      <c r="AS86" s="486"/>
      <c r="AT86" s="271">
        <f t="shared" si="80"/>
        <v>79</v>
      </c>
      <c r="AU86" s="184" t="str">
        <f>AT86&amp;" "&amp;IF(AW86&lt;&gt;"-",【様式2】職員名簿!B116&amp;"/"&amp;AV86&amp;"/"&amp;AW86,"")</f>
        <v xml:space="preserve">79 </v>
      </c>
      <c r="AV86" s="184">
        <f>【様式2】職員名簿!E116</f>
        <v>0</v>
      </c>
      <c r="AW86" s="184" t="str">
        <f>IF(【様式2】職員名簿!J116="エラー","-",【様式2】職員名簿!J116)</f>
        <v>-</v>
      </c>
      <c r="AX86" s="413">
        <f>IF($AV86="常勤",$AM$2,IF($AV86="非常勤",【様式2】職員名簿!G116,0))</f>
        <v>0</v>
      </c>
      <c r="AY86" s="440">
        <f>IF($AW86=AY$3,COUNTIF($AW$8:$AW86,AY$3),0)</f>
        <v>0</v>
      </c>
      <c r="AZ86" s="441" t="str">
        <f t="shared" si="81"/>
        <v/>
      </c>
      <c r="BA86" s="442">
        <f>IF($AW86=BA$3,COUNTIF($AW$8:$AW86,BA$3),0)</f>
        <v>0</v>
      </c>
      <c r="BB86" s="441" t="str">
        <f t="shared" si="82"/>
        <v/>
      </c>
      <c r="BC86" s="442">
        <f>IF($AW86=BC$3,COUNTIFS($AW$8:$AW86,BC$3,$AV$8:$AV86,BC$4),0)</f>
        <v>0</v>
      </c>
      <c r="BD86" s="441" t="str">
        <f t="shared" si="83"/>
        <v/>
      </c>
      <c r="BE86" s="272">
        <f>IF($AW86=BE$3,COUNTIF($AW$8:$AW86,BE$3),0)</f>
        <v>0</v>
      </c>
      <c r="BF86" s="441" t="str">
        <f t="shared" si="84"/>
        <v/>
      </c>
      <c r="BG86" s="271">
        <f>IF(OR($AW86=BG$3,$AW86=BG$4),COUNTIF($AW$8:$AW86,BG$3)+COUNTIF($AW$8:$AW86,BG$4),0)</f>
        <v>0</v>
      </c>
      <c r="BH86" s="441" t="str">
        <f t="shared" si="85"/>
        <v/>
      </c>
      <c r="BI86" s="271">
        <f>IF($AW86=BI$3,COUNTIF($AW$8:$AW86,BI$3),0)</f>
        <v>0</v>
      </c>
      <c r="BJ86" s="441" t="str">
        <f t="shared" si="86"/>
        <v/>
      </c>
      <c r="BK86" s="271">
        <f>IF($AW86&lt;&gt;BK$3,COUNTIF($AW$8:$AW86,"&lt;&gt;"&amp;BK$3),0)</f>
        <v>0</v>
      </c>
      <c r="BL86" s="441" t="str">
        <f t="shared" si="87"/>
        <v/>
      </c>
      <c r="BM86" s="337"/>
      <c r="BN86" s="337"/>
    </row>
    <row r="87" spans="1:66" ht="15" customHeight="1" thickBot="1">
      <c r="A87" s="159" t="s">
        <v>783</v>
      </c>
      <c r="B87" s="154"/>
      <c r="C87" s="154"/>
      <c r="D87" s="154"/>
      <c r="E87" s="154"/>
      <c r="F87" s="154"/>
      <c r="G87" s="154"/>
      <c r="H87" s="154"/>
      <c r="I87" s="154"/>
      <c r="J87" s="154"/>
      <c r="K87" s="154"/>
      <c r="L87" s="154"/>
      <c r="M87" s="195"/>
      <c r="N87" s="154"/>
      <c r="O87" s="195" t="s">
        <v>760</v>
      </c>
      <c r="P87" s="150"/>
      <c r="Q87" s="1912"/>
      <c r="R87" s="1915"/>
      <c r="S87" s="578"/>
      <c r="T87" s="1918"/>
      <c r="U87" s="1921"/>
      <c r="V87" s="579"/>
      <c r="W87" s="149"/>
      <c r="X87" s="149"/>
      <c r="Y87" s="74"/>
      <c r="Z87" s="1925"/>
      <c r="AA87" s="1926"/>
      <c r="AB87" s="1926"/>
      <c r="AC87" s="1983"/>
      <c r="AD87" s="103"/>
      <c r="AE87" s="580"/>
      <c r="AF87" s="1931"/>
      <c r="AG87" s="1932"/>
      <c r="AH87" s="148">
        <v>4</v>
      </c>
      <c r="AI87" s="1897" t="s">
        <v>630</v>
      </c>
      <c r="AJ87" s="1898"/>
      <c r="AP87" s="486"/>
      <c r="AQ87" s="486"/>
      <c r="AR87" s="486"/>
      <c r="AT87" s="271">
        <f t="shared" si="80"/>
        <v>80</v>
      </c>
      <c r="AU87" s="184" t="str">
        <f>AT87&amp;" "&amp;IF(AW87&lt;&gt;"-",【様式2】職員名簿!B117&amp;"/"&amp;AV87&amp;"/"&amp;AW87,"")</f>
        <v xml:space="preserve">80 </v>
      </c>
      <c r="AV87" s="184">
        <f>【様式2】職員名簿!E117</f>
        <v>0</v>
      </c>
      <c r="AW87" s="184" t="str">
        <f>IF(【様式2】職員名簿!J117="エラー","-",【様式2】職員名簿!J117)</f>
        <v>-</v>
      </c>
      <c r="AX87" s="413">
        <f>IF($AV87="常勤",$AM$2,IF($AV87="非常勤",【様式2】職員名簿!G117,0))</f>
        <v>0</v>
      </c>
      <c r="AY87" s="440">
        <f>IF($AW87=AY$3,COUNTIF($AW$8:$AW87,AY$3),0)</f>
        <v>0</v>
      </c>
      <c r="AZ87" s="441" t="str">
        <f t="shared" si="81"/>
        <v/>
      </c>
      <c r="BA87" s="442">
        <f>IF($AW87=BA$3,COUNTIF($AW$8:$AW87,BA$3),0)</f>
        <v>0</v>
      </c>
      <c r="BB87" s="441" t="str">
        <f t="shared" si="82"/>
        <v/>
      </c>
      <c r="BC87" s="442">
        <f>IF($AW87=BC$3,COUNTIFS($AW$8:$AW87,BC$3,$AV$8:$AV87,BC$4),0)</f>
        <v>0</v>
      </c>
      <c r="BD87" s="441" t="str">
        <f t="shared" si="83"/>
        <v/>
      </c>
      <c r="BE87" s="272">
        <f>IF($AW87=BE$3,COUNTIF($AW$8:$AW87,BE$3),0)</f>
        <v>0</v>
      </c>
      <c r="BF87" s="441" t="str">
        <f t="shared" si="84"/>
        <v/>
      </c>
      <c r="BG87" s="271">
        <f>IF(OR($AW87=BG$3,$AW87=BG$4),COUNTIF($AW$8:$AW87,BG$3)+COUNTIF($AW$8:$AW87,BG$4),0)</f>
        <v>0</v>
      </c>
      <c r="BH87" s="441" t="str">
        <f t="shared" si="85"/>
        <v/>
      </c>
      <c r="BI87" s="271">
        <f>IF($AW87=BI$3,COUNTIF($AW$8:$AW87,BI$3),0)</f>
        <v>0</v>
      </c>
      <c r="BJ87" s="441" t="str">
        <f t="shared" si="86"/>
        <v/>
      </c>
      <c r="BK87" s="271">
        <f>IF($AW87&lt;&gt;BK$3,COUNTIF($AW$8:$AW87,"&lt;&gt;"&amp;BK$3),0)</f>
        <v>0</v>
      </c>
      <c r="BL87" s="441" t="str">
        <f t="shared" si="87"/>
        <v/>
      </c>
      <c r="BM87" s="337"/>
      <c r="BN87" s="337"/>
    </row>
    <row r="88" spans="1:66" ht="15" customHeight="1" thickBot="1">
      <c r="A88" s="1899" t="s">
        <v>79</v>
      </c>
      <c r="B88" s="1900"/>
      <c r="C88" s="1901"/>
      <c r="D88" s="1902" t="s">
        <v>784</v>
      </c>
      <c r="E88" s="1902"/>
      <c r="F88" s="1902"/>
      <c r="G88" s="1902"/>
      <c r="H88" s="1902"/>
      <c r="I88" s="1902"/>
      <c r="J88" s="1902"/>
      <c r="K88" s="1902"/>
      <c r="L88" s="1902"/>
      <c r="M88" s="1903"/>
      <c r="N88" s="1903" t="s">
        <v>785</v>
      </c>
      <c r="O88" s="1905" t="s">
        <v>786</v>
      </c>
      <c r="P88" s="582"/>
      <c r="Q88" s="1913"/>
      <c r="R88" s="1916"/>
      <c r="S88" s="583"/>
      <c r="T88" s="1919"/>
      <c r="U88" s="1922"/>
      <c r="V88" s="584" t="s">
        <v>787</v>
      </c>
      <c r="W88" s="585" t="s">
        <v>788</v>
      </c>
      <c r="X88" s="586"/>
      <c r="Y88" s="586"/>
      <c r="Z88" s="1927"/>
      <c r="AA88" s="1928"/>
      <c r="AB88" s="1928"/>
      <c r="AC88" s="1984"/>
      <c r="AD88" s="587"/>
      <c r="AE88" s="588"/>
      <c r="AF88" s="1933"/>
      <c r="AG88" s="1934"/>
      <c r="AH88" s="589"/>
      <c r="AI88" s="586"/>
      <c r="AJ88" s="588"/>
      <c r="AP88" s="486"/>
      <c r="AQ88" s="486"/>
      <c r="AR88" s="486"/>
      <c r="AS88" s="486"/>
      <c r="AT88" s="271">
        <f t="shared" si="80"/>
        <v>81</v>
      </c>
      <c r="AU88" s="184" t="str">
        <f>AT88&amp;" "&amp;IF(AW88&lt;&gt;"-",【様式2】職員名簿!B118&amp;"/"&amp;AV88&amp;"/"&amp;AW88,"")</f>
        <v xml:space="preserve">81 </v>
      </c>
      <c r="AV88" s="184">
        <f>【様式2】職員名簿!E118</f>
        <v>0</v>
      </c>
      <c r="AW88" s="184" t="str">
        <f>IF(【様式2】職員名簿!J118="エラー","-",【様式2】職員名簿!J118)</f>
        <v>-</v>
      </c>
      <c r="AX88" s="413">
        <f>IF($AV88="常勤",$AM$2,IF($AV88="非常勤",【様式2】職員名簿!G118,0))</f>
        <v>0</v>
      </c>
      <c r="AY88" s="440">
        <f>IF($AW88=AY$3,COUNTIF($AW$8:$AW88,AY$3),0)</f>
        <v>0</v>
      </c>
      <c r="AZ88" s="441" t="str">
        <f t="shared" si="81"/>
        <v/>
      </c>
      <c r="BA88" s="442">
        <f>IF($AW88=BA$3,COUNTIF($AW$8:$AW88,BA$3),0)</f>
        <v>0</v>
      </c>
      <c r="BB88" s="441" t="str">
        <f t="shared" si="82"/>
        <v/>
      </c>
      <c r="BC88" s="442">
        <f>IF($AW88=BC$3,COUNTIFS($AW$8:$AW88,BC$3,$AV$8:$AV88,BC$4),0)</f>
        <v>0</v>
      </c>
      <c r="BD88" s="441" t="str">
        <f t="shared" si="83"/>
        <v/>
      </c>
      <c r="BE88" s="272">
        <f>IF($AW88=BE$3,COUNTIF($AW$8:$AW88,BE$3),0)</f>
        <v>0</v>
      </c>
      <c r="BF88" s="441" t="str">
        <f t="shared" si="84"/>
        <v/>
      </c>
      <c r="BG88" s="271">
        <f>IF(OR($AW88=BG$3,$AW88=BG$4),COUNTIF($AW$8:$AW88,BG$3)+COUNTIF($AW$8:$AW88,BG$4),0)</f>
        <v>0</v>
      </c>
      <c r="BH88" s="441" t="str">
        <f t="shared" si="85"/>
        <v/>
      </c>
      <c r="BI88" s="271">
        <f>IF($AW88=BI$3,COUNTIF($AW$8:$AW88,BI$3),0)</f>
        <v>0</v>
      </c>
      <c r="BJ88" s="441" t="str">
        <f t="shared" si="86"/>
        <v/>
      </c>
      <c r="BK88" s="271">
        <f>IF($AW88&lt;&gt;BK$3,COUNTIF($AW$8:$AW88,"&lt;&gt;"&amp;BK$3),0)</f>
        <v>0</v>
      </c>
      <c r="BL88" s="441" t="str">
        <f t="shared" si="87"/>
        <v/>
      </c>
      <c r="BM88" s="337"/>
      <c r="BN88" s="337"/>
    </row>
    <row r="89" spans="1:66" ht="15" customHeight="1" thickBot="1">
      <c r="A89" s="590" t="s">
        <v>127</v>
      </c>
      <c r="B89" s="1907" t="s">
        <v>729</v>
      </c>
      <c r="C89" s="1908"/>
      <c r="D89" s="1909" t="s">
        <v>789</v>
      </c>
      <c r="E89" s="1909"/>
      <c r="F89" s="1909"/>
      <c r="G89" s="1909"/>
      <c r="H89" s="1909"/>
      <c r="I89" s="1910"/>
      <c r="J89" s="1910"/>
      <c r="K89" s="1910"/>
      <c r="L89" s="591" t="s">
        <v>790</v>
      </c>
      <c r="M89" s="793"/>
      <c r="N89" s="1904"/>
      <c r="O89" s="1906"/>
      <c r="P89" s="582"/>
      <c r="Q89" s="582"/>
      <c r="AO89" s="486"/>
      <c r="AP89" s="486"/>
      <c r="AQ89" s="486"/>
      <c r="AR89" s="486"/>
      <c r="AS89" s="486"/>
      <c r="AT89" s="271">
        <f t="shared" si="80"/>
        <v>82</v>
      </c>
      <c r="AU89" s="184" t="str">
        <f>AT89&amp;" "&amp;IF(AW89&lt;&gt;"-",【様式2】職員名簿!B119&amp;"/"&amp;AV89&amp;"/"&amp;AW89,"")</f>
        <v xml:space="preserve">82 </v>
      </c>
      <c r="AV89" s="184">
        <f>【様式2】職員名簿!E119</f>
        <v>0</v>
      </c>
      <c r="AW89" s="184" t="str">
        <f>IF(【様式2】職員名簿!J119="エラー","-",【様式2】職員名簿!J119)</f>
        <v>-</v>
      </c>
      <c r="AX89" s="413">
        <f>IF($AV89="常勤",$AM$2,IF($AV89="非常勤",【様式2】職員名簿!G119,0))</f>
        <v>0</v>
      </c>
      <c r="AY89" s="440">
        <f>IF($AW89=AY$3,COUNTIF($AW$8:$AW89,AY$3),0)</f>
        <v>0</v>
      </c>
      <c r="AZ89" s="441" t="str">
        <f t="shared" si="81"/>
        <v/>
      </c>
      <c r="BA89" s="442">
        <f>IF($AW89=BA$3,COUNTIF($AW$8:$AW89,BA$3),0)</f>
        <v>0</v>
      </c>
      <c r="BB89" s="441" t="str">
        <f t="shared" si="82"/>
        <v/>
      </c>
      <c r="BC89" s="442">
        <f>IF($AW89=BC$3,COUNTIFS($AW$8:$AW89,BC$3,$AV$8:$AV89,BC$4),0)</f>
        <v>0</v>
      </c>
      <c r="BD89" s="441" t="str">
        <f t="shared" si="83"/>
        <v/>
      </c>
      <c r="BE89" s="272">
        <f>IF($AW89=BE$3,COUNTIF($AW$8:$AW89,BE$3),0)</f>
        <v>0</v>
      </c>
      <c r="BF89" s="441" t="str">
        <f t="shared" si="84"/>
        <v/>
      </c>
      <c r="BG89" s="271">
        <f>IF(OR($AW89=BG$3,$AW89=BG$4),COUNTIF($AW$8:$AW89,BG$3)+COUNTIF($AW$8:$AW89,BG$4),0)</f>
        <v>0</v>
      </c>
      <c r="BH89" s="441" t="str">
        <f t="shared" si="85"/>
        <v/>
      </c>
      <c r="BI89" s="271">
        <f>IF($AW89=BI$3,COUNTIF($AW$8:$AW89,BI$3),0)</f>
        <v>0</v>
      </c>
      <c r="BJ89" s="441" t="str">
        <f t="shared" si="86"/>
        <v/>
      </c>
      <c r="BK89" s="271">
        <f>IF($AW89&lt;&gt;BK$3,COUNTIF($AW$8:$AW89,"&lt;&gt;"&amp;BK$3),0)</f>
        <v>0</v>
      </c>
      <c r="BL89" s="441" t="str">
        <f t="shared" si="87"/>
        <v/>
      </c>
      <c r="BM89" s="337"/>
      <c r="BN89" s="337"/>
    </row>
    <row r="90" spans="1:66" ht="15" customHeight="1">
      <c r="A90" s="1853" t="s">
        <v>619</v>
      </c>
      <c r="B90" s="1855" t="s">
        <v>791</v>
      </c>
      <c r="C90" s="1856"/>
      <c r="D90" s="1859" t="s">
        <v>619</v>
      </c>
      <c r="E90" s="1440"/>
      <c r="F90" s="1440"/>
      <c r="G90" s="1440"/>
      <c r="H90" s="1440"/>
      <c r="I90" s="1440"/>
      <c r="J90" s="1440"/>
      <c r="K90" s="1440"/>
      <c r="L90" s="1862">
        <f>IF(R22,M22,1)</f>
        <v>1</v>
      </c>
      <c r="M90" s="1864">
        <f>SUM(L90)</f>
        <v>1</v>
      </c>
      <c r="N90" s="1866">
        <f>H80</f>
        <v>0</v>
      </c>
      <c r="O90" s="1851">
        <f>N90-M90</f>
        <v>-1</v>
      </c>
      <c r="P90" s="151"/>
      <c r="Q90" s="582"/>
      <c r="AO90" s="486"/>
      <c r="AP90" s="486"/>
      <c r="AT90" s="271">
        <f t="shared" si="80"/>
        <v>83</v>
      </c>
      <c r="AU90" s="184" t="str">
        <f>AT90&amp;" "&amp;IF(AW90&lt;&gt;"-",【様式2】職員名簿!B120&amp;"/"&amp;AV90&amp;"/"&amp;AW90,"")</f>
        <v xml:space="preserve">83 </v>
      </c>
      <c r="AV90" s="184">
        <f>【様式2】職員名簿!E120</f>
        <v>0</v>
      </c>
      <c r="AW90" s="184" t="str">
        <f>IF(【様式2】職員名簿!J120="エラー","-",【様式2】職員名簿!J120)</f>
        <v>-</v>
      </c>
      <c r="AX90" s="413">
        <f>IF($AV90="常勤",$AM$2,IF($AV90="非常勤",【様式2】職員名簿!G120,0))</f>
        <v>0</v>
      </c>
      <c r="AY90" s="440">
        <f>IF($AW90=AY$3,COUNTIF($AW$8:$AW90,AY$3),0)</f>
        <v>0</v>
      </c>
      <c r="AZ90" s="441" t="str">
        <f t="shared" si="81"/>
        <v/>
      </c>
      <c r="BA90" s="442">
        <f>IF($AW90=BA$3,COUNTIF($AW$8:$AW90,BA$3),0)</f>
        <v>0</v>
      </c>
      <c r="BB90" s="441" t="str">
        <f t="shared" si="82"/>
        <v/>
      </c>
      <c r="BC90" s="442">
        <f>IF($AW90=BC$3,COUNTIFS($AW$8:$AW90,BC$3,$AV$8:$AV90,BC$4),0)</f>
        <v>0</v>
      </c>
      <c r="BD90" s="441" t="str">
        <f t="shared" si="83"/>
        <v/>
      </c>
      <c r="BE90" s="272">
        <f>IF($AW90=BE$3,COUNTIF($AW$8:$AW90,BE$3),0)</f>
        <v>0</v>
      </c>
      <c r="BF90" s="441" t="str">
        <f t="shared" si="84"/>
        <v/>
      </c>
      <c r="BG90" s="271">
        <f>IF(OR($AW90=BG$3,$AW90=BG$4),COUNTIF($AW$8:$AW90,BG$3)+COUNTIF($AW$8:$AW90,BG$4),0)</f>
        <v>0</v>
      </c>
      <c r="BH90" s="441" t="str">
        <f t="shared" si="85"/>
        <v/>
      </c>
      <c r="BI90" s="271">
        <f>IF($AW90=BI$3,COUNTIF($AW$8:$AW90,BI$3),0)</f>
        <v>0</v>
      </c>
      <c r="BJ90" s="441" t="str">
        <f t="shared" si="86"/>
        <v/>
      </c>
      <c r="BK90" s="271">
        <f>IF($AW90&lt;&gt;BK$3,COUNTIF($AW$8:$AW90,"&lt;&gt;"&amp;BK$3),0)</f>
        <v>0</v>
      </c>
      <c r="BL90" s="441" t="str">
        <f t="shared" si="87"/>
        <v/>
      </c>
      <c r="BM90" s="337"/>
      <c r="BN90" s="337"/>
    </row>
    <row r="91" spans="1:66" ht="15" customHeight="1">
      <c r="A91" s="1854"/>
      <c r="B91" s="1857"/>
      <c r="C91" s="1858"/>
      <c r="D91" s="1860"/>
      <c r="E91" s="1861"/>
      <c r="F91" s="1861"/>
      <c r="G91" s="1861"/>
      <c r="H91" s="1861"/>
      <c r="I91" s="1861"/>
      <c r="J91" s="1861"/>
      <c r="K91" s="1861"/>
      <c r="L91" s="1863"/>
      <c r="M91" s="1865"/>
      <c r="N91" s="1867"/>
      <c r="O91" s="1852"/>
      <c r="P91" s="151"/>
      <c r="Q91" s="151"/>
      <c r="AO91" s="486"/>
      <c r="AP91" s="486"/>
      <c r="AQ91" s="486"/>
      <c r="AR91" s="486"/>
      <c r="AT91" s="271">
        <f t="shared" si="80"/>
        <v>84</v>
      </c>
      <c r="AU91" s="184" t="str">
        <f>AT91&amp;" "&amp;IF(AW91&lt;&gt;"-",【様式2】職員名簿!B121&amp;"/"&amp;AV91&amp;"/"&amp;AW91,"")</f>
        <v xml:space="preserve">84 </v>
      </c>
      <c r="AV91" s="184">
        <f>【様式2】職員名簿!E121</f>
        <v>0</v>
      </c>
      <c r="AW91" s="184" t="str">
        <f>IF(【様式2】職員名簿!J121="エラー","-",【様式2】職員名簿!J121)</f>
        <v>-</v>
      </c>
      <c r="AX91" s="413">
        <f>IF($AV91="常勤",$AM$2,IF($AV91="非常勤",【様式2】職員名簿!G121,0))</f>
        <v>0</v>
      </c>
      <c r="AY91" s="440">
        <f>IF($AW91=AY$3,COUNTIF($AW$8:$AW91,AY$3),0)</f>
        <v>0</v>
      </c>
      <c r="AZ91" s="441" t="str">
        <f t="shared" si="81"/>
        <v/>
      </c>
      <c r="BA91" s="442">
        <f>IF($AW91=BA$3,COUNTIF($AW$8:$AW91,BA$3),0)</f>
        <v>0</v>
      </c>
      <c r="BB91" s="441" t="str">
        <f t="shared" si="82"/>
        <v/>
      </c>
      <c r="BC91" s="442">
        <f>IF($AW91=BC$3,COUNTIFS($AW$8:$AW91,BC$3,$AV$8:$AV91,BC$4),0)</f>
        <v>0</v>
      </c>
      <c r="BD91" s="441" t="str">
        <f t="shared" si="83"/>
        <v/>
      </c>
      <c r="BE91" s="272">
        <f>IF($AW91=BE$3,COUNTIF($AW$8:$AW91,BE$3),0)</f>
        <v>0</v>
      </c>
      <c r="BF91" s="441" t="str">
        <f t="shared" si="84"/>
        <v/>
      </c>
      <c r="BG91" s="271">
        <f>IF(OR($AW91=BG$3,$AW91=BG$4),COUNTIF($AW$8:$AW91,BG$3)+COUNTIF($AW$8:$AW91,BG$4),0)</f>
        <v>0</v>
      </c>
      <c r="BH91" s="441" t="str">
        <f t="shared" si="85"/>
        <v/>
      </c>
      <c r="BI91" s="271">
        <f>IF($AW91=BI$3,COUNTIF($AW$8:$AW91,BI$3),0)</f>
        <v>0</v>
      </c>
      <c r="BJ91" s="441" t="str">
        <f t="shared" si="86"/>
        <v/>
      </c>
      <c r="BK91" s="271">
        <f>IF($AW91&lt;&gt;BK$3,COUNTIF($AW$8:$AW91,"&lt;&gt;"&amp;BK$3),0)</f>
        <v>0</v>
      </c>
      <c r="BL91" s="441" t="str">
        <f t="shared" si="87"/>
        <v/>
      </c>
      <c r="BM91" s="337"/>
      <c r="BN91" s="337"/>
    </row>
    <row r="92" spans="1:66" ht="15" customHeight="1">
      <c r="A92" s="1868" t="s">
        <v>650</v>
      </c>
      <c r="B92" s="2166" t="s">
        <v>78</v>
      </c>
      <c r="C92" s="2167"/>
      <c r="D92" s="2160" t="str">
        <f>"障がい児保育加算："&amp;N37</f>
        <v>障がい児保育加算：×</v>
      </c>
      <c r="E92" s="2161"/>
      <c r="F92" s="1893" t="str">
        <f>"０歳児（乳児）"&amp;IF(Q37,"※","")</f>
        <v>０歳児（乳児）</v>
      </c>
      <c r="G92" s="1894"/>
      <c r="H92" s="592">
        <v>3</v>
      </c>
      <c r="I92" s="593" t="s">
        <v>549</v>
      </c>
      <c r="J92" s="594">
        <f>ROUNDDOWN(($L$16-IF(Q37,SUM(L10:L11,L14:L15),0))/H92,1)</f>
        <v>0</v>
      </c>
      <c r="K92" s="595" t="s">
        <v>549</v>
      </c>
      <c r="L92" s="2174">
        <f>ROUND(SUM(J92:J98),0)</f>
        <v>0</v>
      </c>
      <c r="M92" s="1871" t="e">
        <f>SUM(L92:L102)</f>
        <v>#N/A</v>
      </c>
      <c r="N92" s="1825">
        <f>H81</f>
        <v>0</v>
      </c>
      <c r="O92" s="1875" t="e">
        <f>N92-M92</f>
        <v>#N/A</v>
      </c>
      <c r="P92" s="596"/>
      <c r="Q92" s="151"/>
      <c r="AO92" s="486"/>
      <c r="AP92" s="486"/>
      <c r="AQ92" s="486"/>
      <c r="AR92" s="486"/>
      <c r="AT92" s="271">
        <f t="shared" si="80"/>
        <v>85</v>
      </c>
      <c r="AU92" s="184" t="str">
        <f>AT92&amp;" "&amp;IF(AW92&lt;&gt;"-",【様式2】職員名簿!B122&amp;"/"&amp;AV92&amp;"/"&amp;AW92,"")</f>
        <v xml:space="preserve">85 </v>
      </c>
      <c r="AV92" s="184">
        <f>【様式2】職員名簿!E122</f>
        <v>0</v>
      </c>
      <c r="AW92" s="184" t="str">
        <f>IF(【様式2】職員名簿!J122="エラー","-",【様式2】職員名簿!J122)</f>
        <v>-</v>
      </c>
      <c r="AX92" s="413">
        <f>IF($AV92="常勤",$AM$2,IF($AV92="非常勤",【様式2】職員名簿!G122,0))</f>
        <v>0</v>
      </c>
      <c r="AY92" s="440">
        <f>IF($AW92=AY$3,COUNTIF($AW$8:$AW92,AY$3),0)</f>
        <v>0</v>
      </c>
      <c r="AZ92" s="441" t="str">
        <f t="shared" si="81"/>
        <v/>
      </c>
      <c r="BA92" s="442">
        <f>IF($AW92=BA$3,COUNTIF($AW$8:$AW92,BA$3),0)</f>
        <v>0</v>
      </c>
      <c r="BB92" s="441" t="str">
        <f t="shared" si="82"/>
        <v/>
      </c>
      <c r="BC92" s="442">
        <f>IF($AW92=BC$3,COUNTIFS($AW$8:$AW92,BC$3,$AV$8:$AV92,BC$4),0)</f>
        <v>0</v>
      </c>
      <c r="BD92" s="441" t="str">
        <f t="shared" si="83"/>
        <v/>
      </c>
      <c r="BE92" s="272">
        <f>IF($AW92=BE$3,COUNTIF($AW$8:$AW92,BE$3),0)</f>
        <v>0</v>
      </c>
      <c r="BF92" s="441" t="str">
        <f t="shared" si="84"/>
        <v/>
      </c>
      <c r="BG92" s="271">
        <f>IF(OR($AW92=BG$3,$AW92=BG$4),COUNTIF($AW$8:$AW92,BG$3)+COUNTIF($AW$8:$AW92,BG$4),0)</f>
        <v>0</v>
      </c>
      <c r="BH92" s="441" t="str">
        <f t="shared" si="85"/>
        <v/>
      </c>
      <c r="BI92" s="271">
        <f>IF($AW92=BI$3,COUNTIF($AW$8:$AW92,BI$3),0)</f>
        <v>0</v>
      </c>
      <c r="BJ92" s="441" t="str">
        <f t="shared" si="86"/>
        <v/>
      </c>
      <c r="BK92" s="271">
        <f>IF($AW92&lt;&gt;BK$3,COUNTIF($AW$8:$AW92,"&lt;&gt;"&amp;BK$3),0)</f>
        <v>0</v>
      </c>
      <c r="BL92" s="441" t="str">
        <f t="shared" si="87"/>
        <v/>
      </c>
      <c r="BM92" s="337"/>
      <c r="BN92" s="337"/>
    </row>
    <row r="93" spans="1:66" ht="15" customHeight="1">
      <c r="A93" s="1869"/>
      <c r="B93" s="2052"/>
      <c r="C93" s="2168"/>
      <c r="D93" s="2162"/>
      <c r="E93" s="2163"/>
      <c r="F93" s="1887" t="str">
        <f>"１歳児"&amp;IF(Q37,"※","")</f>
        <v>１歳児</v>
      </c>
      <c r="G93" s="1888"/>
      <c r="H93" s="1879">
        <v>6</v>
      </c>
      <c r="I93" s="2170" t="s">
        <v>792</v>
      </c>
      <c r="J93" s="1881">
        <f>ROUNDDOWN((SUM($J$16:$K$16)-IF(Q37,SUM(J10:K11,J14:K15),0))/H93,1)</f>
        <v>0</v>
      </c>
      <c r="K93" s="2172" t="s">
        <v>793</v>
      </c>
      <c r="L93" s="2175"/>
      <c r="M93" s="1872"/>
      <c r="N93" s="1874"/>
      <c r="O93" s="1851"/>
      <c r="P93" s="596"/>
      <c r="Q93" s="596"/>
      <c r="AO93" s="486"/>
      <c r="AP93" s="486"/>
      <c r="AQ93" s="486"/>
      <c r="AR93" s="486"/>
      <c r="AT93" s="271">
        <f t="shared" si="80"/>
        <v>86</v>
      </c>
      <c r="AU93" s="184" t="str">
        <f>AT93&amp;" "&amp;IF(AW93&lt;&gt;"-",【様式2】職員名簿!B123&amp;"/"&amp;AV93&amp;"/"&amp;AW93,"")</f>
        <v xml:space="preserve">86 </v>
      </c>
      <c r="AV93" s="184">
        <f>【様式2】職員名簿!E123</f>
        <v>0</v>
      </c>
      <c r="AW93" s="184" t="str">
        <f>IF(【様式2】職員名簿!J123="エラー","-",【様式2】職員名簿!J123)</f>
        <v>-</v>
      </c>
      <c r="AX93" s="413">
        <f>IF($AV93="常勤",$AM$2,IF($AV93="非常勤",【様式2】職員名簿!G123,0))</f>
        <v>0</v>
      </c>
      <c r="AY93" s="440">
        <f>IF($AW93=AY$3,COUNTIF($AW$8:$AW93,AY$3),0)</f>
        <v>0</v>
      </c>
      <c r="AZ93" s="441" t="str">
        <f t="shared" si="81"/>
        <v/>
      </c>
      <c r="BA93" s="442">
        <f>IF($AW93=BA$3,COUNTIF($AW$8:$AW93,BA$3),0)</f>
        <v>0</v>
      </c>
      <c r="BB93" s="441" t="str">
        <f t="shared" si="82"/>
        <v/>
      </c>
      <c r="BC93" s="442">
        <f>IF($AW93=BC$3,COUNTIFS($AW$8:$AW93,BC$3,$AV$8:$AV93,BC$4),0)</f>
        <v>0</v>
      </c>
      <c r="BD93" s="441" t="str">
        <f t="shared" si="83"/>
        <v/>
      </c>
      <c r="BE93" s="272">
        <f>IF($AW93=BE$3,COUNTIF($AW$8:$AW93,BE$3),0)</f>
        <v>0</v>
      </c>
      <c r="BF93" s="441" t="str">
        <f t="shared" si="84"/>
        <v/>
      </c>
      <c r="BG93" s="271">
        <f>IF(OR($AW93=BG$3,$AW93=BG$4),COUNTIF($AW$8:$AW93,BG$3)+COUNTIF($AW$8:$AW93,BG$4),0)</f>
        <v>0</v>
      </c>
      <c r="BH93" s="441" t="str">
        <f t="shared" si="85"/>
        <v/>
      </c>
      <c r="BI93" s="271">
        <f>IF($AW93=BI$3,COUNTIF($AW$8:$AW93,BI$3),0)</f>
        <v>0</v>
      </c>
      <c r="BJ93" s="441" t="str">
        <f t="shared" si="86"/>
        <v/>
      </c>
      <c r="BK93" s="271">
        <f>IF($AW93&lt;&gt;BK$3,COUNTIF($AW$8:$AW93,"&lt;&gt;"&amp;BK$3),0)</f>
        <v>0</v>
      </c>
      <c r="BL93" s="441" t="str">
        <f t="shared" si="87"/>
        <v/>
      </c>
      <c r="BM93" s="337"/>
      <c r="BN93" s="337"/>
    </row>
    <row r="94" spans="1:66" ht="15" customHeight="1">
      <c r="A94" s="1869"/>
      <c r="B94" s="2052"/>
      <c r="C94" s="2168"/>
      <c r="D94" s="2162"/>
      <c r="E94" s="2163"/>
      <c r="F94" s="1883" t="str">
        <f>"２歳児"&amp;IF(Q37,"※","")</f>
        <v>２歳児</v>
      </c>
      <c r="G94" s="1884"/>
      <c r="H94" s="1880"/>
      <c r="I94" s="2170"/>
      <c r="J94" s="1882"/>
      <c r="K94" s="2172"/>
      <c r="L94" s="2175"/>
      <c r="M94" s="1872"/>
      <c r="N94" s="1874"/>
      <c r="O94" s="1851"/>
      <c r="P94" s="596"/>
      <c r="Q94" s="596"/>
      <c r="AO94" s="486"/>
      <c r="AP94" s="486"/>
      <c r="AT94" s="271">
        <f t="shared" si="80"/>
        <v>87</v>
      </c>
      <c r="AU94" s="184" t="str">
        <f>AT94&amp;" "&amp;IF(AW94&lt;&gt;"-",【様式2】職員名簿!B124&amp;"/"&amp;AV94&amp;"/"&amp;AW94,"")</f>
        <v xml:space="preserve">87 </v>
      </c>
      <c r="AV94" s="184">
        <f>【様式2】職員名簿!E124</f>
        <v>0</v>
      </c>
      <c r="AW94" s="184" t="str">
        <f>IF(【様式2】職員名簿!J124="エラー","-",【様式2】職員名簿!J124)</f>
        <v>-</v>
      </c>
      <c r="AX94" s="413">
        <f>IF($AV94="常勤",$AM$2,IF($AV94="非常勤",【様式2】職員名簿!G124,0))</f>
        <v>0</v>
      </c>
      <c r="AY94" s="440">
        <f>IF($AW94=AY$3,COUNTIF($AW$8:$AW94,AY$3),0)</f>
        <v>0</v>
      </c>
      <c r="AZ94" s="441" t="str">
        <f t="shared" si="81"/>
        <v/>
      </c>
      <c r="BA94" s="442">
        <f>IF($AW94=BA$3,COUNTIF($AW$8:$AW94,BA$3),0)</f>
        <v>0</v>
      </c>
      <c r="BB94" s="441" t="str">
        <f t="shared" si="82"/>
        <v/>
      </c>
      <c r="BC94" s="442">
        <f>IF($AW94=BC$3,COUNTIFS($AW$8:$AW94,BC$3,$AV$8:$AV94,BC$4),0)</f>
        <v>0</v>
      </c>
      <c r="BD94" s="441" t="str">
        <f t="shared" si="83"/>
        <v/>
      </c>
      <c r="BE94" s="272">
        <f>IF($AW94=BE$3,COUNTIF($AW$8:$AW94,BE$3),0)</f>
        <v>0</v>
      </c>
      <c r="BF94" s="441" t="str">
        <f t="shared" si="84"/>
        <v/>
      </c>
      <c r="BG94" s="271">
        <f>IF(OR($AW94=BG$3,$AW94=BG$4),COUNTIF($AW$8:$AW94,BG$3)+COUNTIF($AW$8:$AW94,BG$4),0)</f>
        <v>0</v>
      </c>
      <c r="BH94" s="441" t="str">
        <f t="shared" si="85"/>
        <v/>
      </c>
      <c r="BI94" s="271">
        <f>IF($AW94=BI$3,COUNTIF($AW$8:$AW94,BI$3),0)</f>
        <v>0</v>
      </c>
      <c r="BJ94" s="441" t="str">
        <f t="shared" si="86"/>
        <v/>
      </c>
      <c r="BK94" s="271">
        <f>IF($AW94&lt;&gt;BK$3,COUNTIF($AW$8:$AW94,"&lt;&gt;"&amp;BK$3),0)</f>
        <v>0</v>
      </c>
      <c r="BL94" s="441" t="str">
        <f t="shared" si="87"/>
        <v/>
      </c>
      <c r="BM94" s="337"/>
      <c r="BN94" s="337"/>
    </row>
    <row r="95" spans="1:66" ht="15" customHeight="1">
      <c r="A95" s="1869"/>
      <c r="B95" s="2052"/>
      <c r="C95" s="2168"/>
      <c r="D95" s="2162"/>
      <c r="E95" s="2163"/>
      <c r="F95" s="1885" t="str">
        <f>"３歳児"&amp;IF(Q37,"※","")</f>
        <v>３歳児</v>
      </c>
      <c r="G95" s="1886"/>
      <c r="H95" s="597">
        <v>20</v>
      </c>
      <c r="I95" s="2170"/>
      <c r="J95" s="598">
        <f>ROUNDDOWN(($H$16-IF(Q37,SUM(H10:H11,H14:H15),0))/H95,1)</f>
        <v>0</v>
      </c>
      <c r="K95" s="2172"/>
      <c r="L95" s="2175"/>
      <c r="M95" s="1872"/>
      <c r="N95" s="1874"/>
      <c r="O95" s="1851"/>
      <c r="P95" s="596"/>
      <c r="Q95" s="596"/>
      <c r="AO95" s="486"/>
      <c r="AP95" s="486"/>
      <c r="AT95" s="271">
        <f t="shared" si="80"/>
        <v>88</v>
      </c>
      <c r="AU95" s="184" t="str">
        <f>AT95&amp;" "&amp;IF(AW95&lt;&gt;"-",【様式2】職員名簿!B125&amp;"/"&amp;AV95&amp;"/"&amp;AW95,"")</f>
        <v xml:space="preserve">88 </v>
      </c>
      <c r="AV95" s="184">
        <f>【様式2】職員名簿!E125</f>
        <v>0</v>
      </c>
      <c r="AW95" s="184" t="str">
        <f>IF(【様式2】職員名簿!J125="エラー","-",【様式2】職員名簿!J125)</f>
        <v>-</v>
      </c>
      <c r="AX95" s="413">
        <f>IF($AV95="常勤",$AM$2,IF($AV95="非常勤",【様式2】職員名簿!G125,0))</f>
        <v>0</v>
      </c>
      <c r="AY95" s="440">
        <f>IF($AW95=AY$3,COUNTIF($AW$8:$AW95,AY$3),0)</f>
        <v>0</v>
      </c>
      <c r="AZ95" s="441" t="str">
        <f t="shared" si="81"/>
        <v/>
      </c>
      <c r="BA95" s="442">
        <f>IF($AW95=BA$3,COUNTIF($AW$8:$AW95,BA$3),0)</f>
        <v>0</v>
      </c>
      <c r="BB95" s="441" t="str">
        <f t="shared" si="82"/>
        <v/>
      </c>
      <c r="BC95" s="442">
        <f>IF($AW95=BC$3,COUNTIFS($AW$8:$AW95,BC$3,$AV$8:$AV95,BC$4),0)</f>
        <v>0</v>
      </c>
      <c r="BD95" s="441" t="str">
        <f t="shared" si="83"/>
        <v/>
      </c>
      <c r="BE95" s="272">
        <f>IF($AW95=BE$3,COUNTIF($AW$8:$AW95,BE$3),0)</f>
        <v>0</v>
      </c>
      <c r="BF95" s="441" t="str">
        <f t="shared" si="84"/>
        <v/>
      </c>
      <c r="BG95" s="271">
        <f>IF(OR($AW95=BG$3,$AW95=BG$4),COUNTIF($AW$8:$AW95,BG$3)+COUNTIF($AW$8:$AW95,BG$4),0)</f>
        <v>0</v>
      </c>
      <c r="BH95" s="441" t="str">
        <f t="shared" si="85"/>
        <v/>
      </c>
      <c r="BI95" s="271">
        <f>IF($AW95=BI$3,COUNTIF($AW$8:$AW95,BI$3),0)</f>
        <v>0</v>
      </c>
      <c r="BJ95" s="441" t="str">
        <f t="shared" si="86"/>
        <v/>
      </c>
      <c r="BK95" s="271">
        <f>IF($AW95&lt;&gt;BK$3,COUNTIF($AW$8:$AW95,"&lt;&gt;"&amp;BK$3),0)</f>
        <v>0</v>
      </c>
      <c r="BL95" s="441" t="str">
        <f t="shared" si="87"/>
        <v/>
      </c>
      <c r="BM95" s="337"/>
      <c r="BN95" s="337"/>
    </row>
    <row r="96" spans="1:66" ht="15" customHeight="1">
      <c r="A96" s="1869"/>
      <c r="B96" s="2052"/>
      <c r="C96" s="2168"/>
      <c r="D96" s="2162"/>
      <c r="E96" s="2163"/>
      <c r="F96" s="1887" t="str">
        <f>"４歳児"&amp;IF(Q37,"※","")</f>
        <v>４歳児</v>
      </c>
      <c r="G96" s="1888"/>
      <c r="H96" s="1879">
        <v>30</v>
      </c>
      <c r="I96" s="2170"/>
      <c r="J96" s="1881">
        <f>ROUNDDOWN((SUM($F$16:$G$16)-IF(Q37,SUM(F10:G11,F14:G15),0))/H96,1)</f>
        <v>0</v>
      </c>
      <c r="K96" s="2172"/>
      <c r="L96" s="2175"/>
      <c r="M96" s="1872"/>
      <c r="N96" s="1874"/>
      <c r="O96" s="1851"/>
      <c r="P96" s="596"/>
      <c r="Q96" s="596"/>
      <c r="AO96" s="486"/>
      <c r="AP96" s="486"/>
      <c r="AT96" s="271">
        <f t="shared" si="80"/>
        <v>89</v>
      </c>
      <c r="AU96" s="184" t="str">
        <f>AT96&amp;" "&amp;IF(AW96&lt;&gt;"-",【様式2】職員名簿!B126&amp;"/"&amp;AV96&amp;"/"&amp;AW96,"")</f>
        <v xml:space="preserve">89 </v>
      </c>
      <c r="AV96" s="184">
        <f>【様式2】職員名簿!E126</f>
        <v>0</v>
      </c>
      <c r="AW96" s="184" t="str">
        <f>IF(【様式2】職員名簿!J126="エラー","-",【様式2】職員名簿!J126)</f>
        <v>-</v>
      </c>
      <c r="AX96" s="413">
        <f>IF($AV96="常勤",$AM$2,IF($AV96="非常勤",【様式2】職員名簿!G126,0))</f>
        <v>0</v>
      </c>
      <c r="AY96" s="440">
        <f>IF($AW96=AY$3,COUNTIF($AW$8:$AW96,AY$3),0)</f>
        <v>0</v>
      </c>
      <c r="AZ96" s="441" t="str">
        <f t="shared" si="81"/>
        <v/>
      </c>
      <c r="BA96" s="442">
        <f>IF($AW96=BA$3,COUNTIF($AW$8:$AW96,BA$3),0)</f>
        <v>0</v>
      </c>
      <c r="BB96" s="441" t="str">
        <f t="shared" si="82"/>
        <v/>
      </c>
      <c r="BC96" s="442">
        <f>IF($AW96=BC$3,COUNTIFS($AW$8:$AW96,BC$3,$AV$8:$AV96,BC$4),0)</f>
        <v>0</v>
      </c>
      <c r="BD96" s="441" t="str">
        <f t="shared" si="83"/>
        <v/>
      </c>
      <c r="BE96" s="272">
        <f>IF($AW96=BE$3,COUNTIF($AW$8:$AW96,BE$3),0)</f>
        <v>0</v>
      </c>
      <c r="BF96" s="441" t="str">
        <f t="shared" si="84"/>
        <v/>
      </c>
      <c r="BG96" s="271">
        <f>IF(OR($AW96=BG$3,$AW96=BG$4),COUNTIF($AW$8:$AW96,BG$3)+COUNTIF($AW$8:$AW96,BG$4),0)</f>
        <v>0</v>
      </c>
      <c r="BH96" s="441" t="str">
        <f t="shared" si="85"/>
        <v/>
      </c>
      <c r="BI96" s="271">
        <f>IF($AW96=BI$3,COUNTIF($AW$8:$AW96,BI$3),0)</f>
        <v>0</v>
      </c>
      <c r="BJ96" s="441" t="str">
        <f t="shared" si="86"/>
        <v/>
      </c>
      <c r="BK96" s="271">
        <f>IF($AW96&lt;&gt;BK$3,COUNTIF($AW$8:$AW96,"&lt;&gt;"&amp;BK$3),0)</f>
        <v>0</v>
      </c>
      <c r="BL96" s="441" t="str">
        <f t="shared" si="87"/>
        <v/>
      </c>
      <c r="BM96" s="337"/>
      <c r="BN96" s="337"/>
    </row>
    <row r="97" spans="1:66" ht="15" customHeight="1">
      <c r="A97" s="1869"/>
      <c r="B97" s="2052"/>
      <c r="C97" s="2168"/>
      <c r="D97" s="2162"/>
      <c r="E97" s="2163"/>
      <c r="F97" s="1891" t="str">
        <f>"５歳児"&amp;IF(Q37,"※","")</f>
        <v>５歳児</v>
      </c>
      <c r="G97" s="1892"/>
      <c r="H97" s="1889"/>
      <c r="I97" s="2170"/>
      <c r="J97" s="1890"/>
      <c r="K97" s="2172"/>
      <c r="L97" s="2175"/>
      <c r="M97" s="1872"/>
      <c r="N97" s="1874"/>
      <c r="O97" s="1851"/>
      <c r="P97" s="596"/>
      <c r="Q97" s="596"/>
      <c r="AO97" s="486"/>
      <c r="AT97" s="271">
        <f t="shared" si="80"/>
        <v>90</v>
      </c>
      <c r="AU97" s="184" t="str">
        <f>AT97&amp;" "&amp;IF(AW97&lt;&gt;"-",【様式2】職員名簿!B127&amp;"/"&amp;AV97&amp;"/"&amp;AW97,"")</f>
        <v xml:space="preserve">90 </v>
      </c>
      <c r="AV97" s="184">
        <f>【様式2】職員名簿!E127</f>
        <v>0</v>
      </c>
      <c r="AW97" s="184" t="str">
        <f>IF(【様式2】職員名簿!J127="エラー","-",【様式2】職員名簿!J127)</f>
        <v>-</v>
      </c>
      <c r="AX97" s="413">
        <f>IF($AV97="常勤",$AM$2,IF($AV97="非常勤",【様式2】職員名簿!G127,0))</f>
        <v>0</v>
      </c>
      <c r="AY97" s="440">
        <f>IF($AW97=AY$3,COUNTIF($AW$8:$AW97,AY$3),0)</f>
        <v>0</v>
      </c>
      <c r="AZ97" s="441" t="str">
        <f t="shared" si="81"/>
        <v/>
      </c>
      <c r="BA97" s="442">
        <f>IF($AW97=BA$3,COUNTIF($AW$8:$AW97,BA$3),0)</f>
        <v>0</v>
      </c>
      <c r="BB97" s="441" t="str">
        <f t="shared" si="82"/>
        <v/>
      </c>
      <c r="BC97" s="442">
        <f>IF($AW97=BC$3,COUNTIFS($AW$8:$AW97,BC$3,$AV$8:$AV97,BC$4),0)</f>
        <v>0</v>
      </c>
      <c r="BD97" s="441" t="str">
        <f t="shared" si="83"/>
        <v/>
      </c>
      <c r="BE97" s="272">
        <f>IF($AW97=BE$3,COUNTIF($AW$8:$AW97,BE$3),0)</f>
        <v>0</v>
      </c>
      <c r="BF97" s="441" t="str">
        <f t="shared" si="84"/>
        <v/>
      </c>
      <c r="BG97" s="271">
        <f>IF(OR($AW97=BG$3,$AW97=BG$4),COUNTIF($AW$8:$AW97,BG$3)+COUNTIF($AW$8:$AW97,BG$4),0)</f>
        <v>0</v>
      </c>
      <c r="BH97" s="441" t="str">
        <f t="shared" si="85"/>
        <v/>
      </c>
      <c r="BI97" s="271">
        <f>IF($AW97=BI$3,COUNTIF($AW$8:$AW97,BI$3),0)</f>
        <v>0</v>
      </c>
      <c r="BJ97" s="441" t="str">
        <f t="shared" si="86"/>
        <v/>
      </c>
      <c r="BK97" s="271">
        <f>IF($AW97&lt;&gt;BK$3,COUNTIF($AW$8:$AW97,"&lt;&gt;"&amp;BK$3),0)</f>
        <v>0</v>
      </c>
      <c r="BL97" s="441" t="str">
        <f t="shared" si="87"/>
        <v/>
      </c>
      <c r="BM97" s="337"/>
      <c r="BN97" s="337"/>
    </row>
    <row r="98" spans="1:66" ht="15" customHeight="1">
      <c r="A98" s="1869"/>
      <c r="B98" s="2053"/>
      <c r="C98" s="2169"/>
      <c r="D98" s="2164"/>
      <c r="E98" s="2165"/>
      <c r="F98" s="2158" t="str">
        <f>IF(Q37,"障がい児","")</f>
        <v/>
      </c>
      <c r="G98" s="2159"/>
      <c r="H98" s="676" t="str">
        <f>IF(Q37,2,"")</f>
        <v/>
      </c>
      <c r="I98" s="2171"/>
      <c r="J98" s="677" t="str">
        <f>IF(Q37,ROUNDDOWN(SUM(N10:N11)/H98,1),"")</f>
        <v/>
      </c>
      <c r="K98" s="2173"/>
      <c r="L98" s="2176"/>
      <c r="M98" s="1872"/>
      <c r="N98" s="1874"/>
      <c r="O98" s="1851"/>
      <c r="P98" s="596"/>
      <c r="Q98" s="596"/>
      <c r="AP98" s="486"/>
      <c r="AT98" s="271">
        <f t="shared" si="80"/>
        <v>91</v>
      </c>
      <c r="AU98" s="184" t="str">
        <f>AT98&amp;" "&amp;IF(AW98&lt;&gt;"-",【様式2】職員名簿!B128&amp;"/"&amp;AV98&amp;"/"&amp;AW98,"")</f>
        <v xml:space="preserve">91 </v>
      </c>
      <c r="AV98" s="184">
        <f>【様式2】職員名簿!E128</f>
        <v>0</v>
      </c>
      <c r="AW98" s="184" t="str">
        <f>IF(【様式2】職員名簿!J128="エラー","-",【様式2】職員名簿!J128)</f>
        <v>-</v>
      </c>
      <c r="AX98" s="413">
        <f>IF($AV98="常勤",$AM$2,IF($AV98="非常勤",【様式2】職員名簿!G128,0))</f>
        <v>0</v>
      </c>
      <c r="AY98" s="440">
        <f>IF($AW98=AY$3,COUNTIF($AW$8:$AW98,AY$3),0)</f>
        <v>0</v>
      </c>
      <c r="AZ98" s="441" t="str">
        <f t="shared" si="81"/>
        <v/>
      </c>
      <c r="BA98" s="442">
        <f>IF($AW98=BA$3,COUNTIF($AW$8:$AW98,BA$3),0)</f>
        <v>0</v>
      </c>
      <c r="BB98" s="441" t="str">
        <f t="shared" si="82"/>
        <v/>
      </c>
      <c r="BC98" s="442">
        <f>IF($AW98=BC$3,COUNTIFS($AW$8:$AW98,BC$3,$AV$8:$AV98,BC$4),0)</f>
        <v>0</v>
      </c>
      <c r="BD98" s="441" t="str">
        <f t="shared" si="83"/>
        <v/>
      </c>
      <c r="BE98" s="272">
        <f>IF($AW98=BE$3,COUNTIF($AW$8:$AW98,BE$3),0)</f>
        <v>0</v>
      </c>
      <c r="BF98" s="441" t="str">
        <f t="shared" si="84"/>
        <v/>
      </c>
      <c r="BG98" s="271">
        <f>IF(OR($AW98=BG$3,$AW98=BG$4),COUNTIF($AW$8:$AW98,BG$3)+COUNTIF($AW$8:$AW98,BG$4),0)</f>
        <v>0</v>
      </c>
      <c r="BH98" s="441" t="str">
        <f t="shared" si="85"/>
        <v/>
      </c>
      <c r="BI98" s="271">
        <f>IF($AW98=BI$3,COUNTIF($AW$8:$AW98,BI$3),0)</f>
        <v>0</v>
      </c>
      <c r="BJ98" s="441" t="str">
        <f t="shared" si="86"/>
        <v/>
      </c>
      <c r="BK98" s="271">
        <f>IF($AW98&lt;&gt;BK$3,COUNTIF($AW$8:$AW98,"&lt;&gt;"&amp;BK$3),0)</f>
        <v>0</v>
      </c>
      <c r="BL98" s="441" t="str">
        <f t="shared" si="87"/>
        <v/>
      </c>
      <c r="BM98" s="337"/>
      <c r="BN98" s="337"/>
    </row>
    <row r="99" spans="1:66" ht="15" customHeight="1">
      <c r="A99" s="1869"/>
      <c r="B99" s="2177" t="s">
        <v>744</v>
      </c>
      <c r="C99" s="507" t="s">
        <v>794</v>
      </c>
      <c r="D99" s="1836" t="str">
        <f>F23</f>
        <v>必要保育従事者数１人</v>
      </c>
      <c r="E99" s="1837"/>
      <c r="F99" s="1837"/>
      <c r="G99" s="1837"/>
      <c r="H99" s="1837"/>
      <c r="I99" s="1837"/>
      <c r="J99" s="1837"/>
      <c r="K99" s="1837"/>
      <c r="L99" s="599">
        <f>IF(Q23,1,0)</f>
        <v>1</v>
      </c>
      <c r="M99" s="1872"/>
      <c r="N99" s="1874"/>
      <c r="O99" s="1851"/>
      <c r="P99" s="596"/>
      <c r="Q99" s="596"/>
      <c r="AO99" s="486"/>
      <c r="AP99" s="486"/>
      <c r="AT99" s="271">
        <f t="shared" si="80"/>
        <v>92</v>
      </c>
      <c r="AU99" s="184" t="str">
        <f>AT99&amp;" "&amp;IF(AW99&lt;&gt;"-",【様式2】職員名簿!B129&amp;"/"&amp;AV99&amp;"/"&amp;AW99,"")</f>
        <v xml:space="preserve">92 </v>
      </c>
      <c r="AV99" s="184">
        <f>【様式2】職員名簿!E129</f>
        <v>0</v>
      </c>
      <c r="AW99" s="184" t="str">
        <f>IF(【様式2】職員名簿!J129="エラー","-",【様式2】職員名簿!J129)</f>
        <v>-</v>
      </c>
      <c r="AX99" s="413">
        <f>IF($AV99="常勤",$AM$2,IF($AV99="非常勤",【様式2】職員名簿!G129,0))</f>
        <v>0</v>
      </c>
      <c r="AY99" s="440">
        <f>IF($AW99=AY$3,COUNTIF($AW$8:$AW99,AY$3),0)</f>
        <v>0</v>
      </c>
      <c r="AZ99" s="441" t="str">
        <f t="shared" si="81"/>
        <v/>
      </c>
      <c r="BA99" s="442">
        <f>IF($AW99=BA$3,COUNTIF($AW$8:$AW99,BA$3),0)</f>
        <v>0</v>
      </c>
      <c r="BB99" s="441" t="str">
        <f t="shared" si="82"/>
        <v/>
      </c>
      <c r="BC99" s="442">
        <f>IF($AW99=BC$3,COUNTIFS($AW$8:$AW99,BC$3,$AV$8:$AV99,BC$4),0)</f>
        <v>0</v>
      </c>
      <c r="BD99" s="441" t="str">
        <f t="shared" si="83"/>
        <v/>
      </c>
      <c r="BE99" s="272">
        <f>IF($AW99=BE$3,COUNTIF($AW$8:$AW99,BE$3),0)</f>
        <v>0</v>
      </c>
      <c r="BF99" s="441" t="str">
        <f t="shared" si="84"/>
        <v/>
      </c>
      <c r="BG99" s="271">
        <f>IF(OR($AW99=BG$3,$AW99=BG$4),COUNTIF($AW$8:$AW99,BG$3)+COUNTIF($AW$8:$AW99,BG$4),0)</f>
        <v>0</v>
      </c>
      <c r="BH99" s="441" t="str">
        <f t="shared" si="85"/>
        <v/>
      </c>
      <c r="BI99" s="271">
        <f>IF($AW99=BI$3,COUNTIF($AW$8:$AW99,BI$3),0)</f>
        <v>0</v>
      </c>
      <c r="BJ99" s="441" t="str">
        <f t="shared" si="86"/>
        <v/>
      </c>
      <c r="BK99" s="271">
        <f>IF($AW99&lt;&gt;BK$3,COUNTIF($AW$8:$AW99,"&lt;&gt;"&amp;BK$3),0)</f>
        <v>0</v>
      </c>
      <c r="BL99" s="441" t="str">
        <f t="shared" si="87"/>
        <v/>
      </c>
      <c r="BM99" s="337"/>
      <c r="BN99" s="337"/>
    </row>
    <row r="100" spans="1:66" ht="15" customHeight="1">
      <c r="A100" s="1869"/>
      <c r="B100" s="2178"/>
      <c r="C100" s="475" t="s">
        <v>795</v>
      </c>
      <c r="D100" s="1845" t="e">
        <f>F24&amp;IF(Q26,"（下限："&amp;IF(AL2,AL3&amp;"時間","なし")&amp;"）","")</f>
        <v>#N/A</v>
      </c>
      <c r="E100" s="1846"/>
      <c r="F100" s="1846"/>
      <c r="G100" s="1846"/>
      <c r="H100" s="1846"/>
      <c r="I100" s="1846"/>
      <c r="J100" s="1846"/>
      <c r="K100" s="1846"/>
      <c r="L100" s="600" t="e">
        <f>IF(Q25,1,IF(Q26,M26,0))</f>
        <v>#N/A</v>
      </c>
      <c r="M100" s="1872"/>
      <c r="N100" s="1874"/>
      <c r="O100" s="1851"/>
      <c r="P100" s="596"/>
      <c r="Q100" s="596"/>
      <c r="AO100" s="486"/>
      <c r="AT100" s="271">
        <f t="shared" si="80"/>
        <v>93</v>
      </c>
      <c r="AU100" s="184" t="str">
        <f>AT100&amp;" "&amp;IF(AW100&lt;&gt;"-",【様式2】職員名簿!B130&amp;"/"&amp;AV100&amp;"/"&amp;AW100,"")</f>
        <v xml:space="preserve">93 </v>
      </c>
      <c r="AV100" s="184">
        <f>【様式2】職員名簿!E130</f>
        <v>0</v>
      </c>
      <c r="AW100" s="184" t="str">
        <f>IF(【様式2】職員名簿!J130="エラー","-",【様式2】職員名簿!J130)</f>
        <v>-</v>
      </c>
      <c r="AX100" s="413">
        <f>IF($AV100="常勤",$AM$2,IF($AV100="非常勤",【様式2】職員名簿!G130,0))</f>
        <v>0</v>
      </c>
      <c r="AY100" s="440">
        <f>IF($AW100=AY$3,COUNTIF($AW$8:$AW100,AY$3),0)</f>
        <v>0</v>
      </c>
      <c r="AZ100" s="441" t="str">
        <f t="shared" si="81"/>
        <v/>
      </c>
      <c r="BA100" s="442">
        <f>IF($AW100=BA$3,COUNTIF($AW$8:$AW100,BA$3),0)</f>
        <v>0</v>
      </c>
      <c r="BB100" s="441" t="str">
        <f t="shared" si="82"/>
        <v/>
      </c>
      <c r="BC100" s="442">
        <f>IF($AW100=BC$3,COUNTIFS($AW$8:$AW100,BC$3,$AV$8:$AV100,BC$4),0)</f>
        <v>0</v>
      </c>
      <c r="BD100" s="441" t="str">
        <f t="shared" si="83"/>
        <v/>
      </c>
      <c r="BE100" s="272">
        <f>IF($AW100=BE$3,COUNTIF($AW$8:$AW100,BE$3),0)</f>
        <v>0</v>
      </c>
      <c r="BF100" s="441" t="str">
        <f t="shared" si="84"/>
        <v/>
      </c>
      <c r="BG100" s="271">
        <f>IF(OR($AW100=BG$3,$AW100=BG$4),COUNTIF($AW$8:$AW100,BG$3)+COUNTIF($AW$8:$AW100,BG$4),0)</f>
        <v>0</v>
      </c>
      <c r="BH100" s="441" t="str">
        <f t="shared" si="85"/>
        <v/>
      </c>
      <c r="BI100" s="271">
        <f>IF($AW100=BI$3,COUNTIF($AW$8:$AW100,BI$3),0)</f>
        <v>0</v>
      </c>
      <c r="BJ100" s="441" t="str">
        <f t="shared" si="86"/>
        <v/>
      </c>
      <c r="BK100" s="271">
        <f>IF($AW100&lt;&gt;BK$3,COUNTIF($AW$8:$AW100,"&lt;&gt;"&amp;BK$3),0)</f>
        <v>0</v>
      </c>
      <c r="BL100" s="441" t="str">
        <f t="shared" si="87"/>
        <v/>
      </c>
      <c r="BM100" s="337"/>
      <c r="BN100" s="337"/>
    </row>
    <row r="101" spans="1:66" ht="15" customHeight="1">
      <c r="A101" s="1869"/>
      <c r="B101" s="2179"/>
      <c r="C101" s="481" t="s">
        <v>796</v>
      </c>
      <c r="D101" s="1847" t="str">
        <f>"非常勤保育士１人（下限："&amp;IF(AL2,AL3&amp;"時間","なし")&amp;"）"</f>
        <v>非常勤保育士１人（下限：なし）</v>
      </c>
      <c r="E101" s="1848"/>
      <c r="F101" s="1848"/>
      <c r="G101" s="1848"/>
      <c r="H101" s="1848"/>
      <c r="I101" s="1848"/>
      <c r="J101" s="1848"/>
      <c r="K101" s="1848"/>
      <c r="L101" s="601">
        <f>M27</f>
        <v>0</v>
      </c>
      <c r="M101" s="1872"/>
      <c r="N101" s="1874"/>
      <c r="O101" s="1851"/>
      <c r="P101" s="596"/>
      <c r="Q101" s="596"/>
      <c r="R101" s="602"/>
      <c r="S101" s="602"/>
      <c r="T101" s="602"/>
      <c r="U101" s="602"/>
      <c r="V101" s="602"/>
      <c r="W101" s="602"/>
      <c r="X101" s="602"/>
      <c r="Y101" s="602"/>
      <c r="Z101" s="602"/>
      <c r="AA101" s="602"/>
      <c r="AB101" s="602"/>
      <c r="AC101" s="602"/>
      <c r="AD101" s="602"/>
      <c r="AE101" s="602"/>
      <c r="AF101" s="602"/>
      <c r="AG101" s="602"/>
      <c r="AH101" s="602"/>
      <c r="AI101" s="602"/>
      <c r="AJ101" s="602"/>
      <c r="AT101" s="271">
        <f t="shared" si="80"/>
        <v>94</v>
      </c>
      <c r="AU101" s="184" t="str">
        <f>AT101&amp;" "&amp;IF(AW101&lt;&gt;"-",【様式2】職員名簿!B131&amp;"/"&amp;AV101&amp;"/"&amp;AW101,"")</f>
        <v xml:space="preserve">94 </v>
      </c>
      <c r="AV101" s="184">
        <f>【様式2】職員名簿!E131</f>
        <v>0</v>
      </c>
      <c r="AW101" s="184" t="str">
        <f>IF(【様式2】職員名簿!J131="エラー","-",【様式2】職員名簿!J131)</f>
        <v>-</v>
      </c>
      <c r="AX101" s="413">
        <f>IF($AV101="常勤",$AM$2,IF($AV101="非常勤",【様式2】職員名簿!G131,0))</f>
        <v>0</v>
      </c>
      <c r="AY101" s="440">
        <f>IF($AW101=AY$3,COUNTIF($AW$8:$AW101,AY$3),0)</f>
        <v>0</v>
      </c>
      <c r="AZ101" s="441" t="str">
        <f t="shared" si="81"/>
        <v/>
      </c>
      <c r="BA101" s="442">
        <f>IF($AW101=BA$3,COUNTIF($AW$8:$AW101,BA$3),0)</f>
        <v>0</v>
      </c>
      <c r="BB101" s="441" t="str">
        <f t="shared" si="82"/>
        <v/>
      </c>
      <c r="BC101" s="442">
        <f>IF($AW101=BC$3,COUNTIFS($AW$8:$AW101,BC$3,$AV$8:$AV101,BC$4),0)</f>
        <v>0</v>
      </c>
      <c r="BD101" s="441" t="str">
        <f t="shared" si="83"/>
        <v/>
      </c>
      <c r="BE101" s="272">
        <f>IF($AW101=BE$3,COUNTIF($AW$8:$AW101,BE$3),0)</f>
        <v>0</v>
      </c>
      <c r="BF101" s="441" t="str">
        <f t="shared" si="84"/>
        <v/>
      </c>
      <c r="BG101" s="271">
        <f>IF(OR($AW101=BG$3,$AW101=BG$4),COUNTIF($AW$8:$AW101,BG$3)+COUNTIF($AW$8:$AW101,BG$4),0)</f>
        <v>0</v>
      </c>
      <c r="BH101" s="441" t="str">
        <f t="shared" si="85"/>
        <v/>
      </c>
      <c r="BI101" s="271">
        <f>IF($AW101=BI$3,COUNTIF($AW$8:$AW101,BI$3),0)</f>
        <v>0</v>
      </c>
      <c r="BJ101" s="441" t="str">
        <f t="shared" si="86"/>
        <v/>
      </c>
      <c r="BK101" s="271">
        <f>IF($AW101&lt;&gt;BK$3,COUNTIF($AW$8:$AW101,"&lt;&gt;"&amp;BK$3),0)</f>
        <v>0</v>
      </c>
      <c r="BL101" s="441" t="str">
        <f t="shared" si="87"/>
        <v/>
      </c>
      <c r="BM101" s="337"/>
      <c r="BN101" s="337"/>
    </row>
    <row r="102" spans="1:66" ht="15" customHeight="1">
      <c r="A102" s="1870"/>
      <c r="B102" s="1849" t="s">
        <v>106</v>
      </c>
      <c r="C102" s="1850"/>
      <c r="D102" s="1876" t="s">
        <v>806</v>
      </c>
      <c r="E102" s="1877"/>
      <c r="F102" s="1877"/>
      <c r="G102" s="1877"/>
      <c r="H102" s="1877"/>
      <c r="I102" s="1877"/>
      <c r="J102" s="1877"/>
      <c r="K102" s="1878"/>
      <c r="L102" s="603">
        <f>SUM(M38:M47)</f>
        <v>0</v>
      </c>
      <c r="M102" s="1873"/>
      <c r="N102" s="1826"/>
      <c r="O102" s="1852"/>
      <c r="P102" s="596"/>
      <c r="Q102" s="596"/>
      <c r="R102" s="602"/>
      <c r="S102" s="602"/>
      <c r="T102" s="602"/>
      <c r="U102" s="602"/>
      <c r="V102" s="602"/>
      <c r="W102" s="602"/>
      <c r="X102" s="602"/>
      <c r="Y102" s="602"/>
      <c r="Z102" s="602"/>
      <c r="AA102" s="602"/>
      <c r="AB102" s="602"/>
      <c r="AC102" s="602"/>
      <c r="AD102" s="602"/>
      <c r="AE102" s="602"/>
      <c r="AF102" s="602"/>
      <c r="AG102" s="602"/>
      <c r="AH102" s="602"/>
      <c r="AI102" s="602"/>
      <c r="AJ102" s="602"/>
      <c r="AT102" s="271">
        <f t="shared" si="80"/>
        <v>95</v>
      </c>
      <c r="AU102" s="184" t="str">
        <f>AT102&amp;" "&amp;IF(AW102&lt;&gt;"-",【様式2】職員名簿!B132&amp;"/"&amp;AV102&amp;"/"&amp;AW102,"")</f>
        <v xml:space="preserve">95 </v>
      </c>
      <c r="AV102" s="184">
        <f>【様式2】職員名簿!E132</f>
        <v>0</v>
      </c>
      <c r="AW102" s="184" t="str">
        <f>IF(【様式2】職員名簿!J132="エラー","-",【様式2】職員名簿!J132)</f>
        <v>-</v>
      </c>
      <c r="AX102" s="413">
        <f>IF($AV102="常勤",$AM$2,IF($AV102="非常勤",【様式2】職員名簿!G132,0))</f>
        <v>0</v>
      </c>
      <c r="AY102" s="440">
        <f>IF($AW102=AY$3,COUNTIF($AW$8:$AW102,AY$3),0)</f>
        <v>0</v>
      </c>
      <c r="AZ102" s="441" t="str">
        <f t="shared" si="81"/>
        <v/>
      </c>
      <c r="BA102" s="442">
        <f>IF($AW102=BA$3,COUNTIF($AW$8:$AW102,BA$3),0)</f>
        <v>0</v>
      </c>
      <c r="BB102" s="441" t="str">
        <f t="shared" si="82"/>
        <v/>
      </c>
      <c r="BC102" s="442">
        <f>IF($AW102=BC$3,COUNTIFS($AW$8:$AW102,BC$3,$AV$8:$AV102,BC$4),0)</f>
        <v>0</v>
      </c>
      <c r="BD102" s="441" t="str">
        <f t="shared" si="83"/>
        <v/>
      </c>
      <c r="BE102" s="272">
        <f>IF($AW102=BE$3,COUNTIF($AW$8:$AW102,BE$3),0)</f>
        <v>0</v>
      </c>
      <c r="BF102" s="441" t="str">
        <f t="shared" si="84"/>
        <v/>
      </c>
      <c r="BG102" s="271">
        <f>IF(OR($AW102=BG$3,$AW102=BG$4),COUNTIF($AW$8:$AW102,BG$3)+COUNTIF($AW$8:$AW102,BG$4),0)</f>
        <v>0</v>
      </c>
      <c r="BH102" s="441" t="str">
        <f t="shared" si="85"/>
        <v/>
      </c>
      <c r="BI102" s="271">
        <f>IF($AW102=BI$3,COUNTIF($AW$8:$AW102,BI$3),0)</f>
        <v>0</v>
      </c>
      <c r="BJ102" s="441" t="str">
        <f t="shared" si="86"/>
        <v/>
      </c>
      <c r="BK102" s="271">
        <f>IF($AW102&lt;&gt;BK$3,COUNTIF($AW$8:$AW102,"&lt;&gt;"&amp;BK$3),0)</f>
        <v>0</v>
      </c>
      <c r="BL102" s="441" t="str">
        <f t="shared" si="87"/>
        <v/>
      </c>
      <c r="BM102" s="337"/>
      <c r="BN102" s="337"/>
    </row>
    <row r="103" spans="1:66" ht="15" customHeight="1">
      <c r="A103" s="760" t="s">
        <v>126</v>
      </c>
      <c r="B103" s="1833" t="s">
        <v>797</v>
      </c>
      <c r="C103" s="1834"/>
      <c r="D103" s="1835" t="str">
        <f>IF(R48=1,"栄養管理加算（配置）の場合は専任栄養士",IF(OR(R48=2,R48=3),"栄養管理加算（兼務又は嘱託）の場合は専任栄養士の配置不要",""))</f>
        <v/>
      </c>
      <c r="E103" s="1835"/>
      <c r="F103" s="1835"/>
      <c r="G103" s="1835"/>
      <c r="H103" s="1835"/>
      <c r="I103" s="1072"/>
      <c r="J103" s="1072"/>
      <c r="K103" s="1072"/>
      <c r="L103" s="604">
        <f>IF(AND(Q48,R48=1),M48,0)</f>
        <v>0</v>
      </c>
      <c r="M103" s="1823">
        <f>SUM(L103:L104)</f>
        <v>0</v>
      </c>
      <c r="N103" s="1825">
        <f>SUM(H82:H83)</f>
        <v>0</v>
      </c>
      <c r="O103" s="1827">
        <f>N103-M103</f>
        <v>0</v>
      </c>
      <c r="P103" s="596"/>
      <c r="Q103" s="596"/>
      <c r="R103" s="602"/>
      <c r="S103" s="602"/>
      <c r="T103" s="602"/>
      <c r="U103" s="602"/>
      <c r="V103" s="602"/>
      <c r="W103" s="602"/>
      <c r="X103" s="602"/>
      <c r="Y103" s="602"/>
      <c r="Z103" s="602"/>
      <c r="AA103" s="602"/>
      <c r="AB103" s="602"/>
      <c r="AC103" s="602"/>
      <c r="AD103" s="602"/>
      <c r="AE103" s="602"/>
      <c r="AF103" s="602"/>
      <c r="AG103" s="602"/>
      <c r="AH103" s="602"/>
      <c r="AI103" s="602"/>
      <c r="AJ103" s="602"/>
      <c r="AT103" s="271">
        <f t="shared" si="80"/>
        <v>96</v>
      </c>
      <c r="AU103" s="184" t="str">
        <f>AT103&amp;" "&amp;IF(AW103&lt;&gt;"-",【様式2】職員名簿!B133&amp;"/"&amp;AV103&amp;"/"&amp;AW103,"")</f>
        <v xml:space="preserve">96 </v>
      </c>
      <c r="AV103" s="184">
        <f>【様式2】職員名簿!E133</f>
        <v>0</v>
      </c>
      <c r="AW103" s="184" t="str">
        <f>IF(【様式2】職員名簿!J133="エラー","-",【様式2】職員名簿!J133)</f>
        <v>-</v>
      </c>
      <c r="AX103" s="413">
        <f>IF($AV103="常勤",$AM$2,IF($AV103="非常勤",【様式2】職員名簿!G133,0))</f>
        <v>0</v>
      </c>
      <c r="AY103" s="440">
        <f>IF($AW103=AY$3,COUNTIF($AW$8:$AW103,AY$3),0)</f>
        <v>0</v>
      </c>
      <c r="AZ103" s="441" t="str">
        <f t="shared" si="81"/>
        <v/>
      </c>
      <c r="BA103" s="442">
        <f>IF($AW103=BA$3,COUNTIF($AW$8:$AW103,BA$3),0)</f>
        <v>0</v>
      </c>
      <c r="BB103" s="441" t="str">
        <f t="shared" si="82"/>
        <v/>
      </c>
      <c r="BC103" s="442">
        <f>IF($AW103=BC$3,COUNTIFS($AW$8:$AW103,BC$3,$AV$8:$AV103,BC$4),0)</f>
        <v>0</v>
      </c>
      <c r="BD103" s="441" t="str">
        <f t="shared" si="83"/>
        <v/>
      </c>
      <c r="BE103" s="272">
        <f>IF($AW103=BE$3,COUNTIF($AW$8:$AW103,BE$3),0)</f>
        <v>0</v>
      </c>
      <c r="BF103" s="441" t="str">
        <f t="shared" si="84"/>
        <v/>
      </c>
      <c r="BG103" s="271">
        <f>IF(OR($AW103=BG$3,$AW103=BG$4),COUNTIF($AW$8:$AW103,BG$3)+COUNTIF($AW$8:$AW103,BG$4),0)</f>
        <v>0</v>
      </c>
      <c r="BH103" s="441" t="str">
        <f t="shared" si="85"/>
        <v/>
      </c>
      <c r="BI103" s="271">
        <f>IF($AW103=BI$3,COUNTIF($AW$8:$AW103,BI$3),0)</f>
        <v>0</v>
      </c>
      <c r="BJ103" s="441" t="str">
        <f t="shared" si="86"/>
        <v/>
      </c>
      <c r="BK103" s="271">
        <f>IF($AW103&lt;&gt;BK$3,COUNTIF($AW$8:$AW103,"&lt;&gt;"&amp;BK$3),0)</f>
        <v>0</v>
      </c>
      <c r="BL103" s="441" t="str">
        <f t="shared" si="87"/>
        <v/>
      </c>
      <c r="BM103" s="337"/>
      <c r="BN103" s="337"/>
    </row>
    <row r="104" spans="1:66" ht="15" customHeight="1">
      <c r="A104" s="775" t="s">
        <v>123</v>
      </c>
      <c r="B104" s="1812" t="s">
        <v>744</v>
      </c>
      <c r="C104" s="1813"/>
      <c r="D104" s="1829" t="str">
        <f>F28&amp;IF(Q30,"（下限："&amp;IF(AL2,AL3&amp;"時間","なし")&amp;"）","")</f>
        <v>エラー：個票0を見直すこと</v>
      </c>
      <c r="E104" s="1829"/>
      <c r="F104" s="1829"/>
      <c r="G104" s="1829"/>
      <c r="H104" s="1829"/>
      <c r="I104" s="1830"/>
      <c r="J104" s="1830"/>
      <c r="K104" s="1830"/>
      <c r="L104" s="604">
        <f>IF(R28=1,IF(B16&gt;=20,IF(B16&lt;=40,1,2),M30),0)</f>
        <v>0</v>
      </c>
      <c r="M104" s="1824"/>
      <c r="N104" s="1826"/>
      <c r="O104" s="1828"/>
      <c r="P104" s="596"/>
      <c r="Q104" s="596"/>
      <c r="R104" s="602"/>
      <c r="S104" s="602"/>
      <c r="T104" s="602"/>
      <c r="U104" s="602"/>
      <c r="V104" s="602"/>
      <c r="W104" s="602"/>
      <c r="X104" s="602"/>
      <c r="Y104" s="602"/>
      <c r="Z104" s="602"/>
      <c r="AA104" s="602"/>
      <c r="AB104" s="602"/>
      <c r="AC104" s="602"/>
      <c r="AD104" s="602"/>
      <c r="AE104" s="602"/>
      <c r="AF104" s="602"/>
      <c r="AG104" s="602"/>
      <c r="AH104" s="602"/>
      <c r="AI104" s="602"/>
      <c r="AJ104" s="602"/>
      <c r="AT104" s="271">
        <f t="shared" si="80"/>
        <v>97</v>
      </c>
      <c r="AU104" s="184" t="str">
        <f>AT104&amp;" "&amp;IF(AW104&lt;&gt;"-",【様式2】職員名簿!B134&amp;"/"&amp;AV104&amp;"/"&amp;AW104,"")</f>
        <v xml:space="preserve">97 </v>
      </c>
      <c r="AV104" s="184">
        <f>【様式2】職員名簿!E134</f>
        <v>0</v>
      </c>
      <c r="AW104" s="184" t="str">
        <f>IF(【様式2】職員名簿!J134="エラー","-",【様式2】職員名簿!J134)</f>
        <v>-</v>
      </c>
      <c r="AX104" s="413">
        <f>IF($AV104="常勤",$AM$2,IF($AV104="非常勤",【様式2】職員名簿!G134,0))</f>
        <v>0</v>
      </c>
      <c r="AY104" s="440">
        <f>IF($AW104=AY$3,COUNTIF($AW$8:$AW104,AY$3),0)</f>
        <v>0</v>
      </c>
      <c r="AZ104" s="441" t="str">
        <f t="shared" ref="AZ104:AZ107" si="92">IFERROR(INDEX($AU$8:$AU$107,MATCH($AT104,AY$8:AY$107,0),1),"")</f>
        <v/>
      </c>
      <c r="BA104" s="442">
        <f>IF($AW104=BA$3,COUNTIF($AW$8:$AW104,BA$3),0)</f>
        <v>0</v>
      </c>
      <c r="BB104" s="441" t="str">
        <f t="shared" ref="BB104:BB107" si="93">IFERROR(INDEX($AU$8:$AU$107,MATCH($AT104,BA$8:BA$107,0),1),"")</f>
        <v/>
      </c>
      <c r="BC104" s="442">
        <f>IF($AW104=BC$3,COUNTIFS($AW$8:$AW104,BC$3,$AV$8:$AV104,BC$4),0)</f>
        <v>0</v>
      </c>
      <c r="BD104" s="441" t="str">
        <f t="shared" ref="BD104:BD107" si="94">IFERROR(INDEX($AU$8:$AU$107,MATCH($AT104,BC$8:BC$107,0),1),"")</f>
        <v/>
      </c>
      <c r="BE104" s="272">
        <f>IF($AW104=BE$3,COUNTIF($AW$8:$AW104,BE$3),0)</f>
        <v>0</v>
      </c>
      <c r="BF104" s="441" t="str">
        <f t="shared" ref="BF104:BF107" si="95">IFERROR(INDEX($AU$8:$AU$107,MATCH($AT104,BE$8:BE$107,0),1),"")</f>
        <v/>
      </c>
      <c r="BG104" s="271">
        <f>IF(OR($AW104=BG$3,$AW104=BG$4),COUNTIF($AW$8:$AW104,BG$3)+COUNTIF($AW$8:$AW104,BG$4),0)</f>
        <v>0</v>
      </c>
      <c r="BH104" s="441" t="str">
        <f t="shared" ref="BH104:BH107" si="96">IFERROR(INDEX($AU$8:$AU$107,MATCH($AT104,BG$8:BG$107,0),1),"")</f>
        <v/>
      </c>
      <c r="BI104" s="271">
        <f>IF($AW104=BI$3,COUNTIF($AW$8:$AW104,BI$3),0)</f>
        <v>0</v>
      </c>
      <c r="BJ104" s="441" t="str">
        <f t="shared" ref="BJ104:BJ107" si="97">IFERROR(INDEX($AU$8:$AU$107,MATCH($AT104,BI$8:BI$107,0),1),"")</f>
        <v/>
      </c>
      <c r="BK104" s="271">
        <f>IF($AW104&lt;&gt;BK$3,COUNTIF($AW$8:$AW104,"&lt;&gt;"&amp;BK$3),0)</f>
        <v>0</v>
      </c>
      <c r="BL104" s="441" t="str">
        <f t="shared" ref="BL104:BL107" si="98">IFERROR(INDEX($AU$8:$AU$107,MATCH($AT104,BK$8:BK$107,0),1),"")</f>
        <v/>
      </c>
      <c r="BM104" s="337"/>
      <c r="BN104" s="337"/>
    </row>
    <row r="105" spans="1:66" ht="15" customHeight="1">
      <c r="A105" s="775" t="s">
        <v>621</v>
      </c>
      <c r="B105" s="1831" t="s">
        <v>744</v>
      </c>
      <c r="C105" s="1832"/>
      <c r="D105" s="2145" t="str">
        <f>F32&amp;IF(OR(Q33,Q34),"（下限："&amp;IF(AL2,AL3&amp;"時間","なし")&amp;"）","")</f>
        <v>エラー：個票0を見直すこと</v>
      </c>
      <c r="E105" s="2146"/>
      <c r="F105" s="2146"/>
      <c r="G105" s="2146"/>
      <c r="H105" s="2146"/>
      <c r="I105" s="2146"/>
      <c r="J105" s="2146"/>
      <c r="K105" s="2147"/>
      <c r="L105" s="606">
        <f>IF(R32=1,M33,IF(R32=2,M34,0))</f>
        <v>0</v>
      </c>
      <c r="M105" s="672">
        <f>SUM(L105:L105)</f>
        <v>0</v>
      </c>
      <c r="N105" s="673">
        <f>H84</f>
        <v>0</v>
      </c>
      <c r="O105" s="674">
        <f>N105-M105</f>
        <v>0</v>
      </c>
      <c r="P105" s="605"/>
      <c r="Q105" s="605"/>
      <c r="R105" s="602"/>
      <c r="S105" s="602"/>
      <c r="T105" s="602"/>
      <c r="U105" s="602"/>
      <c r="V105" s="602"/>
      <c r="W105" s="602"/>
      <c r="X105" s="602"/>
      <c r="Y105" s="602"/>
      <c r="Z105" s="602"/>
      <c r="AA105" s="602"/>
      <c r="AB105" s="602"/>
      <c r="AC105" s="602"/>
      <c r="AD105" s="602"/>
      <c r="AE105" s="602"/>
      <c r="AF105" s="602"/>
      <c r="AG105" s="602"/>
      <c r="AH105" s="602"/>
      <c r="AI105" s="602"/>
      <c r="AJ105" s="602"/>
      <c r="AT105" s="271">
        <f t="shared" si="80"/>
        <v>98</v>
      </c>
      <c r="AU105" s="184" t="str">
        <f>AT105&amp;" "&amp;IF(AW105&lt;&gt;"-",【様式2】職員名簿!B135&amp;"/"&amp;AV105&amp;"/"&amp;AW105,"")</f>
        <v xml:space="preserve">98 </v>
      </c>
      <c r="AV105" s="184">
        <f>【様式2】職員名簿!E135</f>
        <v>0</v>
      </c>
      <c r="AW105" s="184" t="str">
        <f>IF(【様式2】職員名簿!J135="エラー","-",【様式2】職員名簿!J135)</f>
        <v>-</v>
      </c>
      <c r="AX105" s="413">
        <f>IF($AV105="常勤",$AM$2,IF($AV105="非常勤",【様式2】職員名簿!G135,0))</f>
        <v>0</v>
      </c>
      <c r="AY105" s="440">
        <f>IF($AW105=AY$3,COUNTIF($AW$8:$AW105,AY$3),0)</f>
        <v>0</v>
      </c>
      <c r="AZ105" s="441" t="str">
        <f t="shared" si="92"/>
        <v/>
      </c>
      <c r="BA105" s="442">
        <f>IF($AW105=BA$3,COUNTIF($AW$8:$AW105,BA$3),0)</f>
        <v>0</v>
      </c>
      <c r="BB105" s="441" t="str">
        <f t="shared" si="93"/>
        <v/>
      </c>
      <c r="BC105" s="442">
        <f>IF($AW105=BC$3,COUNTIFS($AW$8:$AW105,BC$3,$AV$8:$AV105,BC$4),0)</f>
        <v>0</v>
      </c>
      <c r="BD105" s="441" t="str">
        <f t="shared" si="94"/>
        <v/>
      </c>
      <c r="BE105" s="272">
        <f>IF($AW105=BE$3,COUNTIF($AW$8:$AW105,BE$3),0)</f>
        <v>0</v>
      </c>
      <c r="BF105" s="441" t="str">
        <f t="shared" si="95"/>
        <v/>
      </c>
      <c r="BG105" s="271">
        <f>IF(OR($AW105=BG$3,$AW105=BG$4),COUNTIF($AW$8:$AW105,BG$3)+COUNTIF($AW$8:$AW105,BG$4),0)</f>
        <v>0</v>
      </c>
      <c r="BH105" s="441" t="str">
        <f t="shared" si="96"/>
        <v/>
      </c>
      <c r="BI105" s="271">
        <f>IF($AW105=BI$3,COUNTIF($AW$8:$AW105,BI$3),0)</f>
        <v>0</v>
      </c>
      <c r="BJ105" s="441" t="str">
        <f t="shared" si="97"/>
        <v/>
      </c>
      <c r="BK105" s="271">
        <f>IF($AW105&lt;&gt;BK$3,COUNTIF($AW$8:$AW105,"&lt;&gt;"&amp;BK$3),0)</f>
        <v>0</v>
      </c>
      <c r="BL105" s="441" t="str">
        <f t="shared" si="98"/>
        <v/>
      </c>
      <c r="BM105" s="337"/>
      <c r="BN105" s="337"/>
    </row>
    <row r="106" spans="1:66" ht="15" customHeight="1">
      <c r="A106" s="760" t="s">
        <v>6</v>
      </c>
      <c r="B106" s="1812" t="s">
        <v>6</v>
      </c>
      <c r="C106" s="1813"/>
      <c r="D106" s="1072" t="s">
        <v>6</v>
      </c>
      <c r="E106" s="1073"/>
      <c r="F106" s="1073"/>
      <c r="G106" s="1073"/>
      <c r="H106" s="1073"/>
      <c r="I106" s="1073"/>
      <c r="J106" s="1073"/>
      <c r="K106" s="1073"/>
      <c r="L106" s="608" t="s">
        <v>647</v>
      </c>
      <c r="M106" s="609" t="s">
        <v>647</v>
      </c>
      <c r="N106" s="610">
        <f>H85</f>
        <v>0</v>
      </c>
      <c r="O106" s="611">
        <f>N106</f>
        <v>0</v>
      </c>
      <c r="P106" s="605"/>
      <c r="Q106" s="605"/>
      <c r="R106" s="602"/>
      <c r="S106" s="602"/>
      <c r="T106" s="602"/>
      <c r="U106" s="602"/>
      <c r="V106" s="602"/>
      <c r="W106" s="602"/>
      <c r="X106" s="602"/>
      <c r="Y106" s="602"/>
      <c r="Z106" s="602"/>
      <c r="AA106" s="602"/>
      <c r="AB106" s="602"/>
      <c r="AC106" s="602"/>
      <c r="AD106" s="602"/>
      <c r="AE106" s="602"/>
      <c r="AF106" s="602"/>
      <c r="AG106" s="602"/>
      <c r="AH106" s="602"/>
      <c r="AI106" s="602"/>
      <c r="AJ106" s="602"/>
      <c r="AT106" s="271">
        <f t="shared" si="80"/>
        <v>99</v>
      </c>
      <c r="AU106" s="184" t="str">
        <f>AT106&amp;" "&amp;IF(AW106&lt;&gt;"-",【様式2】職員名簿!B136&amp;"/"&amp;AV106&amp;"/"&amp;AW106,"")</f>
        <v xml:space="preserve">99 </v>
      </c>
      <c r="AV106" s="184">
        <f>【様式2】職員名簿!E136</f>
        <v>0</v>
      </c>
      <c r="AW106" s="184" t="str">
        <f>IF(【様式2】職員名簿!J136="エラー","-",【様式2】職員名簿!J136)</f>
        <v>-</v>
      </c>
      <c r="AX106" s="413">
        <f>IF($AV106="常勤",$AM$2,IF($AV106="非常勤",【様式2】職員名簿!G136,0))</f>
        <v>0</v>
      </c>
      <c r="AY106" s="440">
        <f>IF($AW106=AY$3,COUNTIF($AW$8:$AW106,AY$3),0)</f>
        <v>0</v>
      </c>
      <c r="AZ106" s="441" t="str">
        <f t="shared" si="92"/>
        <v/>
      </c>
      <c r="BA106" s="442">
        <f>IF($AW106=BA$3,COUNTIF($AW$8:$AW106,BA$3),0)</f>
        <v>0</v>
      </c>
      <c r="BB106" s="441" t="str">
        <f t="shared" si="93"/>
        <v/>
      </c>
      <c r="BC106" s="442">
        <f>IF($AW106=BC$3,COUNTIFS($AW$8:$AW106,BC$3,$AV$8:$AV106,BC$4),0)</f>
        <v>0</v>
      </c>
      <c r="BD106" s="441" t="str">
        <f t="shared" si="94"/>
        <v/>
      </c>
      <c r="BE106" s="272">
        <f>IF($AW106=BE$3,COUNTIF($AW$8:$AW106,BE$3),0)</f>
        <v>0</v>
      </c>
      <c r="BF106" s="441" t="str">
        <f t="shared" si="95"/>
        <v/>
      </c>
      <c r="BG106" s="271">
        <f>IF(OR($AW106=BG$3,$AW106=BG$4),COUNTIF($AW$8:$AW106,BG$3)+COUNTIF($AW$8:$AW106,BG$4),0)</f>
        <v>0</v>
      </c>
      <c r="BH106" s="441" t="str">
        <f t="shared" si="96"/>
        <v/>
      </c>
      <c r="BI106" s="271">
        <f>IF($AW106=BI$3,COUNTIF($AW$8:$AW106,BI$3),0)</f>
        <v>0</v>
      </c>
      <c r="BJ106" s="441" t="str">
        <f t="shared" si="97"/>
        <v/>
      </c>
      <c r="BK106" s="271">
        <f>IF($AW106&lt;&gt;BK$3,COUNTIF($AW$8:$AW106,"&lt;&gt;"&amp;BK$3),0)</f>
        <v>0</v>
      </c>
      <c r="BL106" s="441" t="str">
        <f t="shared" si="98"/>
        <v/>
      </c>
      <c r="BM106" s="337"/>
      <c r="BN106" s="337"/>
    </row>
    <row r="107" spans="1:66" ht="15" customHeight="1" thickBot="1">
      <c r="A107" s="154"/>
      <c r="B107" s="195"/>
      <c r="C107" s="515"/>
      <c r="D107" s="534" t="str">
        <f>IF(Q37,"※　障がい児除く","")</f>
        <v/>
      </c>
      <c r="E107" s="534"/>
      <c r="F107" s="534"/>
      <c r="G107" s="534"/>
      <c r="H107" s="534"/>
      <c r="I107" s="534"/>
      <c r="J107" s="534"/>
      <c r="K107" s="534"/>
      <c r="L107" s="681"/>
      <c r="M107" s="682"/>
      <c r="N107" s="682"/>
      <c r="O107" s="683"/>
      <c r="P107" s="605"/>
      <c r="Q107" s="605"/>
      <c r="R107" s="602"/>
      <c r="S107" s="602"/>
      <c r="T107" s="602"/>
      <c r="U107" s="602"/>
      <c r="V107" s="602"/>
      <c r="W107" s="602"/>
      <c r="X107" s="602"/>
      <c r="Y107" s="602"/>
      <c r="Z107" s="602"/>
      <c r="AA107" s="602"/>
      <c r="AB107" s="602"/>
      <c r="AC107" s="602"/>
      <c r="AD107" s="602"/>
      <c r="AE107" s="602"/>
      <c r="AF107" s="602"/>
      <c r="AG107" s="602"/>
      <c r="AH107" s="602"/>
      <c r="AI107" s="602"/>
      <c r="AJ107" s="602"/>
      <c r="AT107" s="271">
        <f t="shared" si="80"/>
        <v>100</v>
      </c>
      <c r="AU107" s="184" t="str">
        <f>AT107&amp;" "&amp;IF(AW107&lt;&gt;"-",【様式2】職員名簿!B137&amp;"/"&amp;AV107&amp;"/"&amp;AW107,"")</f>
        <v xml:space="preserve">100 </v>
      </c>
      <c r="AV107" s="184">
        <f>【様式2】職員名簿!E137</f>
        <v>0</v>
      </c>
      <c r="AW107" s="184" t="str">
        <f>IF(【様式2】職員名簿!J137="エラー","-",【様式2】職員名簿!J137)</f>
        <v>-</v>
      </c>
      <c r="AX107" s="413">
        <f>IF($AV107="常勤",$AM$2,IF($AV107="非常勤",【様式2】職員名簿!G137,0))</f>
        <v>0</v>
      </c>
      <c r="AY107" s="440">
        <f>IF($AW107=AY$3,COUNTIF($AW$8:$AW107,AY$3),0)</f>
        <v>0</v>
      </c>
      <c r="AZ107" s="448" t="str">
        <f t="shared" si="92"/>
        <v/>
      </c>
      <c r="BA107" s="442">
        <f>IF($AW107=BA$3,COUNTIF($AW$8:$AW107,BA$3),0)</f>
        <v>0</v>
      </c>
      <c r="BB107" s="448" t="str">
        <f t="shared" si="93"/>
        <v/>
      </c>
      <c r="BC107" s="442">
        <f>IF($AW107=BC$3,COUNTIFS($AW$8:$AW107,BC$3,$AV$8:$AV107,BC$4),0)</f>
        <v>0</v>
      </c>
      <c r="BD107" s="448" t="str">
        <f t="shared" si="94"/>
        <v/>
      </c>
      <c r="BE107" s="272">
        <f>IF($AW107=BE$3,COUNTIF($AW$8:$AW107,BE$3),0)</f>
        <v>0</v>
      </c>
      <c r="BF107" s="448" t="str">
        <f t="shared" si="95"/>
        <v/>
      </c>
      <c r="BG107" s="271">
        <f>IF(OR($AW107=BG$3,$AW107=BG$4),COUNTIF($AW$8:$AW107,BG$3)+COUNTIF($AW$8:$AW107,BG$4),0)</f>
        <v>0</v>
      </c>
      <c r="BH107" s="448" t="str">
        <f t="shared" si="96"/>
        <v/>
      </c>
      <c r="BI107" s="271">
        <f>IF($AW107=BI$3,COUNTIF($AW$8:$AW107,BI$3),0)</f>
        <v>0</v>
      </c>
      <c r="BJ107" s="448" t="str">
        <f t="shared" si="97"/>
        <v/>
      </c>
      <c r="BK107" s="271">
        <f>IF($AW107&lt;&gt;BK$3,COUNTIF($AW$8:$AW107,"&lt;&gt;"&amp;BK$3),0)</f>
        <v>0</v>
      </c>
      <c r="BL107" s="448" t="str">
        <f t="shared" si="98"/>
        <v/>
      </c>
      <c r="BM107" s="337"/>
      <c r="BN107" s="337"/>
    </row>
    <row r="108" spans="1:66" ht="15" customHeight="1" thickTop="1">
      <c r="B108" s="612"/>
      <c r="P108" s="605"/>
      <c r="Q108" s="605"/>
      <c r="R108" s="607"/>
      <c r="S108" s="607"/>
      <c r="T108" s="607"/>
      <c r="U108" s="607"/>
      <c r="V108" s="607"/>
      <c r="W108" s="607"/>
      <c r="X108" s="607"/>
      <c r="Y108" s="607"/>
      <c r="Z108" s="607"/>
      <c r="AA108" s="607"/>
      <c r="AB108" s="607"/>
      <c r="AC108" s="607"/>
      <c r="AD108" s="607"/>
      <c r="AE108" s="607"/>
      <c r="AF108" s="607"/>
      <c r="AG108" s="607"/>
      <c r="AH108" s="607"/>
      <c r="AI108" s="607"/>
      <c r="AJ108" s="607"/>
    </row>
    <row r="109" spans="1:66">
      <c r="Q109" s="605"/>
      <c r="R109" s="607"/>
      <c r="S109" s="607"/>
      <c r="T109" s="607"/>
      <c r="U109" s="607"/>
      <c r="V109" s="607"/>
      <c r="W109" s="607"/>
      <c r="X109" s="607"/>
      <c r="Y109" s="607"/>
      <c r="Z109" s="607"/>
      <c r="AA109" s="607"/>
      <c r="AB109" s="607"/>
      <c r="AC109" s="607"/>
      <c r="AD109" s="607"/>
      <c r="AE109" s="607"/>
      <c r="AF109" s="607"/>
      <c r="AG109" s="607"/>
      <c r="AH109" s="607"/>
      <c r="AI109" s="607"/>
      <c r="AJ109" s="607"/>
    </row>
    <row r="110" spans="1:66">
      <c r="Q110" s="605"/>
      <c r="R110" s="607"/>
      <c r="S110" s="607"/>
      <c r="T110" s="607"/>
      <c r="U110" s="607"/>
      <c r="V110" s="607"/>
      <c r="W110" s="607"/>
      <c r="X110" s="607"/>
      <c r="Y110" s="607"/>
      <c r="Z110" s="607"/>
      <c r="AA110" s="607"/>
      <c r="AB110" s="607"/>
      <c r="AC110" s="607"/>
      <c r="AD110" s="607"/>
      <c r="AE110" s="607"/>
      <c r="AF110" s="607"/>
      <c r="AG110" s="607"/>
      <c r="AH110" s="607"/>
      <c r="AI110" s="607"/>
      <c r="AJ110" s="607"/>
    </row>
    <row r="111" spans="1:66">
      <c r="Q111" s="613"/>
      <c r="R111" s="613"/>
      <c r="S111" s="613"/>
      <c r="T111" s="613"/>
      <c r="U111" s="613"/>
      <c r="V111" s="613"/>
      <c r="W111" s="613"/>
      <c r="X111" s="613"/>
      <c r="Y111" s="151"/>
      <c r="Z111" s="151"/>
      <c r="AA111" s="151"/>
      <c r="AB111" s="151"/>
      <c r="AC111" s="613"/>
      <c r="AD111" s="613"/>
      <c r="AE111" s="613"/>
      <c r="AF111" s="151"/>
      <c r="AG111" s="151"/>
      <c r="AH111" s="151"/>
      <c r="AI111" s="151"/>
      <c r="AJ111" s="151"/>
    </row>
    <row r="112" spans="1:66" ht="12" customHeight="1"/>
    <row r="113" spans="1:46" ht="12" customHeight="1"/>
    <row r="114" spans="1:46" ht="12" customHeight="1"/>
    <row r="117" spans="1:46">
      <c r="AT117" s="486"/>
    </row>
    <row r="118" spans="1:46">
      <c r="AT118" s="486"/>
    </row>
    <row r="119" spans="1:46" ht="12.95" customHeight="1">
      <c r="AT119" s="486"/>
    </row>
    <row r="120" spans="1:46" ht="13.5" customHeight="1">
      <c r="B120" s="486"/>
      <c r="C120" s="486"/>
      <c r="D120" s="486"/>
      <c r="E120" s="486"/>
      <c r="F120" s="486"/>
      <c r="M120" s="486"/>
      <c r="N120" s="486"/>
      <c r="O120" s="486"/>
    </row>
    <row r="121" spans="1:46">
      <c r="B121" s="614"/>
      <c r="C121" s="614"/>
      <c r="D121" s="614"/>
      <c r="E121" s="614"/>
      <c r="F121" s="614"/>
      <c r="M121" s="614"/>
      <c r="N121" s="614"/>
      <c r="O121" s="614"/>
    </row>
    <row r="122" spans="1:46" ht="13.5" customHeight="1">
      <c r="B122" s="614"/>
      <c r="C122" s="614"/>
      <c r="D122" s="614"/>
      <c r="E122" s="614"/>
      <c r="F122" s="614"/>
      <c r="M122" s="614"/>
      <c r="N122" s="614"/>
      <c r="O122" s="614"/>
      <c r="AT122" s="486"/>
    </row>
    <row r="123" spans="1:46" ht="12" customHeight="1">
      <c r="AT123" s="486"/>
    </row>
    <row r="124" spans="1:46" ht="12" customHeight="1">
      <c r="R124" s="486"/>
      <c r="S124" s="486"/>
      <c r="T124" s="486"/>
      <c r="U124" s="486"/>
      <c r="V124" s="486"/>
      <c r="W124" s="486"/>
      <c r="X124" s="486"/>
      <c r="Y124" s="486"/>
      <c r="Z124" s="486"/>
      <c r="AA124" s="486"/>
      <c r="AB124" s="486"/>
      <c r="AC124" s="486"/>
      <c r="AD124" s="486"/>
      <c r="AE124" s="486"/>
      <c r="AF124" s="486"/>
      <c r="AG124" s="486"/>
      <c r="AH124" s="486"/>
      <c r="AI124" s="486"/>
      <c r="AJ124" s="486"/>
      <c r="AT124" s="486"/>
    </row>
    <row r="125" spans="1:46">
      <c r="A125" s="150"/>
      <c r="Q125" s="486"/>
      <c r="R125" s="614"/>
      <c r="S125" s="614"/>
      <c r="T125" s="614"/>
      <c r="U125" s="614"/>
      <c r="V125" s="614"/>
      <c r="W125" s="614"/>
      <c r="X125" s="614"/>
      <c r="AC125" s="614"/>
      <c r="AD125" s="614"/>
      <c r="AE125" s="614"/>
      <c r="AT125" s="486"/>
    </row>
    <row r="126" spans="1:46">
      <c r="A126" s="150"/>
      <c r="Q126" s="614"/>
      <c r="R126" s="614"/>
      <c r="S126" s="614"/>
      <c r="T126" s="614"/>
      <c r="U126" s="614"/>
      <c r="V126" s="614"/>
      <c r="W126" s="614"/>
      <c r="X126" s="614"/>
      <c r="AC126" s="614"/>
      <c r="AD126" s="614"/>
      <c r="AE126" s="614"/>
    </row>
    <row r="127" spans="1:46">
      <c r="Q127" s="614"/>
    </row>
    <row r="130" spans="16:46" ht="12.6" customHeight="1"/>
    <row r="131" spans="16:46" ht="20.25" customHeight="1"/>
    <row r="134" spans="16:46">
      <c r="P134" s="486"/>
    </row>
    <row r="135" spans="16:46">
      <c r="P135" s="614"/>
    </row>
    <row r="136" spans="16:46" ht="12.95" customHeight="1">
      <c r="P136" s="614"/>
    </row>
    <row r="137" spans="16:46" ht="12.95" customHeight="1"/>
    <row r="138" spans="16:46" ht="12.95" customHeight="1">
      <c r="Y138" s="486"/>
      <c r="Z138" s="486"/>
      <c r="AA138" s="486"/>
      <c r="AB138" s="486"/>
      <c r="AF138" s="486"/>
      <c r="AG138" s="486"/>
      <c r="AH138" s="486"/>
      <c r="AI138" s="486"/>
      <c r="AJ138" s="486"/>
    </row>
    <row r="139" spans="16:46" ht="12.95" customHeight="1">
      <c r="Y139" s="614"/>
      <c r="Z139" s="614"/>
      <c r="AA139" s="614"/>
      <c r="AB139" s="614"/>
      <c r="AF139" s="614"/>
      <c r="AG139" s="614"/>
      <c r="AH139" s="614"/>
      <c r="AI139" s="614"/>
      <c r="AJ139" s="614"/>
    </row>
    <row r="140" spans="16:46" ht="12.95" customHeight="1">
      <c r="Y140" s="614"/>
      <c r="Z140" s="614"/>
      <c r="AA140" s="614"/>
      <c r="AB140" s="614"/>
      <c r="AF140" s="614"/>
      <c r="AG140" s="614"/>
      <c r="AH140" s="614"/>
      <c r="AI140" s="614"/>
      <c r="AJ140" s="614"/>
      <c r="AT140" s="486"/>
    </row>
    <row r="141" spans="16:46" ht="12.95" customHeight="1">
      <c r="AT141" s="486"/>
    </row>
    <row r="142" spans="16:46" ht="12.95" customHeight="1">
      <c r="AT142" s="486"/>
    </row>
    <row r="143" spans="16:46" ht="12.95" customHeight="1"/>
    <row r="144" spans="16:46" ht="12" customHeight="1"/>
    <row r="145" spans="46:46" ht="12" customHeight="1"/>
    <row r="146" spans="46:46" ht="12.95" customHeight="1"/>
    <row r="152" spans="46:46">
      <c r="AT152" s="486"/>
    </row>
    <row r="153" spans="46:46">
      <c r="AT153" s="486"/>
    </row>
    <row r="154" spans="46:46">
      <c r="AT154" s="486"/>
    </row>
    <row r="155" spans="46:46">
      <c r="AT155" s="486"/>
    </row>
    <row r="156" spans="46:46">
      <c r="AT156" s="486"/>
    </row>
    <row r="175" spans="46:46">
      <c r="AT175" s="615"/>
    </row>
  </sheetData>
  <sheetProtection algorithmName="SHA-512" hashValue="WS8btB3QMmNkNCL2Q5V28OdeRu9DIyEVuEj0QLK8VlEdVVkbSfFGITiqHu2LSCRiZpF2NTGth1mI+84BqXklvA==" saltValue="4tbXwZtwvsXQFD6E//Tzjw==" spinCount="100000" sheet="1" objects="1" scenarios="1"/>
  <dataConsolidate/>
  <mergeCells count="293">
    <mergeCell ref="B76:G76"/>
    <mergeCell ref="C77:D77"/>
    <mergeCell ref="E78:F78"/>
    <mergeCell ref="G78:G79"/>
    <mergeCell ref="E77:G77"/>
    <mergeCell ref="O28:O31"/>
    <mergeCell ref="O32:O35"/>
    <mergeCell ref="F31:H31"/>
    <mergeCell ref="D33:D35"/>
    <mergeCell ref="D29:D31"/>
    <mergeCell ref="A49:C49"/>
    <mergeCell ref="A50:C51"/>
    <mergeCell ref="F50:K50"/>
    <mergeCell ref="L50:M51"/>
    <mergeCell ref="A52:C56"/>
    <mergeCell ref="D52:E52"/>
    <mergeCell ref="F52:H52"/>
    <mergeCell ref="N52:O56"/>
    <mergeCell ref="D53:E53"/>
    <mergeCell ref="F53:H53"/>
    <mergeCell ref="D54:E54"/>
    <mergeCell ref="F54:H54"/>
    <mergeCell ref="D55:E55"/>
    <mergeCell ref="F55:H55"/>
    <mergeCell ref="O24:O26"/>
    <mergeCell ref="D105:K105"/>
    <mergeCell ref="B24:C26"/>
    <mergeCell ref="D25:D26"/>
    <mergeCell ref="D32:E32"/>
    <mergeCell ref="B32:C35"/>
    <mergeCell ref="B28:C31"/>
    <mergeCell ref="F98:G98"/>
    <mergeCell ref="D92:E98"/>
    <mergeCell ref="B92:C98"/>
    <mergeCell ref="I93:I98"/>
    <mergeCell ref="K93:K98"/>
    <mergeCell ref="L92:L98"/>
    <mergeCell ref="B99:B101"/>
    <mergeCell ref="D28:E28"/>
    <mergeCell ref="F38:H38"/>
    <mergeCell ref="F47:H47"/>
    <mergeCell ref="B48:C48"/>
    <mergeCell ref="D48:E48"/>
    <mergeCell ref="F48:H48"/>
    <mergeCell ref="D49:M49"/>
    <mergeCell ref="N49:O51"/>
    <mergeCell ref="D50:E51"/>
    <mergeCell ref="F51:H51"/>
    <mergeCell ref="J1:O1"/>
    <mergeCell ref="D24:E24"/>
    <mergeCell ref="F26:H26"/>
    <mergeCell ref="D27:E27"/>
    <mergeCell ref="F27:H27"/>
    <mergeCell ref="B27:C27"/>
    <mergeCell ref="B22:C22"/>
    <mergeCell ref="D22:E22"/>
    <mergeCell ref="F22:H22"/>
    <mergeCell ref="B23:C23"/>
    <mergeCell ref="D23:E23"/>
    <mergeCell ref="D3:J3"/>
    <mergeCell ref="K3:L3"/>
    <mergeCell ref="F20:K20"/>
    <mergeCell ref="L20:M20"/>
    <mergeCell ref="F23:K23"/>
    <mergeCell ref="F24:K24"/>
    <mergeCell ref="F25:K25"/>
    <mergeCell ref="A19:C19"/>
    <mergeCell ref="D19:M19"/>
    <mergeCell ref="N19:O19"/>
    <mergeCell ref="A6:A7"/>
    <mergeCell ref="N6:N7"/>
    <mergeCell ref="B3:C3"/>
    <mergeCell ref="AO1:AP1"/>
    <mergeCell ref="AT1:BO1"/>
    <mergeCell ref="AT2:AX2"/>
    <mergeCell ref="AY2:AZ2"/>
    <mergeCell ref="BA2:BB2"/>
    <mergeCell ref="BC2:BD2"/>
    <mergeCell ref="BE2:BF2"/>
    <mergeCell ref="BG2:BH2"/>
    <mergeCell ref="BI2:BJ2"/>
    <mergeCell ref="BK2:BL2"/>
    <mergeCell ref="BM2:BO2"/>
    <mergeCell ref="AZ3:AZ5"/>
    <mergeCell ref="BB3:BB5"/>
    <mergeCell ref="BD3:BD5"/>
    <mergeCell ref="BF3:BF5"/>
    <mergeCell ref="BH3:BH5"/>
    <mergeCell ref="BJ3:BJ5"/>
    <mergeCell ref="C6:M6"/>
    <mergeCell ref="BL3:BL5"/>
    <mergeCell ref="Q19:R20"/>
    <mergeCell ref="AI20:AI21"/>
    <mergeCell ref="AJ20:AJ21"/>
    <mergeCell ref="F21:H21"/>
    <mergeCell ref="N20:N21"/>
    <mergeCell ref="O20:O21"/>
    <mergeCell ref="V20:V21"/>
    <mergeCell ref="W20:W21"/>
    <mergeCell ref="X20:X21"/>
    <mergeCell ref="S19:S21"/>
    <mergeCell ref="T19:T21"/>
    <mergeCell ref="U19:U21"/>
    <mergeCell ref="V19:AE19"/>
    <mergeCell ref="AF19:AG20"/>
    <mergeCell ref="AH19:AJ19"/>
    <mergeCell ref="Y20:AC20"/>
    <mergeCell ref="AD20:AD21"/>
    <mergeCell ref="AE20:AE21"/>
    <mergeCell ref="AH20:AH21"/>
    <mergeCell ref="B38:B47"/>
    <mergeCell ref="C38:C39"/>
    <mergeCell ref="D38:E38"/>
    <mergeCell ref="F30:H30"/>
    <mergeCell ref="F33:H33"/>
    <mergeCell ref="F34:H34"/>
    <mergeCell ref="F35:H35"/>
    <mergeCell ref="N38:N47"/>
    <mergeCell ref="O38:O47"/>
    <mergeCell ref="Q38:Q47"/>
    <mergeCell ref="R38:R47"/>
    <mergeCell ref="S38:S47"/>
    <mergeCell ref="C44:C47"/>
    <mergeCell ref="D44:E44"/>
    <mergeCell ref="F44:H44"/>
    <mergeCell ref="D45:E45"/>
    <mergeCell ref="F45:H45"/>
    <mergeCell ref="D46:E46"/>
    <mergeCell ref="F46:H46"/>
    <mergeCell ref="D47:E47"/>
    <mergeCell ref="F43:H43"/>
    <mergeCell ref="A20:A21"/>
    <mergeCell ref="B20:C21"/>
    <mergeCell ref="D20:E21"/>
    <mergeCell ref="A22:A36"/>
    <mergeCell ref="A37:A47"/>
    <mergeCell ref="B36:C36"/>
    <mergeCell ref="D36:E36"/>
    <mergeCell ref="F28:K28"/>
    <mergeCell ref="F29:K29"/>
    <mergeCell ref="F32:K32"/>
    <mergeCell ref="F36:K36"/>
    <mergeCell ref="F37:K37"/>
    <mergeCell ref="B37:C37"/>
    <mergeCell ref="D37:E37"/>
    <mergeCell ref="D39:E39"/>
    <mergeCell ref="F39:H39"/>
    <mergeCell ref="C40:C43"/>
    <mergeCell ref="D40:E40"/>
    <mergeCell ref="F40:H40"/>
    <mergeCell ref="D41:E41"/>
    <mergeCell ref="F41:H41"/>
    <mergeCell ref="D42:E42"/>
    <mergeCell ref="F42:H42"/>
    <mergeCell ref="D43:E43"/>
    <mergeCell ref="D56:E56"/>
    <mergeCell ref="F56:H56"/>
    <mergeCell ref="N57:O59"/>
    <mergeCell ref="D58:E58"/>
    <mergeCell ref="F58:H58"/>
    <mergeCell ref="D59:E59"/>
    <mergeCell ref="F59:H59"/>
    <mergeCell ref="A60:C62"/>
    <mergeCell ref="D60:E60"/>
    <mergeCell ref="F60:H60"/>
    <mergeCell ref="N60:O62"/>
    <mergeCell ref="D61:E61"/>
    <mergeCell ref="F61:H61"/>
    <mergeCell ref="D62:E62"/>
    <mergeCell ref="F62:H62"/>
    <mergeCell ref="A57:C59"/>
    <mergeCell ref="D57:E57"/>
    <mergeCell ref="F57:H57"/>
    <mergeCell ref="A63:A72"/>
    <mergeCell ref="B63:C63"/>
    <mergeCell ref="D63:E63"/>
    <mergeCell ref="F63:H63"/>
    <mergeCell ref="B67:C67"/>
    <mergeCell ref="D67:E67"/>
    <mergeCell ref="F67:H67"/>
    <mergeCell ref="B68:C68"/>
    <mergeCell ref="D68:E68"/>
    <mergeCell ref="F68:H68"/>
    <mergeCell ref="B69:C69"/>
    <mergeCell ref="D69:E69"/>
    <mergeCell ref="F69:H69"/>
    <mergeCell ref="N63:O72"/>
    <mergeCell ref="B64:C64"/>
    <mergeCell ref="D64:E64"/>
    <mergeCell ref="F64:H64"/>
    <mergeCell ref="B65:C65"/>
    <mergeCell ref="D65:E65"/>
    <mergeCell ref="F65:H65"/>
    <mergeCell ref="B66:C66"/>
    <mergeCell ref="D66:E66"/>
    <mergeCell ref="F66:H66"/>
    <mergeCell ref="B72:C72"/>
    <mergeCell ref="D72:E72"/>
    <mergeCell ref="F72:H72"/>
    <mergeCell ref="N73:O73"/>
    <mergeCell ref="A76:A79"/>
    <mergeCell ref="B77:B79"/>
    <mergeCell ref="H77:H79"/>
    <mergeCell ref="C78:C79"/>
    <mergeCell ref="D78:D79"/>
    <mergeCell ref="Q78:AJ78"/>
    <mergeCell ref="Q81:R82"/>
    <mergeCell ref="T81:T83"/>
    <mergeCell ref="U81:U83"/>
    <mergeCell ref="V81:AE81"/>
    <mergeCell ref="AF81:AG82"/>
    <mergeCell ref="AH81:AJ81"/>
    <mergeCell ref="V82:V83"/>
    <mergeCell ref="W82:W83"/>
    <mergeCell ref="X82:X83"/>
    <mergeCell ref="Y82:AC82"/>
    <mergeCell ref="AD82:AD83"/>
    <mergeCell ref="AE82:AE83"/>
    <mergeCell ref="AH82:AH83"/>
    <mergeCell ref="AI82:AI83"/>
    <mergeCell ref="AJ82:AJ83"/>
    <mergeCell ref="Z83:AB83"/>
    <mergeCell ref="AC83:AC88"/>
    <mergeCell ref="AI84:AJ84"/>
    <mergeCell ref="AI85:AJ85"/>
    <mergeCell ref="AI86:AJ86"/>
    <mergeCell ref="AI87:AJ87"/>
    <mergeCell ref="A88:C88"/>
    <mergeCell ref="D88:M88"/>
    <mergeCell ref="N88:N89"/>
    <mergeCell ref="O88:O89"/>
    <mergeCell ref="B89:C89"/>
    <mergeCell ref="D89:K89"/>
    <mergeCell ref="Q84:Q88"/>
    <mergeCell ref="R84:R88"/>
    <mergeCell ref="T84:T88"/>
    <mergeCell ref="U84:U88"/>
    <mergeCell ref="Z84:AB88"/>
    <mergeCell ref="AF84:AG88"/>
    <mergeCell ref="O92:O102"/>
    <mergeCell ref="D102:K102"/>
    <mergeCell ref="H93:H94"/>
    <mergeCell ref="J93:J94"/>
    <mergeCell ref="F94:G94"/>
    <mergeCell ref="F95:G95"/>
    <mergeCell ref="F96:G96"/>
    <mergeCell ref="H96:H97"/>
    <mergeCell ref="J96:J97"/>
    <mergeCell ref="F97:G97"/>
    <mergeCell ref="F92:G92"/>
    <mergeCell ref="F93:G93"/>
    <mergeCell ref="A90:A91"/>
    <mergeCell ref="B90:C91"/>
    <mergeCell ref="D90:K91"/>
    <mergeCell ref="L90:L91"/>
    <mergeCell ref="M90:M91"/>
    <mergeCell ref="N90:N91"/>
    <mergeCell ref="A92:A102"/>
    <mergeCell ref="M92:M102"/>
    <mergeCell ref="N92:N102"/>
    <mergeCell ref="B106:C106"/>
    <mergeCell ref="D106:K106"/>
    <mergeCell ref="A8:A15"/>
    <mergeCell ref="B8:B15"/>
    <mergeCell ref="C16:E16"/>
    <mergeCell ref="M103:M104"/>
    <mergeCell ref="N103:N104"/>
    <mergeCell ref="O103:O104"/>
    <mergeCell ref="B104:C104"/>
    <mergeCell ref="D104:K104"/>
    <mergeCell ref="B105:C105"/>
    <mergeCell ref="B103:C103"/>
    <mergeCell ref="D103:K103"/>
    <mergeCell ref="D99:K99"/>
    <mergeCell ref="C8:C11"/>
    <mergeCell ref="C12:C15"/>
    <mergeCell ref="D8:D9"/>
    <mergeCell ref="D10:D11"/>
    <mergeCell ref="D12:D13"/>
    <mergeCell ref="D14:D15"/>
    <mergeCell ref="D100:K100"/>
    <mergeCell ref="D101:K101"/>
    <mergeCell ref="B102:C102"/>
    <mergeCell ref="O90:O91"/>
    <mergeCell ref="B73:C73"/>
    <mergeCell ref="D73:E73"/>
    <mergeCell ref="F73:H73"/>
    <mergeCell ref="B70:C70"/>
    <mergeCell ref="D70:E70"/>
    <mergeCell ref="F70:H70"/>
    <mergeCell ref="B71:C71"/>
    <mergeCell ref="D71:E71"/>
    <mergeCell ref="F71:H71"/>
  </mergeCells>
  <phoneticPr fontId="1"/>
  <conditionalFormatting sqref="O90:O106">
    <cfRule type="cellIs" dxfId="14" priority="98" operator="lessThan">
      <formula>0</formula>
    </cfRule>
  </conditionalFormatting>
  <conditionalFormatting sqref="M22:M48 M52:M73 O22:O48 N52:O73">
    <cfRule type="containsText" dxfId="13" priority="97" operator="containsText" text="×">
      <formula>NOT(ISERROR(SEARCH("×",M22)))</formula>
    </cfRule>
  </conditionalFormatting>
  <conditionalFormatting sqref="F22 F26:H27 F30:H31 F33:H35 F38:H48 K34 K38:K47 K52:K73">
    <cfRule type="expression" dxfId="12" priority="95">
      <formula>IFERROR(NOT($W22),TRUE)</formula>
    </cfRule>
  </conditionalFormatting>
  <conditionalFormatting sqref="J22 J26:J27 J30:J31 J33:J35 J38:J48 J52:J73">
    <cfRule type="expression" dxfId="11" priority="94">
      <formula>AND($J22&lt;&gt;"",$J22&lt;&gt;"○")</formula>
    </cfRule>
  </conditionalFormatting>
  <conditionalFormatting sqref="A6:O74 A86:O106 A75:F75 H75:O79 A76:B76 A77:C77 A79:F85 A78:D78 E77 I80:O80 H81:O82 H85:O85 I83:O84">
    <cfRule type="containsText" dxfId="10" priority="92" operator="containsText" text="エラー">
      <formula>NOT(ISERROR(SEARCH("エラー",A6)))</formula>
    </cfRule>
  </conditionalFormatting>
  <conditionalFormatting sqref="L22:L48 L52:L73">
    <cfRule type="containsText" dxfId="9" priority="93" operator="containsText" text="調整">
      <formula>NOT(ISERROR(SEARCH("調整",L22)))</formula>
    </cfRule>
  </conditionalFormatting>
  <conditionalFormatting sqref="G78">
    <cfRule type="containsText" dxfId="8" priority="5" operator="containsText" text="エラー">
      <formula>NOT(ISERROR(SEARCH("エラー",G78)))</formula>
    </cfRule>
  </conditionalFormatting>
  <conditionalFormatting sqref="G80:G85">
    <cfRule type="containsText" dxfId="7" priority="4" operator="containsText" text="エラー">
      <formula>NOT(ISERROR(SEARCH("エラー",G80)))</formula>
    </cfRule>
  </conditionalFormatting>
  <conditionalFormatting sqref="H80">
    <cfRule type="containsText" dxfId="6" priority="3" operator="containsText" text="エラー">
      <formula>NOT(ISERROR(SEARCH("エラー",H80)))</formula>
    </cfRule>
  </conditionalFormatting>
  <conditionalFormatting sqref="H83">
    <cfRule type="containsText" dxfId="5" priority="2" operator="containsText" text="エラー">
      <formula>NOT(ISERROR(SEARCH("エラー",H83)))</formula>
    </cfRule>
  </conditionalFormatting>
  <conditionalFormatting sqref="H84">
    <cfRule type="containsText" dxfId="4" priority="1" operator="containsText" text="エラー">
      <formula>NOT(ISERROR(SEARCH("エラー",H84)))</formula>
    </cfRule>
  </conditionalFormatting>
  <dataValidations count="2">
    <dataValidation type="list" allowBlank="1" showInputMessage="1" showErrorMessage="1" sqref="F22:H22 F26:H27 F38:H48 F52:F72 F33:H34 F30:H30" xr:uid="{00000000-0002-0000-0C00-000000000000}">
      <formula1>INDIRECT($T22)</formula1>
    </dataValidation>
    <dataValidation type="decimal" allowBlank="1" showInputMessage="1" showErrorMessage="1" sqref="K34 K52:K73" xr:uid="{00000000-0002-0000-0C00-000001000000}">
      <formula1>0</formula1>
      <formula2>$U34</formula2>
    </dataValidation>
  </dataValidations>
  <printOptions horizontalCentered="1"/>
  <pageMargins left="0.51181102362204722" right="0.31496062992125984" top="0.74803149606299213" bottom="0.74803149606299213" header="0.31496062992125984" footer="0.31496062992125984"/>
  <pageSetup paperSize="9" scale="59" orientation="portrait" r:id="rId1"/>
  <rowBreaks count="2" manualBreakCount="2">
    <brk id="73" max="14" man="1"/>
    <brk id="130" max="12"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0000"/>
    <pageSetUpPr fitToPage="1"/>
  </sheetPr>
  <dimension ref="A1:AI52"/>
  <sheetViews>
    <sheetView showZeros="0" view="pageBreakPreview" zoomScale="85" zoomScaleNormal="85" zoomScaleSheetLayoutView="85" workbookViewId="0"/>
  </sheetViews>
  <sheetFormatPr defaultColWidth="9" defaultRowHeight="12" outlineLevelCol="1"/>
  <cols>
    <col min="1" max="21" width="6.625" style="77" customWidth="1"/>
    <col min="22" max="22" width="50.625" style="77" customWidth="1"/>
    <col min="23" max="23" width="17.75" style="77" hidden="1" customWidth="1" outlineLevel="1"/>
    <col min="24" max="34" width="9" style="77" hidden="1" customWidth="1" outlineLevel="1"/>
    <col min="35" max="35" width="9" style="77" collapsed="1"/>
    <col min="36" max="16384" width="9" style="77"/>
  </cols>
  <sheetData>
    <row r="1" spans="1:34" ht="15" customHeight="1">
      <c r="A1" s="617"/>
      <c r="B1" s="617"/>
      <c r="C1" s="617"/>
      <c r="D1" s="617"/>
      <c r="E1" s="617"/>
      <c r="F1" s="617"/>
      <c r="G1" s="617"/>
      <c r="H1" s="617"/>
      <c r="I1" s="617"/>
      <c r="J1" s="617"/>
      <c r="K1" s="617"/>
      <c r="L1" s="617"/>
      <c r="M1" s="617"/>
      <c r="N1" s="617"/>
      <c r="O1" s="1705" t="e">
        <f>W2&amp;"様式6"&amp;W3</f>
        <v>#N/A</v>
      </c>
      <c r="P1" s="1705"/>
      <c r="Q1" s="1705"/>
      <c r="R1" s="1705"/>
      <c r="S1" s="1705"/>
      <c r="T1" s="1705"/>
      <c r="U1" s="1705"/>
      <c r="W1" s="74" t="s">
        <v>475</v>
      </c>
      <c r="X1" s="78" t="s">
        <v>335</v>
      </c>
      <c r="Y1" s="78" t="s">
        <v>103</v>
      </c>
      <c r="Z1" s="78" t="s">
        <v>101</v>
      </c>
      <c r="AA1" s="102" t="s">
        <v>65</v>
      </c>
      <c r="AB1" s="102" t="s">
        <v>409</v>
      </c>
      <c r="AC1" s="74" t="s">
        <v>64</v>
      </c>
      <c r="AD1" s="74" t="s">
        <v>311</v>
      </c>
      <c r="AE1" s="74" t="s">
        <v>67</v>
      </c>
      <c r="AF1" s="74" t="s">
        <v>68</v>
      </c>
      <c r="AG1" s="74" t="s">
        <v>104</v>
      </c>
      <c r="AH1" s="78" t="s">
        <v>119</v>
      </c>
    </row>
    <row r="2" spans="1:34" ht="15" customHeight="1">
      <c r="A2" s="616" t="s">
        <v>435</v>
      </c>
      <c r="B2" s="617"/>
      <c r="C2" s="617"/>
      <c r="D2" s="617"/>
      <c r="E2" s="617"/>
      <c r="F2" s="617"/>
      <c r="G2" s="617"/>
      <c r="H2" s="617"/>
      <c r="I2" s="617"/>
      <c r="J2" s="617"/>
      <c r="K2" s="617"/>
      <c r="L2" s="617"/>
      <c r="M2" s="617"/>
      <c r="N2" s="617"/>
      <c r="O2" s="617"/>
      <c r="P2" s="617"/>
      <c r="Q2" s="617"/>
      <c r="R2" s="2257" t="e">
        <f>"【"&amp;IF($X$2="Ａ","小規模Ａ",IF($X$2="事小","事業所内19名以下",IF($X$2="事保","事業所内20名以上","エラー")))&amp;"】"</f>
        <v>#N/A</v>
      </c>
      <c r="S2" s="2257"/>
      <c r="T2" s="2257"/>
      <c r="U2" s="2257"/>
      <c r="W2" s="75" t="str">
        <f>【様式１】総括表・個票!$AI$2</f>
        <v>加-23_月申-</v>
      </c>
      <c r="X2" s="78" t="e">
        <f>【様式１】総括表・個票!$L$12</f>
        <v>#N/A</v>
      </c>
      <c r="Y2" s="78"/>
      <c r="Z2" s="78"/>
      <c r="AA2" s="102"/>
      <c r="AB2" s="74"/>
      <c r="AC2" s="74"/>
      <c r="AD2" s="103"/>
      <c r="AE2" s="104"/>
      <c r="AF2" s="74"/>
      <c r="AG2" s="78"/>
      <c r="AH2" s="78"/>
    </row>
    <row r="3" spans="1:34" ht="15" customHeight="1">
      <c r="A3" s="617"/>
      <c r="B3" s="617"/>
      <c r="C3" s="617"/>
      <c r="D3" s="617"/>
      <c r="E3" s="617"/>
      <c r="F3" s="617"/>
      <c r="G3" s="617"/>
      <c r="H3" s="617"/>
      <c r="I3" s="617"/>
      <c r="J3" s="617"/>
      <c r="K3" s="617"/>
      <c r="L3" s="617"/>
      <c r="M3" s="617"/>
      <c r="N3" s="617"/>
      <c r="O3" s="617"/>
      <c r="P3" s="617"/>
      <c r="Q3" s="617"/>
      <c r="R3" s="617"/>
      <c r="S3" s="617"/>
      <c r="T3" s="617"/>
      <c r="U3" s="617"/>
      <c r="W3" s="74" t="e">
        <f>【様式１】総括表・個票!$AI$3</f>
        <v>#N/A</v>
      </c>
      <c r="Y3" s="78">
        <v>2</v>
      </c>
      <c r="Z3" s="78">
        <v>7</v>
      </c>
      <c r="AA3" s="102" t="s">
        <v>51</v>
      </c>
      <c r="AB3" s="970" t="s">
        <v>1021</v>
      </c>
      <c r="AC3" s="74" t="s">
        <v>6</v>
      </c>
      <c r="AD3" s="103" t="s">
        <v>495</v>
      </c>
      <c r="AE3" s="105">
        <v>1</v>
      </c>
      <c r="AF3" s="74">
        <v>1</v>
      </c>
      <c r="AG3" s="74">
        <v>1</v>
      </c>
      <c r="AH3" s="78" t="s">
        <v>120</v>
      </c>
    </row>
    <row r="4" spans="1:34" ht="15" customHeight="1">
      <c r="A4" s="617"/>
      <c r="B4" s="617"/>
      <c r="C4" s="617"/>
      <c r="D4" s="617"/>
      <c r="E4" s="617"/>
      <c r="F4" s="617"/>
      <c r="G4" s="617"/>
      <c r="H4" s="617"/>
      <c r="I4" s="617"/>
      <c r="J4" s="617"/>
      <c r="K4" s="617"/>
      <c r="L4" s="2260" t="s">
        <v>93</v>
      </c>
      <c r="M4" s="2261"/>
      <c r="N4" s="2262"/>
      <c r="O4" s="2260" t="str">
        <f>【様式１】総括表・個票!$D$10</f>
        <v/>
      </c>
      <c r="P4" s="2261"/>
      <c r="Q4" s="2261"/>
      <c r="R4" s="879" t="s">
        <v>10</v>
      </c>
      <c r="S4" s="880">
        <f>【様式１】総括表・個票!$I$10</f>
        <v>0</v>
      </c>
      <c r="T4" s="2258" t="s">
        <v>92</v>
      </c>
      <c r="U4" s="2259"/>
      <c r="Y4" s="78">
        <v>3</v>
      </c>
      <c r="Z4" s="78">
        <v>6</v>
      </c>
      <c r="AA4" s="70"/>
      <c r="AB4" s="970" t="s">
        <v>1022</v>
      </c>
      <c r="AC4" s="74" t="s">
        <v>62</v>
      </c>
      <c r="AD4" s="103" t="s">
        <v>497</v>
      </c>
      <c r="AE4" s="105">
        <v>2</v>
      </c>
      <c r="AF4" s="74">
        <v>2</v>
      </c>
      <c r="AG4" s="74">
        <v>2</v>
      </c>
      <c r="AH4" s="81" t="s">
        <v>121</v>
      </c>
    </row>
    <row r="5" spans="1:34" ht="15" customHeight="1">
      <c r="A5" s="617"/>
      <c r="B5" s="617"/>
      <c r="C5" s="617"/>
      <c r="D5" s="617"/>
      <c r="E5" s="617"/>
      <c r="F5" s="617"/>
      <c r="G5" s="617"/>
      <c r="H5" s="617"/>
      <c r="I5" s="617"/>
      <c r="J5" s="617"/>
      <c r="K5" s="617"/>
      <c r="L5" s="2254" t="s">
        <v>11</v>
      </c>
      <c r="M5" s="2255"/>
      <c r="N5" s="2256"/>
      <c r="O5" s="2254">
        <f>【様式１】総括表・個票!D13</f>
        <v>0</v>
      </c>
      <c r="P5" s="2255"/>
      <c r="Q5" s="2255"/>
      <c r="R5" s="2255"/>
      <c r="S5" s="2255"/>
      <c r="T5" s="2255"/>
      <c r="U5" s="2256"/>
      <c r="Y5" s="78">
        <v>4</v>
      </c>
      <c r="Z5" s="78">
        <v>5</v>
      </c>
      <c r="AA5" s="70"/>
      <c r="AB5" s="970" t="s">
        <v>1023</v>
      </c>
      <c r="AC5" s="70"/>
      <c r="AD5" s="103" t="s">
        <v>499</v>
      </c>
      <c r="AE5" s="105">
        <v>3</v>
      </c>
      <c r="AF5" s="74">
        <v>3</v>
      </c>
      <c r="AG5" s="74">
        <v>3</v>
      </c>
      <c r="AH5" s="81" t="s">
        <v>122</v>
      </c>
    </row>
    <row r="6" spans="1:34" ht="15" customHeight="1">
      <c r="A6" s="617"/>
      <c r="B6" s="617"/>
      <c r="C6" s="617"/>
      <c r="D6" s="617"/>
      <c r="E6" s="617"/>
      <c r="F6" s="617"/>
      <c r="G6" s="617"/>
      <c r="H6" s="617"/>
      <c r="I6" s="617"/>
      <c r="J6" s="617"/>
      <c r="K6" s="617"/>
      <c r="L6" s="617"/>
      <c r="M6" s="617"/>
      <c r="N6" s="617"/>
      <c r="O6" s="617"/>
      <c r="P6" s="617"/>
      <c r="Q6" s="617"/>
      <c r="R6" s="617"/>
      <c r="S6" s="617"/>
      <c r="T6" s="617"/>
      <c r="U6" s="617"/>
      <c r="Y6" s="78">
        <v>5</v>
      </c>
      <c r="Z6" s="78">
        <v>4</v>
      </c>
      <c r="AA6" s="70"/>
      <c r="AB6" s="970" t="s">
        <v>1024</v>
      </c>
      <c r="AC6" s="70"/>
      <c r="AD6" s="70"/>
      <c r="AE6" s="105">
        <v>3.5</v>
      </c>
      <c r="AF6" s="74">
        <v>4</v>
      </c>
      <c r="AG6" s="74">
        <v>4</v>
      </c>
    </row>
    <row r="7" spans="1:34" ht="17.25">
      <c r="A7" s="617"/>
      <c r="B7" s="881" t="str">
        <f>【様式１】総括表・個票!A3&amp;"【確認表】"</f>
        <v>2023年度施設型給付費等にかかる加算（調整）適用申請書（試算様式）【確認表】</v>
      </c>
      <c r="C7" s="617"/>
      <c r="D7" s="617"/>
      <c r="E7" s="617"/>
      <c r="F7" s="617"/>
      <c r="G7" s="617"/>
      <c r="H7" s="617"/>
      <c r="I7" s="617"/>
      <c r="J7" s="617"/>
      <c r="K7" s="617"/>
      <c r="L7" s="617"/>
      <c r="M7" s="617"/>
      <c r="N7" s="617"/>
      <c r="O7" s="617"/>
      <c r="P7" s="617"/>
      <c r="Q7" s="617"/>
      <c r="R7" s="617"/>
      <c r="S7" s="617"/>
      <c r="T7" s="617"/>
      <c r="U7" s="617"/>
      <c r="Y7" s="78">
        <v>6</v>
      </c>
      <c r="Z7" s="78"/>
      <c r="AA7" s="70"/>
      <c r="AB7" s="70"/>
      <c r="AC7" s="70"/>
      <c r="AD7" s="70"/>
      <c r="AE7" s="105">
        <v>4</v>
      </c>
      <c r="AF7" s="74">
        <v>5</v>
      </c>
      <c r="AG7" s="74">
        <v>5</v>
      </c>
    </row>
    <row r="8" spans="1:34" ht="15" customHeight="1">
      <c r="A8" s="617"/>
      <c r="B8" s="617"/>
      <c r="C8" s="617"/>
      <c r="D8" s="617"/>
      <c r="E8" s="617"/>
      <c r="F8" s="617"/>
      <c r="G8" s="617"/>
      <c r="H8" s="617"/>
      <c r="I8" s="617"/>
      <c r="J8" s="617"/>
      <c r="K8" s="617"/>
      <c r="L8" s="617"/>
      <c r="M8" s="617"/>
      <c r="N8" s="617"/>
      <c r="O8" s="617"/>
      <c r="P8" s="617"/>
      <c r="Q8" s="617"/>
      <c r="R8" s="617"/>
      <c r="S8" s="617"/>
      <c r="T8" s="617"/>
      <c r="U8" s="617"/>
      <c r="Y8" s="78">
        <v>7</v>
      </c>
      <c r="Z8" s="78"/>
      <c r="AA8" s="70"/>
      <c r="AB8" s="70"/>
      <c r="AC8" s="70"/>
      <c r="AD8" s="70"/>
      <c r="AE8" s="105">
        <v>4.5</v>
      </c>
      <c r="AF8" s="70"/>
      <c r="AG8" s="74">
        <v>6</v>
      </c>
    </row>
    <row r="9" spans="1:34" ht="15" customHeight="1">
      <c r="A9" s="617"/>
      <c r="B9" s="617" t="s">
        <v>94</v>
      </c>
      <c r="C9" s="617"/>
      <c r="D9" s="617"/>
      <c r="E9" s="617"/>
      <c r="F9" s="617"/>
      <c r="G9" s="617"/>
      <c r="H9" s="617"/>
      <c r="I9" s="617"/>
      <c r="J9" s="617"/>
      <c r="K9" s="617"/>
      <c r="L9" s="617"/>
      <c r="M9" s="617"/>
      <c r="N9" s="617"/>
      <c r="O9" s="617"/>
      <c r="P9" s="617"/>
      <c r="Q9" s="617"/>
      <c r="R9" s="617"/>
      <c r="S9" s="617"/>
      <c r="T9" s="617"/>
      <c r="U9" s="617"/>
      <c r="Y9" s="78">
        <v>8</v>
      </c>
      <c r="Z9" s="78"/>
      <c r="AA9" s="70"/>
      <c r="AB9" s="70"/>
      <c r="AC9" s="70"/>
      <c r="AD9" s="70"/>
      <c r="AE9" s="105">
        <v>5</v>
      </c>
      <c r="AF9" s="70"/>
      <c r="AG9" s="74">
        <v>7</v>
      </c>
    </row>
    <row r="10" spans="1:34" ht="15" customHeight="1">
      <c r="A10" s="617"/>
      <c r="B10" s="2233" t="s">
        <v>97</v>
      </c>
      <c r="C10" s="2233"/>
      <c r="D10" s="2233"/>
      <c r="E10" s="2233"/>
      <c r="F10" s="2233"/>
      <c r="G10" s="2233"/>
      <c r="H10" s="2233"/>
      <c r="I10" s="2233"/>
      <c r="J10" s="2233"/>
      <c r="K10" s="2233"/>
      <c r="L10" s="2233"/>
      <c r="M10" s="2233"/>
      <c r="N10" s="2233"/>
      <c r="O10" s="2233"/>
      <c r="P10" s="2233"/>
      <c r="Q10" s="2233"/>
      <c r="R10" s="2233"/>
      <c r="S10" s="2233"/>
      <c r="T10" s="2233"/>
      <c r="U10" s="2233"/>
      <c r="Y10" s="78">
        <v>9</v>
      </c>
      <c r="Z10" s="78"/>
      <c r="AE10" s="105">
        <v>5.5</v>
      </c>
      <c r="AG10" s="74">
        <v>8</v>
      </c>
    </row>
    <row r="11" spans="1:34" ht="15" customHeight="1">
      <c r="A11" s="617"/>
      <c r="B11" s="2233" t="s">
        <v>431</v>
      </c>
      <c r="C11" s="2233"/>
      <c r="D11" s="2233"/>
      <c r="E11" s="2233"/>
      <c r="F11" s="2233"/>
      <c r="G11" s="2233"/>
      <c r="H11" s="2233"/>
      <c r="I11" s="2233"/>
      <c r="J11" s="2233"/>
      <c r="K11" s="2233"/>
      <c r="L11" s="2233"/>
      <c r="M11" s="2233"/>
      <c r="N11" s="2233"/>
      <c r="O11" s="2233"/>
      <c r="P11" s="2233"/>
      <c r="Q11" s="2233"/>
      <c r="R11" s="2233"/>
      <c r="S11" s="2233"/>
      <c r="T11" s="2233"/>
      <c r="U11" s="2233"/>
      <c r="Y11" s="78">
        <v>10</v>
      </c>
      <c r="Z11" s="78"/>
      <c r="AE11" s="105">
        <v>6</v>
      </c>
      <c r="AG11" s="74">
        <v>9</v>
      </c>
    </row>
    <row r="12" spans="1:34" ht="15" customHeight="1">
      <c r="A12" s="617"/>
      <c r="B12" s="617"/>
      <c r="C12" s="617"/>
      <c r="D12" s="617"/>
      <c r="E12" s="617"/>
      <c r="F12" s="617"/>
      <c r="G12" s="617"/>
      <c r="H12" s="617"/>
      <c r="I12" s="617"/>
      <c r="J12" s="617"/>
      <c r="K12" s="617"/>
      <c r="L12" s="617"/>
      <c r="M12" s="617"/>
      <c r="N12" s="617"/>
      <c r="O12" s="617"/>
      <c r="P12" s="617"/>
      <c r="Q12" s="617"/>
      <c r="R12" s="617"/>
      <c r="S12" s="617"/>
      <c r="T12" s="617"/>
      <c r="U12" s="617"/>
      <c r="Y12" s="78">
        <v>11</v>
      </c>
      <c r="Z12" s="78"/>
      <c r="AE12" s="105">
        <v>6.5</v>
      </c>
      <c r="AG12" s="74">
        <v>10</v>
      </c>
    </row>
    <row r="13" spans="1:34" ht="15" customHeight="1" thickBot="1">
      <c r="A13" s="617"/>
      <c r="B13" s="617" t="s">
        <v>95</v>
      </c>
      <c r="C13" s="617"/>
      <c r="D13" s="617"/>
      <c r="E13" s="617"/>
      <c r="F13" s="617"/>
      <c r="G13" s="617"/>
      <c r="H13" s="617"/>
      <c r="I13" s="617"/>
      <c r="J13" s="617"/>
      <c r="K13" s="617"/>
      <c r="L13" s="617"/>
      <c r="M13" s="617"/>
      <c r="N13" s="617"/>
      <c r="O13" s="617"/>
      <c r="P13" s="617"/>
      <c r="Q13" s="617"/>
      <c r="R13" s="617"/>
      <c r="S13" s="617"/>
      <c r="T13" s="617"/>
      <c r="U13" s="617"/>
      <c r="Y13" s="78">
        <v>12</v>
      </c>
      <c r="Z13" s="78"/>
      <c r="AE13" s="105">
        <v>7</v>
      </c>
      <c r="AG13" s="74">
        <v>11</v>
      </c>
    </row>
    <row r="14" spans="1:34" ht="20.100000000000001" customHeight="1">
      <c r="A14" s="617"/>
      <c r="B14" s="2245" t="s">
        <v>79</v>
      </c>
      <c r="C14" s="2248">
        <f>【様式１】総括表・個票!$A20</f>
        <v>1</v>
      </c>
      <c r="D14" s="2249"/>
      <c r="E14" s="2250"/>
      <c r="F14" s="805">
        <f>【様式１】総括表・個票!$A22</f>
        <v>3</v>
      </c>
      <c r="G14" s="882">
        <f>【様式１】総括表・個票!$A23</f>
        <v>4</v>
      </c>
      <c r="H14" s="882">
        <f>【様式１】総括表・個票!$A25</f>
        <v>6</v>
      </c>
      <c r="I14" s="882">
        <f>【様式１】総括表・個票!$A26</f>
        <v>7</v>
      </c>
      <c r="J14" s="882">
        <f>【様式１】総括表・個票!$A28</f>
        <v>8</v>
      </c>
      <c r="K14" s="805">
        <f>【様式１】総括表・個票!$A29</f>
        <v>9</v>
      </c>
      <c r="L14" s="883">
        <f>【様式１】総括表・個票!$A30</f>
        <v>10</v>
      </c>
      <c r="M14" s="882">
        <f>【様式１】総括表・個票!$A31</f>
        <v>11</v>
      </c>
      <c r="N14" s="882">
        <f>【様式１】総括表・個票!$A33</f>
        <v>12</v>
      </c>
      <c r="O14" s="2243">
        <f>【様式１】総括表・個票!$A35</f>
        <v>13</v>
      </c>
      <c r="P14" s="2244"/>
      <c r="Q14" s="882">
        <f>【様式１】総括表・個票!$A36</f>
        <v>14</v>
      </c>
      <c r="R14" s="882">
        <f>【様式１】総括表・個票!$A37</f>
        <v>15</v>
      </c>
      <c r="S14" s="882">
        <f>【様式１】総括表・個票!$A38</f>
        <v>16</v>
      </c>
      <c r="T14" s="882">
        <f>【様式１】総括表・個票!$A40</f>
        <v>17</v>
      </c>
      <c r="U14" s="884">
        <f>【様式１】総括表・個票!$A41</f>
        <v>18</v>
      </c>
      <c r="AE14" s="105">
        <v>7.5</v>
      </c>
      <c r="AG14" s="74">
        <v>12</v>
      </c>
    </row>
    <row r="15" spans="1:34" ht="337.5">
      <c r="A15" s="617"/>
      <c r="B15" s="2246"/>
      <c r="C15" s="2251" t="str">
        <f>【様式１】総括表・個票!$F20</f>
        <v>処遇改善等加算Ⅰ</v>
      </c>
      <c r="D15" s="2252"/>
      <c r="E15" s="2253"/>
      <c r="F15" s="885" t="str">
        <f>【様式１】総括表・個票!$F22</f>
        <v>障害児保育加算</v>
      </c>
      <c r="G15" s="886" t="str">
        <f>【様式１】総括表・個票!$F23</f>
        <v>休日保育加算</v>
      </c>
      <c r="H15" s="886" t="str">
        <f>【様式１】総括表・個票!$F25</f>
        <v>減価償却費加算</v>
      </c>
      <c r="I15" s="886" t="str">
        <f>【様式１】総括表・個票!$F26</f>
        <v>賃借料加算</v>
      </c>
      <c r="J15" s="886" t="str">
        <f>【様式１】総括表・個票!$F28</f>
        <v>連携施設を設定しない場合(減算）</v>
      </c>
      <c r="K15" s="885" t="str">
        <f>【様式１】総括表・個票!$F29</f>
        <v>食事の提供について自園調理又は連携施設等からの搬入以外の方法による場合(減算）</v>
      </c>
      <c r="L15" s="886" t="str">
        <f>【様式１】総括表・個票!$F30</f>
        <v>管理者を配置していない場合(減算）</v>
      </c>
      <c r="M15" s="886" t="str">
        <f>【様式１】総括表・個票!$F31</f>
        <v>土曜日に閉所する場合（前月分実績は備考欄に記載）(減算）</v>
      </c>
      <c r="N15" s="886" t="str">
        <f>【様式１】総括表・個票!$F33</f>
        <v>定員を恒常的に超過する場合(減算）</v>
      </c>
      <c r="O15" s="2228" t="str">
        <f>【様式１】総括表・個票!$F35</f>
        <v>処遇改善等加算Ⅱ</v>
      </c>
      <c r="P15" s="2229"/>
      <c r="Q15" s="886" t="str">
        <f>【様式１】総括表・個票!$F36</f>
        <v>処遇改善等加算Ⅲ</v>
      </c>
      <c r="R15" s="886" t="str">
        <f>【様式１】総括表・個票!$F37</f>
        <v>栄養管理加算</v>
      </c>
      <c r="S15" s="886" t="str">
        <f>【様式１】総括表・個票!$F38</f>
        <v>冷暖房費加算</v>
      </c>
      <c r="T15" s="886" t="str">
        <f>【様式１】総括表・個票!$F40</f>
        <v>施設機能強化推進費加算</v>
      </c>
      <c r="U15" s="887" t="str">
        <f>【様式１】総括表・個票!$F41</f>
        <v>第三者評価受審加算</v>
      </c>
      <c r="AE15" s="105">
        <v>8</v>
      </c>
      <c r="AG15" s="74">
        <v>13</v>
      </c>
    </row>
    <row r="16" spans="1:34" ht="74.25" thickBot="1">
      <c r="A16" s="617"/>
      <c r="B16" s="2247"/>
      <c r="C16" s="888" t="s">
        <v>100</v>
      </c>
      <c r="D16" s="889" t="s">
        <v>101</v>
      </c>
      <c r="E16" s="890" t="s">
        <v>14</v>
      </c>
      <c r="F16" s="891" t="s">
        <v>313</v>
      </c>
      <c r="G16" s="892">
        <f>【様式１】総括表・個票!AD92</f>
        <v>0</v>
      </c>
      <c r="H16" s="891" t="s">
        <v>408</v>
      </c>
      <c r="I16" s="891" t="s">
        <v>143</v>
      </c>
      <c r="J16" s="891" t="s">
        <v>149</v>
      </c>
      <c r="K16" s="891" t="s">
        <v>149</v>
      </c>
      <c r="L16" s="891" t="s">
        <v>149</v>
      </c>
      <c r="M16" s="891" t="s">
        <v>473</v>
      </c>
      <c r="N16" s="891" t="s">
        <v>149</v>
      </c>
      <c r="O16" s="893" t="s">
        <v>98</v>
      </c>
      <c r="P16" s="894" t="s">
        <v>99</v>
      </c>
      <c r="Q16" s="975" t="s">
        <v>1028</v>
      </c>
      <c r="R16" s="891" t="s">
        <v>444</v>
      </c>
      <c r="S16" s="891" t="s">
        <v>150</v>
      </c>
      <c r="T16" s="891" t="s">
        <v>339</v>
      </c>
      <c r="U16" s="895" t="s">
        <v>339</v>
      </c>
      <c r="AG16" s="74">
        <v>14</v>
      </c>
    </row>
    <row r="17" spans="1:33" ht="35.1" customHeight="1">
      <c r="A17" s="617"/>
      <c r="B17" s="132" t="s">
        <v>102</v>
      </c>
      <c r="C17" s="2234"/>
      <c r="D17" s="2237"/>
      <c r="E17" s="2230">
        <f>SUM(C17,D17)</f>
        <v>0</v>
      </c>
      <c r="F17" s="135"/>
      <c r="G17" s="913">
        <f>【様式１】総括表・個票!F92</f>
        <v>0</v>
      </c>
      <c r="H17" s="136"/>
      <c r="I17" s="136"/>
      <c r="J17" s="136"/>
      <c r="K17" s="136"/>
      <c r="L17" s="136"/>
      <c r="M17" s="136"/>
      <c r="N17" s="136"/>
      <c r="O17" s="1012"/>
      <c r="P17" s="1012"/>
      <c r="Q17" s="1012"/>
      <c r="R17" s="136"/>
      <c r="S17" s="2240" t="s">
        <v>54</v>
      </c>
      <c r="T17" s="2222"/>
      <c r="U17" s="2225"/>
      <c r="AG17" s="74">
        <v>15</v>
      </c>
    </row>
    <row r="18" spans="1:33" ht="35.1" customHeight="1">
      <c r="A18" s="617"/>
      <c r="B18" s="133" t="s">
        <v>81</v>
      </c>
      <c r="C18" s="2235"/>
      <c r="D18" s="2238"/>
      <c r="E18" s="2231"/>
      <c r="F18" s="137"/>
      <c r="G18" s="914">
        <f>【様式１】総括表・個票!H92</f>
        <v>0</v>
      </c>
      <c r="H18" s="138"/>
      <c r="I18" s="138"/>
      <c r="J18" s="138"/>
      <c r="K18" s="138"/>
      <c r="L18" s="138"/>
      <c r="M18" s="138"/>
      <c r="N18" s="138"/>
      <c r="O18" s="1013"/>
      <c r="P18" s="1013"/>
      <c r="Q18" s="1013"/>
      <c r="R18" s="138"/>
      <c r="S18" s="2241"/>
      <c r="T18" s="2223"/>
      <c r="U18" s="2226"/>
      <c r="AG18" s="74">
        <v>16</v>
      </c>
    </row>
    <row r="19" spans="1:33" ht="35.1" customHeight="1">
      <c r="A19" s="617"/>
      <c r="B19" s="133" t="s">
        <v>82</v>
      </c>
      <c r="C19" s="2235"/>
      <c r="D19" s="2238"/>
      <c r="E19" s="2231"/>
      <c r="F19" s="137"/>
      <c r="G19" s="914">
        <f>【様式１】総括表・個票!J92</f>
        <v>0</v>
      </c>
      <c r="H19" s="138"/>
      <c r="I19" s="138"/>
      <c r="J19" s="138"/>
      <c r="K19" s="138"/>
      <c r="L19" s="138"/>
      <c r="M19" s="138"/>
      <c r="N19" s="138"/>
      <c r="O19" s="1013"/>
      <c r="P19" s="1013"/>
      <c r="Q19" s="1013"/>
      <c r="R19" s="138"/>
      <c r="S19" s="2241"/>
      <c r="T19" s="2223"/>
      <c r="U19" s="2226"/>
      <c r="AG19" s="74">
        <v>17</v>
      </c>
    </row>
    <row r="20" spans="1:33" ht="35.1" customHeight="1">
      <c r="A20" s="617"/>
      <c r="B20" s="133" t="s">
        <v>83</v>
      </c>
      <c r="C20" s="2235"/>
      <c r="D20" s="2238"/>
      <c r="E20" s="2231"/>
      <c r="F20" s="137"/>
      <c r="G20" s="914">
        <f>【様式１】総括表・個票!L92</f>
        <v>0</v>
      </c>
      <c r="H20" s="138"/>
      <c r="I20" s="138"/>
      <c r="J20" s="138"/>
      <c r="K20" s="138"/>
      <c r="L20" s="138"/>
      <c r="M20" s="138"/>
      <c r="N20" s="138"/>
      <c r="O20" s="1013"/>
      <c r="P20" s="1013"/>
      <c r="Q20" s="1013"/>
      <c r="R20" s="138"/>
      <c r="S20" s="2241"/>
      <c r="T20" s="2223"/>
      <c r="U20" s="2226"/>
      <c r="AG20" s="74">
        <v>18</v>
      </c>
    </row>
    <row r="21" spans="1:33" ht="35.1" customHeight="1">
      <c r="A21" s="617"/>
      <c r="B21" s="133" t="s">
        <v>84</v>
      </c>
      <c r="C21" s="2235"/>
      <c r="D21" s="2238"/>
      <c r="E21" s="2231"/>
      <c r="F21" s="137"/>
      <c r="G21" s="914">
        <f>【様式１】総括表・個票!N92</f>
        <v>0</v>
      </c>
      <c r="H21" s="138"/>
      <c r="I21" s="138"/>
      <c r="J21" s="138"/>
      <c r="K21" s="138"/>
      <c r="L21" s="138"/>
      <c r="M21" s="138"/>
      <c r="N21" s="138"/>
      <c r="O21" s="1013"/>
      <c r="P21" s="1013"/>
      <c r="Q21" s="1013"/>
      <c r="R21" s="138"/>
      <c r="S21" s="2241"/>
      <c r="T21" s="2223"/>
      <c r="U21" s="2226"/>
      <c r="AG21" s="74">
        <v>19</v>
      </c>
    </row>
    <row r="22" spans="1:33" ht="35.1" customHeight="1">
      <c r="A22" s="617"/>
      <c r="B22" s="133" t="s">
        <v>85</v>
      </c>
      <c r="C22" s="2235"/>
      <c r="D22" s="2238"/>
      <c r="E22" s="2231"/>
      <c r="F22" s="137"/>
      <c r="G22" s="914">
        <f>【様式１】総括表・個票!P92</f>
        <v>0</v>
      </c>
      <c r="H22" s="138"/>
      <c r="I22" s="138"/>
      <c r="J22" s="138"/>
      <c r="K22" s="138"/>
      <c r="L22" s="138"/>
      <c r="M22" s="138"/>
      <c r="N22" s="138"/>
      <c r="O22" s="1013"/>
      <c r="P22" s="1013"/>
      <c r="Q22" s="1013"/>
      <c r="R22" s="138"/>
      <c r="S22" s="2241"/>
      <c r="T22" s="2223"/>
      <c r="U22" s="2226"/>
      <c r="AG22" s="74">
        <v>20</v>
      </c>
    </row>
    <row r="23" spans="1:33" ht="35.1" customHeight="1">
      <c r="A23" s="617"/>
      <c r="B23" s="133" t="s">
        <v>86</v>
      </c>
      <c r="C23" s="2235"/>
      <c r="D23" s="2238"/>
      <c r="E23" s="2231"/>
      <c r="F23" s="137"/>
      <c r="G23" s="914">
        <f>【様式１】総括表・個票!R92</f>
        <v>0</v>
      </c>
      <c r="H23" s="138"/>
      <c r="I23" s="138"/>
      <c r="J23" s="138"/>
      <c r="K23" s="138"/>
      <c r="L23" s="138"/>
      <c r="M23" s="138"/>
      <c r="N23" s="138"/>
      <c r="O23" s="1013"/>
      <c r="P23" s="1013"/>
      <c r="Q23" s="1013"/>
      <c r="R23" s="138"/>
      <c r="S23" s="2241"/>
      <c r="T23" s="2223"/>
      <c r="U23" s="2226"/>
      <c r="AG23" s="74">
        <v>21</v>
      </c>
    </row>
    <row r="24" spans="1:33" ht="35.1" customHeight="1">
      <c r="A24" s="617"/>
      <c r="B24" s="133" t="s">
        <v>87</v>
      </c>
      <c r="C24" s="2235"/>
      <c r="D24" s="2238"/>
      <c r="E24" s="2231"/>
      <c r="F24" s="137"/>
      <c r="G24" s="914">
        <f>【様式１】総括表・個票!T92</f>
        <v>0</v>
      </c>
      <c r="H24" s="138"/>
      <c r="I24" s="138"/>
      <c r="J24" s="138"/>
      <c r="K24" s="138"/>
      <c r="L24" s="138"/>
      <c r="M24" s="138"/>
      <c r="N24" s="138"/>
      <c r="O24" s="1013"/>
      <c r="P24" s="1013"/>
      <c r="Q24" s="1013"/>
      <c r="R24" s="138"/>
      <c r="S24" s="2241"/>
      <c r="T24" s="2223"/>
      <c r="U24" s="2226"/>
      <c r="AG24" s="74">
        <v>22</v>
      </c>
    </row>
    <row r="25" spans="1:33" ht="35.1" customHeight="1">
      <c r="A25" s="617"/>
      <c r="B25" s="133" t="s">
        <v>88</v>
      </c>
      <c r="C25" s="2235"/>
      <c r="D25" s="2238"/>
      <c r="E25" s="2231"/>
      <c r="F25" s="137"/>
      <c r="G25" s="914">
        <f>【様式１】総括表・個票!V92</f>
        <v>0</v>
      </c>
      <c r="H25" s="138"/>
      <c r="I25" s="138"/>
      <c r="J25" s="138"/>
      <c r="K25" s="138"/>
      <c r="L25" s="138"/>
      <c r="M25" s="138"/>
      <c r="N25" s="138"/>
      <c r="O25" s="1013"/>
      <c r="P25" s="1013"/>
      <c r="Q25" s="1013"/>
      <c r="R25" s="138"/>
      <c r="S25" s="2241"/>
      <c r="T25" s="2223"/>
      <c r="U25" s="2226"/>
      <c r="AG25" s="74">
        <v>23</v>
      </c>
    </row>
    <row r="26" spans="1:33" ht="35.1" customHeight="1">
      <c r="A26" s="617"/>
      <c r="B26" s="133" t="s">
        <v>89</v>
      </c>
      <c r="C26" s="2235"/>
      <c r="D26" s="2238"/>
      <c r="E26" s="2231"/>
      <c r="F26" s="137"/>
      <c r="G26" s="914">
        <f>【様式１】総括表・個票!X92</f>
        <v>0</v>
      </c>
      <c r="H26" s="138"/>
      <c r="I26" s="138"/>
      <c r="J26" s="138"/>
      <c r="K26" s="138"/>
      <c r="L26" s="138"/>
      <c r="M26" s="138"/>
      <c r="N26" s="138"/>
      <c r="O26" s="1013"/>
      <c r="P26" s="1013"/>
      <c r="Q26" s="1013"/>
      <c r="R26" s="138"/>
      <c r="S26" s="2241"/>
      <c r="T26" s="2223"/>
      <c r="U26" s="2226"/>
      <c r="AG26" s="74">
        <v>24</v>
      </c>
    </row>
    <row r="27" spans="1:33" ht="35.1" customHeight="1">
      <c r="A27" s="617"/>
      <c r="B27" s="133" t="s">
        <v>90</v>
      </c>
      <c r="C27" s="2235"/>
      <c r="D27" s="2238"/>
      <c r="E27" s="2231"/>
      <c r="F27" s="137"/>
      <c r="G27" s="914">
        <f>【様式１】総括表・個票!Z92</f>
        <v>0</v>
      </c>
      <c r="H27" s="138"/>
      <c r="I27" s="138"/>
      <c r="J27" s="138"/>
      <c r="K27" s="138"/>
      <c r="L27" s="138"/>
      <c r="M27" s="138"/>
      <c r="N27" s="138"/>
      <c r="O27" s="1013"/>
      <c r="P27" s="1013"/>
      <c r="Q27" s="1013"/>
      <c r="R27" s="138"/>
      <c r="S27" s="2241"/>
      <c r="T27" s="2223"/>
      <c r="U27" s="2226"/>
      <c r="AG27" s="74">
        <v>25</v>
      </c>
    </row>
    <row r="28" spans="1:33" ht="35.1" customHeight="1" thickBot="1">
      <c r="A28" s="617"/>
      <c r="B28" s="134" t="s">
        <v>91</v>
      </c>
      <c r="C28" s="2236"/>
      <c r="D28" s="2239"/>
      <c r="E28" s="2232"/>
      <c r="F28" s="139"/>
      <c r="G28" s="915">
        <f>【様式１】総括表・個票!AB92</f>
        <v>0</v>
      </c>
      <c r="H28" s="140"/>
      <c r="I28" s="140"/>
      <c r="J28" s="140"/>
      <c r="K28" s="140"/>
      <c r="L28" s="140"/>
      <c r="M28" s="140"/>
      <c r="N28" s="140"/>
      <c r="O28" s="1014"/>
      <c r="P28" s="1015"/>
      <c r="Q28" s="1015"/>
      <c r="R28" s="140"/>
      <c r="S28" s="2242"/>
      <c r="T28" s="2224"/>
      <c r="U28" s="2227"/>
      <c r="AG28" s="74">
        <v>26</v>
      </c>
    </row>
    <row r="29" spans="1:33" ht="30" customHeight="1">
      <c r="S29" s="82"/>
      <c r="T29" s="82"/>
      <c r="U29" s="82"/>
      <c r="AG29" s="74">
        <v>27</v>
      </c>
    </row>
    <row r="30" spans="1:33">
      <c r="AG30" s="74">
        <v>28</v>
      </c>
    </row>
    <row r="31" spans="1:33">
      <c r="AG31" s="74">
        <v>29</v>
      </c>
    </row>
    <row r="32" spans="1:33">
      <c r="AG32" s="74">
        <v>30</v>
      </c>
    </row>
    <row r="33" spans="33:33">
      <c r="AG33" s="74">
        <v>31</v>
      </c>
    </row>
    <row r="34" spans="33:33">
      <c r="AG34" s="74">
        <v>32</v>
      </c>
    </row>
    <row r="35" spans="33:33">
      <c r="AG35" s="74">
        <v>33</v>
      </c>
    </row>
    <row r="36" spans="33:33">
      <c r="AG36" s="74">
        <v>34</v>
      </c>
    </row>
    <row r="37" spans="33:33">
      <c r="AG37" s="74">
        <v>35</v>
      </c>
    </row>
    <row r="38" spans="33:33">
      <c r="AG38" s="74">
        <v>36</v>
      </c>
    </row>
    <row r="39" spans="33:33">
      <c r="AG39" s="74">
        <v>37</v>
      </c>
    </row>
    <row r="40" spans="33:33">
      <c r="AG40" s="74">
        <v>38</v>
      </c>
    </row>
    <row r="41" spans="33:33">
      <c r="AG41" s="74">
        <v>39</v>
      </c>
    </row>
    <row r="42" spans="33:33">
      <c r="AG42" s="74">
        <v>40</v>
      </c>
    </row>
    <row r="43" spans="33:33">
      <c r="AG43" s="74">
        <v>41</v>
      </c>
    </row>
    <row r="44" spans="33:33">
      <c r="AG44" s="74">
        <v>42</v>
      </c>
    </row>
    <row r="45" spans="33:33">
      <c r="AG45" s="74">
        <v>43</v>
      </c>
    </row>
    <row r="46" spans="33:33">
      <c r="AG46" s="74">
        <v>44</v>
      </c>
    </row>
    <row r="47" spans="33:33">
      <c r="AG47" s="74">
        <v>45</v>
      </c>
    </row>
    <row r="48" spans="33:33">
      <c r="AG48" s="74">
        <v>46</v>
      </c>
    </row>
    <row r="49" spans="33:33">
      <c r="AG49" s="74">
        <v>47</v>
      </c>
    </row>
    <row r="50" spans="33:33">
      <c r="AG50" s="74">
        <v>48</v>
      </c>
    </row>
    <row r="51" spans="33:33">
      <c r="AG51" s="74">
        <v>49</v>
      </c>
    </row>
    <row r="52" spans="33:33">
      <c r="AG52" s="74">
        <v>50</v>
      </c>
    </row>
  </sheetData>
  <sheetProtection algorithmName="SHA-512" hashValue="OvkgLykj8LbtjiTtibURUnDLXARP0BVm3F2+grrJ3NJOrLVztXoYC+77SOmQedLoaIieGwkI/fHOc1AtvEsOfA==" saltValue="Q6hIXLAm3yJkDH0xKUuEMA==" spinCount="100000" sheet="1" objects="1" scenarios="1"/>
  <mergeCells count="20">
    <mergeCell ref="O1:U1"/>
    <mergeCell ref="L5:N5"/>
    <mergeCell ref="O5:U5"/>
    <mergeCell ref="R2:U2"/>
    <mergeCell ref="T4:U4"/>
    <mergeCell ref="L4:N4"/>
    <mergeCell ref="O4:Q4"/>
    <mergeCell ref="T17:T28"/>
    <mergeCell ref="U17:U28"/>
    <mergeCell ref="O15:P15"/>
    <mergeCell ref="E17:E28"/>
    <mergeCell ref="B10:U10"/>
    <mergeCell ref="B11:U11"/>
    <mergeCell ref="C17:C28"/>
    <mergeCell ref="D17:D28"/>
    <mergeCell ref="S17:S28"/>
    <mergeCell ref="O14:P14"/>
    <mergeCell ref="B14:B16"/>
    <mergeCell ref="C14:E14"/>
    <mergeCell ref="C15:E15"/>
  </mergeCells>
  <phoneticPr fontId="1"/>
  <conditionalFormatting sqref="H17:H28">
    <cfRule type="expression" dxfId="3" priority="5">
      <formula>I17="○"</formula>
    </cfRule>
  </conditionalFormatting>
  <conditionalFormatting sqref="I17:I28">
    <cfRule type="expression" dxfId="2" priority="4">
      <formula>H17="○"</formula>
    </cfRule>
  </conditionalFormatting>
  <conditionalFormatting sqref="O17:Q28">
    <cfRule type="expression" dxfId="1" priority="3">
      <formula>$P17&gt;$O17</formula>
    </cfRule>
  </conditionalFormatting>
  <conditionalFormatting sqref="O18:Q28">
    <cfRule type="expression" dxfId="0" priority="1">
      <formula>AND(O17&gt;0,O18&gt;0,O17&lt;&gt;O18)</formula>
    </cfRule>
  </conditionalFormatting>
  <dataValidations count="9">
    <dataValidation type="list" showInputMessage="1" showErrorMessage="1" sqref="D17" xr:uid="{00000000-0002-0000-0D00-000000000000}">
      <formula1>$Z$2:$Z$6</formula1>
    </dataValidation>
    <dataValidation type="list" showInputMessage="1" showErrorMessage="1" sqref="C17:C28" xr:uid="{00000000-0002-0000-0D00-000001000000}">
      <formula1>$Y$2:$Y$13</formula1>
    </dataValidation>
    <dataValidation type="list" errorStyle="warning" showInputMessage="1" showErrorMessage="1" sqref="L17:L28 S17:U28" xr:uid="{00000000-0002-0000-0D00-000002000000}">
      <formula1>$AA$2:$AA$3</formula1>
    </dataValidation>
    <dataValidation type="list" errorStyle="warning" showInputMessage="1" showErrorMessage="1" sqref="F17:F28" xr:uid="{00000000-0002-0000-0D00-000003000000}">
      <formula1>$AF$2:$AF$7</formula1>
    </dataValidation>
    <dataValidation type="list" showInputMessage="1" showErrorMessage="1" sqref="G17:K28 N17:N28" xr:uid="{00000000-0002-0000-0D00-000004000000}">
      <formula1>$AA$2:$AA$3</formula1>
    </dataValidation>
    <dataValidation type="list" errorStyle="warning" showInputMessage="1" showErrorMessage="1" sqref="O17:P28" xr:uid="{00000000-0002-0000-0D00-000005000000}">
      <formula1>$AG$2:$AG$17</formula1>
    </dataValidation>
    <dataValidation type="list" showInputMessage="1" showErrorMessage="1" sqref="R17:R28" xr:uid="{00000000-0002-0000-0D00-000006000000}">
      <formula1>$AD$2:$AD$5</formula1>
    </dataValidation>
    <dataValidation type="list" showInputMessage="1" showErrorMessage="1" sqref="M17:M28" xr:uid="{00000000-0002-0000-0D00-000007000000}">
      <formula1>$AB$2:$AB$6</formula1>
    </dataValidation>
    <dataValidation type="list" errorStyle="warning" showInputMessage="1" showErrorMessage="1" sqref="Q17:Q28" xr:uid="{66865A4E-1F53-411E-BA14-B038FAE1D833}">
      <formula1>$AG$3:$AG$52</formula1>
    </dataValidation>
  </dataValidations>
  <pageMargins left="0.7" right="0.7" top="0.75" bottom="0.75" header="0.3" footer="0.3"/>
  <pageSetup paperSize="9" scale="63"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C18"/>
  <sheetViews>
    <sheetView workbookViewId="0">
      <selection activeCell="G6" sqref="G6"/>
    </sheetView>
  </sheetViews>
  <sheetFormatPr defaultColWidth="9" defaultRowHeight="13.5"/>
  <cols>
    <col min="1" max="1" width="11.625" bestFit="1" customWidth="1"/>
    <col min="3" max="3" width="44.75" bestFit="1" customWidth="1"/>
  </cols>
  <sheetData>
    <row r="1" spans="1:3">
      <c r="A1" s="141" t="s">
        <v>397</v>
      </c>
      <c r="B1" s="142" t="s">
        <v>398</v>
      </c>
      <c r="C1" s="142" t="s">
        <v>399</v>
      </c>
    </row>
    <row r="2" spans="1:3">
      <c r="A2" s="143">
        <v>44707</v>
      </c>
      <c r="B2" s="706">
        <v>1</v>
      </c>
      <c r="C2" s="142" t="s">
        <v>400</v>
      </c>
    </row>
    <row r="3" spans="1:3" ht="42" customHeight="1">
      <c r="A3" s="143">
        <v>44708</v>
      </c>
      <c r="B3" s="706">
        <v>1.01</v>
      </c>
      <c r="C3" s="906" t="s">
        <v>1017</v>
      </c>
    </row>
    <row r="4" spans="1:3" ht="146.25">
      <c r="A4" s="143">
        <v>44799</v>
      </c>
      <c r="B4" s="706">
        <v>1.02</v>
      </c>
      <c r="C4" s="906" t="s">
        <v>1019</v>
      </c>
    </row>
    <row r="5" spans="1:3" ht="101.25">
      <c r="A5" s="143">
        <v>45069</v>
      </c>
      <c r="B5" s="706">
        <v>2</v>
      </c>
      <c r="C5" s="1011" t="s">
        <v>1072</v>
      </c>
    </row>
    <row r="6" spans="1:3" ht="24" customHeight="1">
      <c r="A6" s="143">
        <v>45071</v>
      </c>
      <c r="B6" s="706">
        <v>2.0099999999999998</v>
      </c>
      <c r="C6" s="1011" t="s">
        <v>1074</v>
      </c>
    </row>
    <row r="7" spans="1:3">
      <c r="A7" s="143"/>
      <c r="B7" s="706"/>
      <c r="C7" s="906"/>
    </row>
    <row r="8" spans="1:3">
      <c r="A8" s="143"/>
      <c r="B8" s="706"/>
      <c r="C8" s="906"/>
    </row>
    <row r="9" spans="1:3">
      <c r="A9" s="143"/>
      <c r="B9" s="706"/>
      <c r="C9" s="906"/>
    </row>
    <row r="10" spans="1:3">
      <c r="A10" s="143"/>
      <c r="B10" s="706"/>
      <c r="C10" s="906"/>
    </row>
    <row r="11" spans="1:3">
      <c r="A11" s="143"/>
      <c r="B11" s="706"/>
      <c r="C11" s="906"/>
    </row>
    <row r="12" spans="1:3">
      <c r="A12" s="143"/>
      <c r="B12" s="706"/>
      <c r="C12" s="906"/>
    </row>
    <row r="13" spans="1:3">
      <c r="A13" s="143"/>
      <c r="B13" s="706"/>
      <c r="C13" s="906"/>
    </row>
    <row r="14" spans="1:3">
      <c r="A14" s="143"/>
      <c r="B14" s="706"/>
      <c r="C14" s="906"/>
    </row>
    <row r="15" spans="1:3">
      <c r="A15" s="143"/>
      <c r="B15" s="706"/>
      <c r="C15" s="906"/>
    </row>
    <row r="16" spans="1:3">
      <c r="A16" s="143"/>
      <c r="B16" s="706"/>
      <c r="C16" s="906"/>
    </row>
    <row r="17" spans="1:3" ht="14.25" thickBot="1">
      <c r="A17" s="143"/>
      <c r="B17" s="707"/>
      <c r="C17" s="144"/>
    </row>
    <row r="18" spans="1:3" ht="14.25" thickBot="1">
      <c r="A18" s="145"/>
      <c r="B18" s="708">
        <f>MAX(B2:B17)</f>
        <v>2.0099999999999998</v>
      </c>
      <c r="C18" s="146"/>
    </row>
  </sheetData>
  <sheetProtection algorithmName="SHA-512" hashValue="XQyQOmYBJLqyN2zpTP5P+ziXKMF+FDZS16A7ri3F4LtwCNRO3cFRUQN5R8Q8aWe1FUvimMgr0ckyuIYmbM8afg==" saltValue="acDZJOkT4CAxapN2+Toijw=="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139</vt:i4>
      </vt:variant>
    </vt:vector>
  </HeadingPairs>
  <TitlesOfParts>
    <vt:vector size="154" baseType="lpstr">
      <vt:lpstr>施設状況(要更新)</vt:lpstr>
      <vt:lpstr>休日情報(要更新)</vt:lpstr>
      <vt:lpstr>作成方法</vt:lpstr>
      <vt:lpstr>【別添】添付書類の表紙</vt:lpstr>
      <vt:lpstr>【様式１】総括表・個票</vt:lpstr>
      <vt:lpstr>(別紙１)管理者設置</vt:lpstr>
      <vt:lpstr>(別紙2)土曜閉所</vt:lpstr>
      <vt:lpstr>(別紙3)休日</vt:lpstr>
      <vt:lpstr>(別紙6)定員超過</vt:lpstr>
      <vt:lpstr>【様式2】職員名簿</vt:lpstr>
      <vt:lpstr>【様式３】シフト表</vt:lpstr>
      <vt:lpstr>【様式4】クラス編成表</vt:lpstr>
      <vt:lpstr>【様式５】職員数算出表</vt:lpstr>
      <vt:lpstr>【様式６】加算確認表</vt:lpstr>
      <vt:lpstr>ver</vt:lpstr>
      <vt:lpstr>'(別紙１)管理者設置'!Print_Area</vt:lpstr>
      <vt:lpstr>'(別紙2)土曜閉所'!Print_Area</vt:lpstr>
      <vt:lpstr>'(別紙3)休日'!Print_Area</vt:lpstr>
      <vt:lpstr>'(別紙6)定員超過'!Print_Area</vt:lpstr>
      <vt:lpstr>【別添】添付書類の表紙!Print_Area</vt:lpstr>
      <vt:lpstr>【様式１】総括表・個票!Print_Area</vt:lpstr>
      <vt:lpstr>【様式2】職員名簿!Print_Area</vt:lpstr>
      <vt:lpstr>【様式３】シフト表!Print_Area</vt:lpstr>
      <vt:lpstr>【様式4】クラス編成表!Print_Area</vt:lpstr>
      <vt:lpstr>【様式５】職員数算出表!Print_Area</vt:lpstr>
      <vt:lpstr>【様式６】加算確認表!Print_Area</vt:lpstr>
      <vt:lpstr>作成方法!Print_Area</vt:lpstr>
      <vt:lpstr>'(別紙１)管理者設置'!Print_Titles</vt:lpstr>
      <vt:lpstr>'(別紙2)土曜閉所'!Print_Titles</vt:lpstr>
      <vt:lpstr>【様式１】総括表・個票!Print_Titles</vt:lpstr>
      <vt:lpstr>【様式2】職員名簿!Print_Titles</vt:lpstr>
      <vt:lpstr>【様式３】シフト表!Print_Titles</vt:lpstr>
      <vt:lpstr>【様式4】クラス編成表!Print_Titles</vt:lpstr>
      <vt:lpstr>【様式５】職員数算出表!Print_Titles</vt:lpstr>
      <vt:lpstr>栄養士</vt:lpstr>
      <vt:lpstr>業務委託</vt:lpstr>
      <vt:lpstr>厚別区01私立01保育所</vt:lpstr>
      <vt:lpstr>厚別区01私立02幼稚園</vt:lpstr>
      <vt:lpstr>厚別区01私立03認定こども園</vt:lpstr>
      <vt:lpstr>厚別区01保育所</vt:lpstr>
      <vt:lpstr>厚別区03公立01保育所</vt:lpstr>
      <vt:lpstr>厚別区03公立02幼稚園</vt:lpstr>
      <vt:lpstr>厚別区04小規模A・B・C</vt:lpstr>
      <vt:lpstr>札幌市あけぼの保育園</vt:lpstr>
      <vt:lpstr>札幌市外01私立01保育所</vt:lpstr>
      <vt:lpstr>札幌市外01私立02幼稚園</vt:lpstr>
      <vt:lpstr>札幌市外01私立03認定こども園</vt:lpstr>
      <vt:lpstr>札幌市外01私立04小規模A・B・C</vt:lpstr>
      <vt:lpstr>札幌市外01私立06事業所内</vt:lpstr>
      <vt:lpstr>札幌市外02公設民営01保育所</vt:lpstr>
      <vt:lpstr>札幌市外03公立01保育所</vt:lpstr>
      <vt:lpstr>札幌市外03公立03認定こども園</vt:lpstr>
      <vt:lpstr>施設長</vt:lpstr>
      <vt:lpstr>事務員</vt:lpstr>
      <vt:lpstr>手稲区01私立01保育所</vt:lpstr>
      <vt:lpstr>手稲区01私立02幼稚園</vt:lpstr>
      <vt:lpstr>手稲区01私立03認定こども園</vt:lpstr>
      <vt:lpstr>手稲区01私立04小規模A・B・C</vt:lpstr>
      <vt:lpstr>手稲区01私立05家庭的</vt:lpstr>
      <vt:lpstr>手稲区01保育所</vt:lpstr>
      <vt:lpstr>手稲区03公立01保育所</vt:lpstr>
      <vt:lpstr>手稲区03公立02幼稚園</vt:lpstr>
      <vt:lpstr>手稲区04小規模A・B・C</vt:lpstr>
      <vt:lpstr>【様式５】職員数算出表!常勤</vt:lpstr>
      <vt:lpstr>常勤</vt:lpstr>
      <vt:lpstr>常勤保育士</vt:lpstr>
      <vt:lpstr>清田区01私立01保育所</vt:lpstr>
      <vt:lpstr>清田区01私立02幼稚園</vt:lpstr>
      <vt:lpstr>清田区01私立03認定こども園</vt:lpstr>
      <vt:lpstr>清田区01私立04小規模A・B・C</vt:lpstr>
      <vt:lpstr>清田区01私立05家庭的</vt:lpstr>
      <vt:lpstr>清田区01保育所</vt:lpstr>
      <vt:lpstr>清田区03公立03認定こども園</vt:lpstr>
      <vt:lpstr>清田区04小規模A・B・C</vt:lpstr>
      <vt:lpstr>西区01私立01保育所</vt:lpstr>
      <vt:lpstr>西区01私立02幼稚園</vt:lpstr>
      <vt:lpstr>西区01私立03認定こども園</vt:lpstr>
      <vt:lpstr>西区01私立04小規模A・B・C</vt:lpstr>
      <vt:lpstr>西区01私立05家庭的</vt:lpstr>
      <vt:lpstr>西区01私立06事業所内</vt:lpstr>
      <vt:lpstr>西区01保育所</vt:lpstr>
      <vt:lpstr>西区02公設民営01保育所</vt:lpstr>
      <vt:lpstr>西区03公立01保育所</vt:lpstr>
      <vt:lpstr>西区03公立02幼稚園</vt:lpstr>
      <vt:lpstr>西区04小規模A・B・C</vt:lpstr>
      <vt:lpstr>西区06事業所内</vt:lpstr>
      <vt:lpstr>全員</vt:lpstr>
      <vt:lpstr>全職種</vt:lpstr>
      <vt:lpstr>中央区01私立01保育所</vt:lpstr>
      <vt:lpstr>中央区01私立02幼稚園</vt:lpstr>
      <vt:lpstr>中央区01私立03認定こども園</vt:lpstr>
      <vt:lpstr>中央区01私立04小規模A・B・C</vt:lpstr>
      <vt:lpstr>中央区01保育所</vt:lpstr>
      <vt:lpstr>中央区02公設民営01保育所</vt:lpstr>
      <vt:lpstr>中央区03公立01保育所</vt:lpstr>
      <vt:lpstr>中央区03公立02幼稚園</vt:lpstr>
      <vt:lpstr>中央区04小規模A・B・C</vt:lpstr>
      <vt:lpstr>調理員</vt:lpstr>
      <vt:lpstr>東区01私立01保育所</vt:lpstr>
      <vt:lpstr>東区01私立02幼稚園</vt:lpstr>
      <vt:lpstr>東区01私立03認定こども園</vt:lpstr>
      <vt:lpstr>東区01私立04小規模A・B・C</vt:lpstr>
      <vt:lpstr>東区01私立05家庭的</vt:lpstr>
      <vt:lpstr>東区01私立06事業所内</vt:lpstr>
      <vt:lpstr>東区01保育所</vt:lpstr>
      <vt:lpstr>東区03公立01保育所</vt:lpstr>
      <vt:lpstr>東区03公立02幼稚園</vt:lpstr>
      <vt:lpstr>東区04小規模A・B・C</vt:lpstr>
      <vt:lpstr>東区06事業所内</vt:lpstr>
      <vt:lpstr>南区01私立01保育所</vt:lpstr>
      <vt:lpstr>南区01私立02幼稚園</vt:lpstr>
      <vt:lpstr>南区01私立03認定こども園</vt:lpstr>
      <vt:lpstr>南区01私立04小規模A・B・C</vt:lpstr>
      <vt:lpstr>南区01私立05家庭的</vt:lpstr>
      <vt:lpstr>南区01私立06事業所内</vt:lpstr>
      <vt:lpstr>南区01保育所</vt:lpstr>
      <vt:lpstr>南区03公立01保育所</vt:lpstr>
      <vt:lpstr>南区03公立02幼稚園</vt:lpstr>
      <vt:lpstr>南区03公立04小規模A・B・C</vt:lpstr>
      <vt:lpstr>南区04小規模A・B・C</vt:lpstr>
      <vt:lpstr>南区06事業所内</vt:lpstr>
      <vt:lpstr>白石区01私立01保育所</vt:lpstr>
      <vt:lpstr>白石区01私立02幼稚園</vt:lpstr>
      <vt:lpstr>白石区01私立03認定こども園</vt:lpstr>
      <vt:lpstr>白石区01私立04小規模A・B・C</vt:lpstr>
      <vt:lpstr>白石区01私立05家庭的</vt:lpstr>
      <vt:lpstr>白石区01私立06事業所内</vt:lpstr>
      <vt:lpstr>白石区01保育所</vt:lpstr>
      <vt:lpstr>白石区03公立01保育所</vt:lpstr>
      <vt:lpstr>白石区03公立02幼稚園</vt:lpstr>
      <vt:lpstr>白石区04小規模A・B・C</vt:lpstr>
      <vt:lpstr>白石区06事業所内</vt:lpstr>
      <vt:lpstr>【様式2】職員名簿!非常勤</vt:lpstr>
      <vt:lpstr>保育士</vt:lpstr>
      <vt:lpstr>豊平区01私立01保育所</vt:lpstr>
      <vt:lpstr>豊平区01私立02幼稚園</vt:lpstr>
      <vt:lpstr>豊平区01私立03認定こども園</vt:lpstr>
      <vt:lpstr>豊平区01私立04小規模A・B・C</vt:lpstr>
      <vt:lpstr>豊平区01私立05家庭的</vt:lpstr>
      <vt:lpstr>豊平区01私立06事業所内</vt:lpstr>
      <vt:lpstr>豊平区01保育所</vt:lpstr>
      <vt:lpstr>豊平区03公立01保育所</vt:lpstr>
      <vt:lpstr>豊平区03公立02幼稚園</vt:lpstr>
      <vt:lpstr>豊平区04小規模A・B・C</vt:lpstr>
      <vt:lpstr>豊平区06事業所内</vt:lpstr>
      <vt:lpstr>北区01私立01保育所</vt:lpstr>
      <vt:lpstr>北区01私立02幼稚園</vt:lpstr>
      <vt:lpstr>北区01私立03認定こども園</vt:lpstr>
      <vt:lpstr>北区01私立04小規模A・B・C</vt:lpstr>
      <vt:lpstr>北区01私立05家庭的</vt:lpstr>
      <vt:lpstr>北区01保育所</vt:lpstr>
      <vt:lpstr>北区03公立01保育所</vt:lpstr>
      <vt:lpstr>北区03公立02幼稚園</vt:lpstr>
      <vt:lpstr>北区04小規模A・B・C</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札幌市子ども未来局</dc:creator>
  <cp:lastPrinted>2021-06-04T04:37:01Z</cp:lastPrinted>
  <dcterms:created xsi:type="dcterms:W3CDTF">2015-05-11T14:56:30Z</dcterms:created>
  <dcterms:modified xsi:type="dcterms:W3CDTF">2023-10-02T01:21:25Z</dcterms:modified>
</cp:coreProperties>
</file>