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intranet-fs1\子ども未来局\243給付係\05：研修・説明会等\R5.9.27〆_新設園・移行園向け説明会の資料作成について\01_新設園向け資料\"/>
    </mc:Choice>
  </mc:AlternateContent>
  <xr:revisionPtr revIDLastSave="0" documentId="13_ncr:1_{C1C98859-41F5-467D-B139-21616686B81D}" xr6:coauthVersionLast="47" xr6:coauthVersionMax="47" xr10:uidLastSave="{00000000-0000-0000-0000-000000000000}"/>
  <workbookProtection workbookAlgorithmName="SHA-512" workbookHashValue="ISG9I1Z8N6mZFa8IWgvTY/D6UPAukJOwYFVLVjUSpepuv+lB1zCBk7JIT3U3prIyvigBvMgvDeL8jLW/JKKAlA==" workbookSaltValue="g1Xrgr5B41ZtDDTiDr3ApQ==" workbookSpinCount="100000" lockStructure="1"/>
  <bookViews>
    <workbookView xWindow="-120" yWindow="-120" windowWidth="29040" windowHeight="15840" tabRatio="798" firstSheet="2" activeTab="2" xr2:uid="{00000000-000D-0000-FFFF-FFFF00000000}"/>
  </bookViews>
  <sheets>
    <sheet name="施設状況(要更新)" sheetId="34" state="hidden" r:id="rId1"/>
    <sheet name="休日情報(要更新) " sheetId="40" state="hidden" r:id="rId2"/>
    <sheet name="作成方法" sheetId="45" r:id="rId3"/>
    <sheet name="【別添】添付書類の表紙" sheetId="46" state="hidden" r:id="rId4"/>
    <sheet name="【様式１】総括表・個票" sheetId="23" r:id="rId5"/>
    <sheet name="(別紙2)土曜閉所 " sheetId="41" r:id="rId6"/>
    <sheet name="【様式2】職員名簿" sheetId="42" r:id="rId7"/>
    <sheet name="【様式３】シフト表 " sheetId="43" r:id="rId8"/>
    <sheet name="【様式５】職員数算出表" sheetId="44" r:id="rId9"/>
    <sheet name="【様式6】加算確認表" sheetId="27" r:id="rId10"/>
    <sheet name="ver" sheetId="35" r:id="rId11"/>
  </sheets>
  <externalReferences>
    <externalReference r:id="rId12"/>
  </externalReferences>
  <definedNames>
    <definedName name="a" localSheetId="3">#REF!</definedName>
    <definedName name="a">#REF!</definedName>
    <definedName name="b" localSheetId="3">#REF!</definedName>
    <definedName name="b">#REF!</definedName>
    <definedName name="d" localSheetId="3">#REF!</definedName>
    <definedName name="d">#REF!</definedName>
    <definedName name="_xlnm.Print_Area" localSheetId="5">'(別紙2)土曜閉所 '!$A$1:$H$30</definedName>
    <definedName name="_xlnm.Print_Area" localSheetId="3">【別添】添付書類の表紙!$A$1:$C$52</definedName>
    <definedName name="_xlnm.Print_Area" localSheetId="4">【様式１】総括表・個票!$A$1:$AG$200</definedName>
    <definedName name="_xlnm.Print_Area" localSheetId="6">【様式2】職員名簿!$A$1:$J$138</definedName>
    <definedName name="_xlnm.Print_Area" localSheetId="7">'【様式３】シフト表 '!$B$1:$AK$107</definedName>
    <definedName name="_xlnm.Print_Area" localSheetId="8">【様式５】職員数算出表!$A$1:$O$88</definedName>
    <definedName name="_xlnm.Print_Area" localSheetId="9">【様式6】加算確認表!$A$1:$U$28</definedName>
    <definedName name="_xlnm.Print_Area" localSheetId="2">作成方法!$A$1:$E$42</definedName>
    <definedName name="_xlnm.Print_Titles" localSheetId="5">'(別紙2)土曜閉所 '!$1:$1</definedName>
    <definedName name="_xlnm.Print_Titles" localSheetId="4">【様式１】総括表・個票!$1:$1</definedName>
    <definedName name="_xlnm.Print_Titles" localSheetId="6">【様式2】職員名簿!$1:$2</definedName>
    <definedName name="_xlnm.Print_Titles" localSheetId="7">'【様式３】シフト表 '!$1:$6</definedName>
    <definedName name="_xlnm.Print_Titles" localSheetId="8">【様式５】職員数算出表!$1:$3</definedName>
    <definedName name="_xlnm.Print_Titles" localSheetId="9">【様式6】加算確認表!$1:$7</definedName>
    <definedName name="Z_231BE199_DDAC_4D61_831C_4C9016DB75EA_.wvu.PrintArea" localSheetId="4" hidden="1">【様式１】総括表・個票!$A$1:$AG$175</definedName>
    <definedName name="栄養士" localSheetId="3">#REF!</definedName>
    <definedName name="栄養士">【様式５】職員数算出表!$BD$7:$BD$107</definedName>
    <definedName name="家庭的保育" localSheetId="3">#REF!</definedName>
    <definedName name="家庭的保育">#REF!</definedName>
    <definedName name="家庭的保育者">【様式５】職員数算出表!$AZ$7:$AZ$107</definedName>
    <definedName name="家庭的保育補助者">【様式５】職員数算出表!$BB$7:$BB$107</definedName>
    <definedName name="概算交付申出書" localSheetId="3">#REF!</definedName>
    <definedName name="概算交付申出書">#REF!</definedName>
    <definedName name="学校医" localSheetId="3">#REF!</definedName>
    <definedName name="学校医">[1]【様式５】職員数算出表!#REF!</definedName>
    <definedName name="教諭" localSheetId="3">#REF!</definedName>
    <definedName name="教諭">#REF!</definedName>
    <definedName name="業務委託" localSheetId="3">#REF!</definedName>
    <definedName name="業務委託">【様式５】職員数算出表!$BL$7:$BL$12</definedName>
    <definedName name="区分１" localSheetId="3">#REF!</definedName>
    <definedName name="区分１">#REF!</definedName>
    <definedName name="区分２" localSheetId="3">#REF!</definedName>
    <definedName name="区分２">#REF!</definedName>
    <definedName name="区分３" localSheetId="3">#REF!</definedName>
    <definedName name="区分３">#REF!</definedName>
    <definedName name="公設民営">#REF!</definedName>
    <definedName name="厚別区01私立01保育所">'施設状況(要更新)'!$AC$4:$AC$64</definedName>
    <definedName name="厚別区01私立02幼稚園">'施設状況(要更新)'!$AZ$4:$AZ$64</definedName>
    <definedName name="厚別区01私立03認定こども園">'施設状況(要更新)'!$BT$4:$BT$64</definedName>
    <definedName name="厚別区01保育所">'施設状況(要更新)'!$AC$4:$AC$64</definedName>
    <definedName name="厚別区03公立01保育所">'施設状況(要更新)'!$AO$4:$AO$64</definedName>
    <definedName name="厚別区03公立02幼稚園">'施設状況(要更新)'!$BK$4:$BK$64</definedName>
    <definedName name="札幌市あけぼの保育園">'施設状況(要更新)'!$Z$4:$CY$4</definedName>
    <definedName name="札幌市外01私立01保育所">'施設状況(要更新)'!$AI$4:$AI$64</definedName>
    <definedName name="札幌市外01私立02幼稚園">'施設状況(要更新)'!$BF$4:$BF$64</definedName>
    <definedName name="札幌市外01私立03認定こども園">'施設状況(要更新)'!$BZ$4:$BZ$64</definedName>
    <definedName name="札幌市外01私立04小規模A・B・C">'施設状況(要更新)'!$CL$4:$CL$64</definedName>
    <definedName name="札幌市外01私立06事業所内">'施設状況(要更新)'!$CZ$4:$CZ$64</definedName>
    <definedName name="札幌市外02公設民営01保育所">'施設状況(要更新)'!$AL$4:$AL$64</definedName>
    <definedName name="札幌市外03公立01保育所">'施設状況(要更新)'!$AU$4:$AU$64</definedName>
    <definedName name="札幌市外03公立03認定こども園">'施設状況(要更新)'!$CB$4:$CB$64</definedName>
    <definedName name="施設C" localSheetId="3">#REF!</definedName>
    <definedName name="施設C">#REF!</definedName>
    <definedName name="施設種別" localSheetId="3">#REF!</definedName>
    <definedName name="施設種別">#REF!</definedName>
    <definedName name="施設長" localSheetId="3">#REF!</definedName>
    <definedName name="施設長">【様式５】職員数算出表!$AZ$7:$AZ$107</definedName>
    <definedName name="事業所内保育" localSheetId="3">#REF!</definedName>
    <definedName name="事業所内保育">#REF!</definedName>
    <definedName name="事務員" localSheetId="3">#REF!</definedName>
    <definedName name="事務員">【様式５】職員数算出表!$BH$7:$BH$107</definedName>
    <definedName name="手稲区01私立01保育所">'施設状況(要更新)'!$AH$4:$AH$64</definedName>
    <definedName name="手稲区01私立02幼稚園">'施設状況(要更新)'!$BE$4:$BE$64</definedName>
    <definedName name="手稲区01私立03認定こども園">'施設状況(要更新)'!$BY$4:$BY$64</definedName>
    <definedName name="手稲区01私立04小規模A・B・C">'施設状況(要更新)'!$CK$4:$CK$64</definedName>
    <definedName name="手稲区01私立05家庭的">'施設状況(要更新)'!$CT$4:$CT$64</definedName>
    <definedName name="手稲区01保育所">'施設状況(要更新)'!$AH$4:$AH$64</definedName>
    <definedName name="手稲区03公立01保育所">'施設状況(要更新)'!$AR$4:$AR$64</definedName>
    <definedName name="手稲区03公立02幼稚園">'施設状況(要更新)'!$BO$4:$BO$64</definedName>
    <definedName name="手稲区05家庭的">'施設状況(要更新)'!$AE$4:$AE$64</definedName>
    <definedName name="修正後施設マスタ" localSheetId="3">#REF!</definedName>
    <definedName name="修正後施設マスタ" localSheetId="2">#REF!</definedName>
    <definedName name="修正後施設マスタ">#REF!</definedName>
    <definedName name="小規模保育" localSheetId="3">#REF!</definedName>
    <definedName name="小規模保育">#REF!</definedName>
    <definedName name="常勤">【様式2】職員名簿!$AB$25:$AB$29</definedName>
    <definedName name="常勤事務員" localSheetId="3">#REF!</definedName>
    <definedName name="常勤事務員">[1]【様式５】職員数算出表!#REF!</definedName>
    <definedName name="常勤調理員" localSheetId="3">#REF!</definedName>
    <definedName name="常勤調理員">[1]【様式５】職員数算出表!#REF!</definedName>
    <definedName name="常勤保育士" localSheetId="3">#REF!</definedName>
    <definedName name="清田区01私立01保育所">'施設状況(要更新)'!$AE$4:$AE$64</definedName>
    <definedName name="清田区01私立02幼稚園">'施設状況(要更新)'!$BB$4:$BB$64</definedName>
    <definedName name="清田区01私立03認定こども園">'施設状況(要更新)'!$BV$4:$BV$64</definedName>
    <definedName name="清田区01私立04小規模A・B・C">'施設状況(要更新)'!$CH$4:$CH$64</definedName>
    <definedName name="清田区01私立05家庭的">'施設状況(要更新)'!$CQ$4:$CQ$64</definedName>
    <definedName name="清田区01保育所">'施設状況(要更新)'!$AE$4:$AE$64</definedName>
    <definedName name="清田区03公立03認定こども園">'施設状況(要更新)'!$CA$4:$CA$64</definedName>
    <definedName name="清田区05家庭的">'施設状況(要更新)'!$AB$4:$AB$64</definedName>
    <definedName name="西区01私立01保育所">'施設状況(要更新)'!$AG$4:$AG$64</definedName>
    <definedName name="西区01私立02幼稚園">'施設状況(要更新)'!$BD$4:$BD$64</definedName>
    <definedName name="西区01私立03認定こども園">'施設状況(要更新)'!$BX$4:$BX$64</definedName>
    <definedName name="西区01私立04小規模A・B・C">'施設状況(要更新)'!$CJ$4:$CJ$64</definedName>
    <definedName name="西区01私立05家庭的">'施設状況(要更新)'!$CS$4:$CS$64</definedName>
    <definedName name="西区01私立06事業所内">'施設状況(要更新)'!$CY$4:$CY$64</definedName>
    <definedName name="西区01保育所">'施設状況(要更新)'!$AG$4:$AG$64</definedName>
    <definedName name="西区02公設民営01保育所">'施設状況(要更新)'!$AJ$4:$AJ$64</definedName>
    <definedName name="西区03公立01保育所">'施設状況(要更新)'!$AQ$4:$AQ$64</definedName>
    <definedName name="西区03公立02幼稚園">'施設状況(要更新)'!$BN$4:$BN$64</definedName>
    <definedName name="西区05家庭的">'施設状況(要更新)'!$AD$4:$AD$64</definedName>
    <definedName name="請求書" localSheetId="3">#REF!</definedName>
    <definedName name="請求書">#REF!</definedName>
    <definedName name="全員" localSheetId="3">#REF!</definedName>
    <definedName name="全員">【様式５】職員数算出表!$BJ$7:$BJ$107</definedName>
    <definedName name="全職種" localSheetId="3">#REF!</definedName>
    <definedName name="全職種">【様式５】職員数算出表!$BJ$7:$BJ$107</definedName>
    <definedName name="対象の有無" localSheetId="3">#REF!</definedName>
    <definedName name="対象の有無">#REF!</definedName>
    <definedName name="中央区01私立01保育所">'施設状況(要更新)'!$Y$4:$Y$64</definedName>
    <definedName name="中央区01私立02幼稚園">'施設状況(要更新)'!$AV$4:$AV$64</definedName>
    <definedName name="中央区01私立03認定こども園">'施設状況(要更新)'!$BP$4:$BP$64</definedName>
    <definedName name="中央区01私立04小規模A・B・C">'施設状況(要更新)'!$CC$4:$CC$64</definedName>
    <definedName name="中央区01保育所">'施設状況(要更新)'!$Y$4:$Y$64</definedName>
    <definedName name="中央区02公設民営01保育所">'施設状況(要更新)'!$AI$4:$AI$64</definedName>
    <definedName name="中央区03公立01保育所">'施設状況(要更新)'!$AK$4:$AK$64</definedName>
    <definedName name="中央区03公立02幼稚園">'施設状況(要更新)'!$BG$4:$BG$64</definedName>
    <definedName name="中央区05家庭的">'施設状況(要更新)'!$Y$4:$Y$64</definedName>
    <definedName name="調理員" localSheetId="3">#REF!</definedName>
    <definedName name="調理員">【様式５】職員数算出表!$BF$7:$BF$107</definedName>
    <definedName name="東区01私立01保育所">'施設状況(要更新)'!$AA$4:$AA$64</definedName>
    <definedName name="東区01私立02幼稚園">'施設状況(要更新)'!$AX$4:$AX$64</definedName>
    <definedName name="東区01私立03認定こども園">'施設状況(要更新)'!$BR$4:$BR$64</definedName>
    <definedName name="東区01私立04小規模A・B・C">'施設状況(要更新)'!$CE$4:$CE$64</definedName>
    <definedName name="東区01私立05家庭的">'施設状況(要更新)'!$CN$4:$CN$64</definedName>
    <definedName name="東区01私立06事業所内">'施設状況(要更新)'!$CU$4:$CU$64</definedName>
    <definedName name="東区01保育所">'施設状況(要更新)'!$AA$4:$AA$64</definedName>
    <definedName name="東区03公立01保育所">'施設状況(要更新)'!$AM$4:$AM$64</definedName>
    <definedName name="東区03公立02幼稚園">'施設状況(要更新)'!$BI$4:$BI$64</definedName>
    <definedName name="東区05家庭的">'施設状況(要更新)'!$AA$4:$AA$64</definedName>
    <definedName name="南区01私立01保育所">'施設状況(要更新)'!$AF$4:$AF$64</definedName>
    <definedName name="南区01私立02幼稚園">'施設状況(要更新)'!$BC$4:$BC$64</definedName>
    <definedName name="南区01私立03認定こども園">'施設状況(要更新)'!$BW$4:$BW$64</definedName>
    <definedName name="南区01私立04小規模A・B・C">'施設状況(要更新)'!$CI$4:$CI$64</definedName>
    <definedName name="南区01私立05家庭的">'施設状況(要更新)'!$CR$4:$CR$64</definedName>
    <definedName name="南区01私立06事業所内">'施設状況(要更新)'!$CX$4:$CX$64</definedName>
    <definedName name="南区01保育所">'施設状況(要更新)'!$AF$4:$AF$64</definedName>
    <definedName name="南区03公立01保育所">'施設状況(要更新)'!$AR$4:$AR$64</definedName>
    <definedName name="南区03公立02幼稚園">'施設状況(要更新)'!$BM$4:$BM$64</definedName>
    <definedName name="南区03公立04小規模A・B・C">'施設状況(要更新)'!$CR$4:$CR$51</definedName>
    <definedName name="南区05家庭的">'施設状況(要更新)'!$AC$4:$AC$64</definedName>
    <definedName name="認定こども園" localSheetId="3">#REF!</definedName>
    <definedName name="認定こども園">#REF!</definedName>
    <definedName name="認定区分" localSheetId="3">#REF!</definedName>
    <definedName name="認定区分">#REF!</definedName>
    <definedName name="白石区01私立01保育所">'施設状況(要更新)'!$AB$4:$AB$64</definedName>
    <definedName name="白石区01私立02幼稚園">'施設状況(要更新)'!$AY$4:$AY$64</definedName>
    <definedName name="白石区01私立03認定こども園">'施設状況(要更新)'!$BS$4:$BS$64</definedName>
    <definedName name="白石区01私立04小規模A・B・C">'施設状況(要更新)'!$CF$4:$CF$64</definedName>
    <definedName name="白石区01私立05家庭的">'施設状況(要更新)'!$CO$4:$CO$64</definedName>
    <definedName name="白石区01私立06事業所内">'施設状況(要更新)'!$CV$4:$CV$64</definedName>
    <definedName name="白石区01保育所">'施設状況(要更新)'!$AB$4:$AB$64</definedName>
    <definedName name="白石区03公立01保育所">'施設状況(要更新)'!$AN$4:$AN$64</definedName>
    <definedName name="白石区03公立02幼稚園">'施設状況(要更新)'!$BJ$4:$BJ$64</definedName>
    <definedName name="非常勤" localSheetId="3">#REF!</definedName>
    <definedName name="非常勤" localSheetId="6">【様式2】職員名簿!$AC$25:$AC$29</definedName>
    <definedName name="非常勤">#REF!</definedName>
    <definedName name="副園長" localSheetId="3">#REF!</definedName>
    <definedName name="副園長">[1]【様式５】職員数算出表!#REF!</definedName>
    <definedName name="保育園連絡先" localSheetId="3">#REF!</definedName>
    <definedName name="保育園連絡先">#REF!</definedName>
    <definedName name="保育士" localSheetId="3">#REF!</definedName>
    <definedName name="保育士">【様式５】職員数算出表!$BB$7:$BB$107</definedName>
    <definedName name="保育所" localSheetId="3">#REF!</definedName>
    <definedName name="保育所">#REF!</definedName>
    <definedName name="豊平区01私立01保育所">'施設状況(要更新)'!$AD$4:$AD$64</definedName>
    <definedName name="豊平区01私立02幼稚園">'施設状況(要更新)'!$BA$4:$BA$64</definedName>
    <definedName name="豊平区01私立03認定こども園">'施設状況(要更新)'!$BU$4:$BU$64</definedName>
    <definedName name="豊平区01私立04小規模A・B・C">'施設状況(要更新)'!$CG$4:$CG$64</definedName>
    <definedName name="豊平区01私立05家庭的">'施設状況(要更新)'!$CP$4:$CP$64</definedName>
    <definedName name="豊平区01私立06事業所内">'施設状況(要更新)'!$CW$4:$CW$64</definedName>
    <definedName name="豊平区01保育所">'施設状況(要更新)'!$AD$4:$AD$64</definedName>
    <definedName name="豊平区03公立01保育所">'施設状況(要更新)'!$AP$4:$AP$64</definedName>
    <definedName name="豊平区03公立02幼稚園">'施設状況(要更新)'!$BL$4:$BL$64</definedName>
    <definedName name="豊平区05家庭的">'施設状況(要更新)'!$AB$4:$AB$9</definedName>
    <definedName name="北区01私立01保育所">'施設状況(要更新)'!$Z$4:$Z$64</definedName>
    <definedName name="北区01私立02幼稚園">'施設状況(要更新)'!$AW$4:$AW$64</definedName>
    <definedName name="北区01私立03認定こども園">'施設状況(要更新)'!$BQ$4:$BQ$64</definedName>
    <definedName name="北区01私立04小規模A・B・C">'施設状況(要更新)'!$CD$4:$CD$64</definedName>
    <definedName name="北区01私立05家庭的">'施設状況(要更新)'!$CM$4:$CM$64</definedName>
    <definedName name="北区01保育所">'施設状況(要更新)'!$Z$4:$Z$64</definedName>
    <definedName name="北区03公立01保育所">'施設状況(要更新)'!$AL$4:$AL$64</definedName>
    <definedName name="北区03公立02幼稚園">'施設状況(要更新)'!$BH$4:$BH$64</definedName>
    <definedName name="北区05家庭的">'施設状況(要更新)'!$Z$4:$Z$64</definedName>
    <definedName name="名前１" localSheetId="3">#REF!</definedName>
    <definedName name="名前１">#REF!</definedName>
    <definedName name="名前２" localSheetId="3">#REF!</definedName>
    <definedName name="名前２">#REF!</definedName>
    <definedName name="幼稚園" localSheetId="3">#REF!</definedName>
    <definedName name="幼稚園">#REF!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3" l="1"/>
  <c r="AI117" i="23"/>
  <c r="AE117" i="23" s="1"/>
  <c r="E2" i="46"/>
  <c r="F2" i="46"/>
  <c r="D2" i="46"/>
  <c r="D46" i="46"/>
  <c r="D43" i="46"/>
  <c r="D45" i="46" s="1"/>
  <c r="I21" i="46"/>
  <c r="Q15" i="27"/>
  <c r="Q14" i="27"/>
  <c r="AJ32" i="23"/>
  <c r="AI179" i="23"/>
  <c r="J178" i="23" s="1"/>
  <c r="B3" i="46" l="1"/>
  <c r="D44" i="46"/>
  <c r="B8" i="46"/>
  <c r="B9" i="46"/>
  <c r="W4" i="23"/>
  <c r="AL28" i="23"/>
  <c r="AL29" i="23" s="1"/>
  <c r="AL25" i="23"/>
  <c r="AL26" i="23" s="1"/>
  <c r="AL22" i="23"/>
  <c r="AL23" i="23" s="1"/>
  <c r="AL19" i="23"/>
  <c r="AL20" i="23" s="1"/>
  <c r="F3" i="43"/>
  <c r="C23" i="45" l="1"/>
  <c r="C12" i="45"/>
  <c r="AI185" i="23" l="1"/>
  <c r="AI183" i="23"/>
  <c r="J182" i="23"/>
  <c r="AI188" i="23" l="1"/>
  <c r="T19" i="44" l="1"/>
  <c r="T20" i="44"/>
  <c r="T21" i="44"/>
  <c r="T22" i="44"/>
  <c r="T23" i="44"/>
  <c r="T24" i="44"/>
  <c r="T25" i="44"/>
  <c r="T26" i="44"/>
  <c r="T27" i="44"/>
  <c r="T18" i="44"/>
  <c r="AT107" i="44" l="1"/>
  <c r="AV107" i="44"/>
  <c r="AX107" i="44" s="1"/>
  <c r="AA126" i="23" l="1"/>
  <c r="AV9" i="44" l="1"/>
  <c r="AX9" i="44" s="1"/>
  <c r="AV10" i="44"/>
  <c r="AX10" i="44"/>
  <c r="AV11" i="44"/>
  <c r="AX11" i="44" s="1"/>
  <c r="AV12" i="44"/>
  <c r="AX12" i="44"/>
  <c r="AV13" i="44"/>
  <c r="AX13" i="44" s="1"/>
  <c r="AV14" i="44"/>
  <c r="AX14" i="44"/>
  <c r="AV15" i="44"/>
  <c r="AX15" i="44" s="1"/>
  <c r="AV16" i="44"/>
  <c r="AX16" i="44"/>
  <c r="AV17" i="44"/>
  <c r="AX17" i="44" s="1"/>
  <c r="AV18" i="44"/>
  <c r="AX18" i="44"/>
  <c r="AV19" i="44"/>
  <c r="AX19" i="44" s="1"/>
  <c r="AV20" i="44"/>
  <c r="AX20" i="44"/>
  <c r="AV21" i="44"/>
  <c r="AX21" i="44" s="1"/>
  <c r="AV22" i="44"/>
  <c r="AX22" i="44" s="1"/>
  <c r="AV23" i="44"/>
  <c r="AX23" i="44" s="1"/>
  <c r="AV24" i="44"/>
  <c r="AX24" i="44" s="1"/>
  <c r="AV25" i="44"/>
  <c r="AX25" i="44" s="1"/>
  <c r="AV26" i="44"/>
  <c r="AX26" i="44" s="1"/>
  <c r="AV27" i="44"/>
  <c r="AX27" i="44"/>
  <c r="AV28" i="44"/>
  <c r="AX28" i="44" s="1"/>
  <c r="AV29" i="44"/>
  <c r="AX29" i="44" s="1"/>
  <c r="AV30" i="44"/>
  <c r="AX30" i="44" s="1"/>
  <c r="AV31" i="44"/>
  <c r="AX31" i="44" s="1"/>
  <c r="AV32" i="44"/>
  <c r="AX32" i="44"/>
  <c r="AV33" i="44"/>
  <c r="AX33" i="44" s="1"/>
  <c r="AV34" i="44"/>
  <c r="AX34" i="44" s="1"/>
  <c r="AV35" i="44"/>
  <c r="AX35" i="44"/>
  <c r="AV36" i="44"/>
  <c r="AX36" i="44"/>
  <c r="AV37" i="44"/>
  <c r="AX37" i="44"/>
  <c r="AV38" i="44"/>
  <c r="AX38" i="44" s="1"/>
  <c r="AV39" i="44"/>
  <c r="AX39" i="44" s="1"/>
  <c r="AV40" i="44"/>
  <c r="AX40" i="44" s="1"/>
  <c r="AV41" i="44"/>
  <c r="AX41" i="44" s="1"/>
  <c r="AV42" i="44"/>
  <c r="AX42" i="44" s="1"/>
  <c r="AV43" i="44"/>
  <c r="AX43" i="44"/>
  <c r="AV44" i="44"/>
  <c r="AX44" i="44"/>
  <c r="AV45" i="44"/>
  <c r="AX45" i="44"/>
  <c r="AV46" i="44"/>
  <c r="AX46" i="44" s="1"/>
  <c r="AV47" i="44"/>
  <c r="AX47" i="44" s="1"/>
  <c r="AV48" i="44"/>
  <c r="AX48" i="44" s="1"/>
  <c r="AV49" i="44"/>
  <c r="AX49" i="44" s="1"/>
  <c r="AV50" i="44"/>
  <c r="AX50" i="44" s="1"/>
  <c r="AV51" i="44"/>
  <c r="AX51" i="44" s="1"/>
  <c r="AV52" i="44"/>
  <c r="AX52" i="44" s="1"/>
  <c r="AV53" i="44"/>
  <c r="AX53" i="44" s="1"/>
  <c r="AV54" i="44"/>
  <c r="AX54" i="44" s="1"/>
  <c r="AV55" i="44"/>
  <c r="AX55" i="44" s="1"/>
  <c r="AV56" i="44"/>
  <c r="AX56" i="44" s="1"/>
  <c r="AV57" i="44"/>
  <c r="AX57" i="44" s="1"/>
  <c r="AV58" i="44"/>
  <c r="AX58" i="44" s="1"/>
  <c r="AV59" i="44"/>
  <c r="AX59" i="44" s="1"/>
  <c r="AV60" i="44"/>
  <c r="AX60" i="44" s="1"/>
  <c r="AV61" i="44"/>
  <c r="AX61" i="44" s="1"/>
  <c r="AV62" i="44"/>
  <c r="AX62" i="44" s="1"/>
  <c r="AV63" i="44"/>
  <c r="AX63" i="44" s="1"/>
  <c r="AV64" i="44"/>
  <c r="AX64" i="44" s="1"/>
  <c r="AV65" i="44"/>
  <c r="AX65" i="44" s="1"/>
  <c r="AV66" i="44"/>
  <c r="AX66" i="44" s="1"/>
  <c r="AV67" i="44"/>
  <c r="AX67" i="44" s="1"/>
  <c r="AV68" i="44"/>
  <c r="AX68" i="44" s="1"/>
  <c r="AV69" i="44"/>
  <c r="AX69" i="44" s="1"/>
  <c r="AV70" i="44"/>
  <c r="AX70" i="44" s="1"/>
  <c r="AV71" i="44"/>
  <c r="AX71" i="44" s="1"/>
  <c r="AV72" i="44"/>
  <c r="AX72" i="44" s="1"/>
  <c r="AV73" i="44"/>
  <c r="AX73" i="44" s="1"/>
  <c r="AV74" i="44"/>
  <c r="AX74" i="44" s="1"/>
  <c r="AV75" i="44"/>
  <c r="AX75" i="44" s="1"/>
  <c r="AV76" i="44"/>
  <c r="AX76" i="44" s="1"/>
  <c r="AV77" i="44"/>
  <c r="AX77" i="44" s="1"/>
  <c r="AV78" i="44"/>
  <c r="AX78" i="44" s="1"/>
  <c r="AV79" i="44"/>
  <c r="AX79" i="44" s="1"/>
  <c r="AV80" i="44"/>
  <c r="AX80" i="44" s="1"/>
  <c r="AV81" i="44"/>
  <c r="AX81" i="44" s="1"/>
  <c r="AV82" i="44"/>
  <c r="AX82" i="44" s="1"/>
  <c r="AV83" i="44"/>
  <c r="AX83" i="44" s="1"/>
  <c r="AV84" i="44"/>
  <c r="AX84" i="44" s="1"/>
  <c r="AV85" i="44"/>
  <c r="AX85" i="44" s="1"/>
  <c r="AV86" i="44"/>
  <c r="AX86" i="44" s="1"/>
  <c r="AV87" i="44"/>
  <c r="AX87" i="44" s="1"/>
  <c r="AV88" i="44"/>
  <c r="AX88" i="44" s="1"/>
  <c r="AV89" i="44"/>
  <c r="AX89" i="44" s="1"/>
  <c r="AV90" i="44"/>
  <c r="AX90" i="44" s="1"/>
  <c r="AV91" i="44"/>
  <c r="AX91" i="44" s="1"/>
  <c r="AV92" i="44"/>
  <c r="AX92" i="44" s="1"/>
  <c r="AV93" i="44"/>
  <c r="AX93" i="44" s="1"/>
  <c r="AV94" i="44"/>
  <c r="AX94" i="44" s="1"/>
  <c r="AV95" i="44"/>
  <c r="AX95" i="44" s="1"/>
  <c r="AV96" i="44"/>
  <c r="AX96" i="44" s="1"/>
  <c r="AV97" i="44"/>
  <c r="AX97" i="44" s="1"/>
  <c r="AV98" i="44"/>
  <c r="AX98" i="44" s="1"/>
  <c r="AV99" i="44"/>
  <c r="AX99" i="44" s="1"/>
  <c r="AV100" i="44"/>
  <c r="AX100" i="44" s="1"/>
  <c r="AV101" i="44"/>
  <c r="AX101" i="44" s="1"/>
  <c r="AV102" i="44"/>
  <c r="AX102" i="44" s="1"/>
  <c r="AV103" i="44"/>
  <c r="AX103" i="44" s="1"/>
  <c r="AV104" i="44"/>
  <c r="AX104" i="44" s="1"/>
  <c r="AV105" i="44"/>
  <c r="AX105" i="44" s="1"/>
  <c r="AV106" i="44"/>
  <c r="AX106" i="44" s="1"/>
  <c r="K3" i="44" l="1"/>
  <c r="D10" i="23"/>
  <c r="W42" i="44" l="1"/>
  <c r="T52" i="44"/>
  <c r="D52" i="44" s="1"/>
  <c r="T51" i="44"/>
  <c r="D51" i="44" s="1"/>
  <c r="T50" i="44"/>
  <c r="D50" i="44" s="1"/>
  <c r="AI2" i="23" l="1"/>
  <c r="O11" i="34"/>
  <c r="R11" i="34" s="1"/>
  <c r="O10" i="34"/>
  <c r="R10" i="34" s="1"/>
  <c r="O9" i="34"/>
  <c r="R9" i="34" s="1"/>
  <c r="O8" i="34"/>
  <c r="R8" i="34" s="1"/>
  <c r="O7" i="34"/>
  <c r="R7" i="34" s="1"/>
  <c r="O6" i="34"/>
  <c r="R6" i="34" s="1"/>
  <c r="O5" i="34"/>
  <c r="R5" i="34" s="1"/>
  <c r="O4" i="34"/>
  <c r="R4" i="34"/>
  <c r="Q31" i="44"/>
  <c r="W31" i="44" s="1"/>
  <c r="T31" i="44"/>
  <c r="T30" i="44"/>
  <c r="T28" i="44"/>
  <c r="AC30" i="44"/>
  <c r="Q28" i="44"/>
  <c r="W28" i="44" s="1"/>
  <c r="N31" i="44"/>
  <c r="AA160" i="23"/>
  <c r="AI160" i="23" s="1"/>
  <c r="AE113" i="23"/>
  <c r="AE114" i="23"/>
  <c r="AE115" i="23"/>
  <c r="AE116" i="23"/>
  <c r="AI113" i="23"/>
  <c r="AJ113" i="23"/>
  <c r="AK113" i="23"/>
  <c r="AI114" i="23"/>
  <c r="AJ114" i="23"/>
  <c r="AK114" i="23"/>
  <c r="AI115" i="23"/>
  <c r="AJ115" i="23"/>
  <c r="AK115" i="23"/>
  <c r="AI116" i="23"/>
  <c r="AJ116" i="23"/>
  <c r="AK116" i="23"/>
  <c r="AK112" i="23"/>
  <c r="AJ112" i="23"/>
  <c r="AI112" i="23"/>
  <c r="AA146" i="23"/>
  <c r="AI146" i="23" s="1"/>
  <c r="AI159" i="23"/>
  <c r="AI152" i="23"/>
  <c r="AI151" i="23"/>
  <c r="AI150" i="23"/>
  <c r="AI140" i="23"/>
  <c r="AI139" i="23"/>
  <c r="AI138" i="23"/>
  <c r="AI136" i="23"/>
  <c r="AI129" i="23"/>
  <c r="AI128" i="23"/>
  <c r="AI127" i="23"/>
  <c r="AI125" i="23"/>
  <c r="AI124" i="23"/>
  <c r="AI123" i="23"/>
  <c r="AI121" i="23"/>
  <c r="AI102" i="23"/>
  <c r="AI101" i="23"/>
  <c r="AI100" i="23"/>
  <c r="AI99" i="23"/>
  <c r="AI98" i="23"/>
  <c r="AI96" i="23"/>
  <c r="AI95" i="23"/>
  <c r="AI94" i="23"/>
  <c r="AI92" i="23"/>
  <c r="AI91" i="23"/>
  <c r="AI90" i="23"/>
  <c r="AI89" i="23"/>
  <c r="AI88" i="23"/>
  <c r="AI87" i="23"/>
  <c r="AI83" i="23"/>
  <c r="AI67" i="23"/>
  <c r="AI63" i="23"/>
  <c r="J62" i="23" s="1"/>
  <c r="AJ19" i="23" s="1"/>
  <c r="AI18" i="23"/>
  <c r="AI32" i="23" s="1"/>
  <c r="B32" i="23" s="1"/>
  <c r="AI14" i="23"/>
  <c r="M4" i="41"/>
  <c r="AI175" i="23"/>
  <c r="J174" i="23" s="1"/>
  <c r="AJ31" i="23" s="1"/>
  <c r="AI189" i="23"/>
  <c r="AI191" i="23"/>
  <c r="AI58" i="23"/>
  <c r="R35" i="44" s="1"/>
  <c r="S35" i="44" s="1"/>
  <c r="AI56" i="23"/>
  <c r="AI55" i="23"/>
  <c r="AI53" i="23"/>
  <c r="AI52" i="23"/>
  <c r="AI51" i="23"/>
  <c r="AI107" i="23"/>
  <c r="AI75" i="23"/>
  <c r="Q36" i="44" s="1"/>
  <c r="H83" i="44" s="1"/>
  <c r="T29" i="44"/>
  <c r="F64" i="44"/>
  <c r="W64" i="44" s="1"/>
  <c r="F63" i="44"/>
  <c r="W63" i="44" s="1"/>
  <c r="BK8" i="44"/>
  <c r="AF64" i="44" s="1"/>
  <c r="D64" i="44" s="1"/>
  <c r="BM8" i="44"/>
  <c r="U64" i="44" s="1"/>
  <c r="AD64" i="44" s="1"/>
  <c r="BK9" i="44"/>
  <c r="BM9" i="44"/>
  <c r="BK10" i="44"/>
  <c r="BM10" i="44"/>
  <c r="U30" i="44" s="1"/>
  <c r="AD30" i="44" s="1"/>
  <c r="BK11" i="44"/>
  <c r="BM11" i="44"/>
  <c r="U34" i="44" s="1"/>
  <c r="AD34" i="44" s="1"/>
  <c r="BK12" i="44"/>
  <c r="BM12" i="44"/>
  <c r="AC63" i="44"/>
  <c r="Q18" i="44"/>
  <c r="W18" i="44" s="1"/>
  <c r="W25" i="44"/>
  <c r="W27" i="44"/>
  <c r="T37" i="44"/>
  <c r="T36" i="44"/>
  <c r="K12" i="44"/>
  <c r="J12" i="44"/>
  <c r="I12" i="44"/>
  <c r="H12" i="44"/>
  <c r="G12" i="44"/>
  <c r="F12" i="44"/>
  <c r="E12" i="44"/>
  <c r="L11" i="44"/>
  <c r="L10" i="44"/>
  <c r="L9" i="44"/>
  <c r="L8" i="44"/>
  <c r="A2" i="42"/>
  <c r="G2" i="42"/>
  <c r="M9" i="44"/>
  <c r="E29" i="42"/>
  <c r="R29" i="42" s="1"/>
  <c r="F29" i="42"/>
  <c r="A29" i="42"/>
  <c r="AO2" i="43"/>
  <c r="J1" i="43" s="1"/>
  <c r="AC64" i="44"/>
  <c r="W62" i="44"/>
  <c r="T62" i="44"/>
  <c r="D62" i="44" s="1"/>
  <c r="J62" i="44"/>
  <c r="W61" i="44"/>
  <c r="T61" i="44"/>
  <c r="D61" i="44" s="1"/>
  <c r="J61" i="44"/>
  <c r="W60" i="44"/>
  <c r="T60" i="44"/>
  <c r="D60" i="44" s="1"/>
  <c r="J60" i="44"/>
  <c r="W59" i="44"/>
  <c r="T59" i="44"/>
  <c r="D59" i="44" s="1"/>
  <c r="J59" i="44"/>
  <c r="W58" i="44"/>
  <c r="T58" i="44"/>
  <c r="D58" i="44" s="1"/>
  <c r="J58" i="44"/>
  <c r="W57" i="44"/>
  <c r="T57" i="44"/>
  <c r="D57" i="44" s="1"/>
  <c r="J57" i="44"/>
  <c r="W56" i="44"/>
  <c r="T56" i="44"/>
  <c r="D56" i="44" s="1"/>
  <c r="J56" i="44"/>
  <c r="W55" i="44"/>
  <c r="T55" i="44"/>
  <c r="D55" i="44" s="1"/>
  <c r="J55" i="44"/>
  <c r="W54" i="44"/>
  <c r="T54" i="44"/>
  <c r="D54" i="44" s="1"/>
  <c r="J54" i="44"/>
  <c r="AT106" i="44"/>
  <c r="W53" i="44"/>
  <c r="T53" i="44"/>
  <c r="D53" i="44" s="1"/>
  <c r="J53" i="44"/>
  <c r="AT105" i="44"/>
  <c r="W52" i="44"/>
  <c r="J52" i="44"/>
  <c r="AT104" i="44"/>
  <c r="W51" i="44"/>
  <c r="J51" i="44"/>
  <c r="AT103" i="44"/>
  <c r="W50" i="44"/>
  <c r="J50" i="44"/>
  <c r="AT102" i="44"/>
  <c r="W49" i="44"/>
  <c r="T49" i="44"/>
  <c r="D49" i="44" s="1"/>
  <c r="J49" i="44"/>
  <c r="AT101" i="44"/>
  <c r="W48" i="44"/>
  <c r="T48" i="44"/>
  <c r="D48" i="44" s="1"/>
  <c r="J48" i="44"/>
  <c r="AT100" i="44"/>
  <c r="W47" i="44"/>
  <c r="T47" i="44"/>
  <c r="D47" i="44" s="1"/>
  <c r="J47" i="44"/>
  <c r="AT99" i="44"/>
  <c r="AT98" i="44"/>
  <c r="AT97" i="44"/>
  <c r="AT96" i="44"/>
  <c r="AT95" i="44"/>
  <c r="AT94" i="44"/>
  <c r="AT93" i="44"/>
  <c r="AT92" i="44"/>
  <c r="AT91" i="44"/>
  <c r="AT90" i="44"/>
  <c r="AT89" i="44"/>
  <c r="W46" i="44"/>
  <c r="T46" i="44"/>
  <c r="D46" i="44" s="1"/>
  <c r="J46" i="44"/>
  <c r="AT88" i="44"/>
  <c r="W45" i="44"/>
  <c r="T45" i="44"/>
  <c r="D45" i="44" s="1"/>
  <c r="J45" i="44"/>
  <c r="AT87" i="44"/>
  <c r="W44" i="44"/>
  <c r="T44" i="44"/>
  <c r="D44" i="44" s="1"/>
  <c r="J44" i="44"/>
  <c r="AT86" i="44"/>
  <c r="W43" i="44"/>
  <c r="T43" i="44"/>
  <c r="D43" i="44" s="1"/>
  <c r="AT85" i="44"/>
  <c r="T42" i="44"/>
  <c r="D42" i="44" s="1"/>
  <c r="J42" i="44"/>
  <c r="AT84" i="44"/>
  <c r="AT83" i="44"/>
  <c r="AT82" i="44"/>
  <c r="AT81" i="44"/>
  <c r="AT80" i="44"/>
  <c r="AT79" i="44"/>
  <c r="AT78" i="44"/>
  <c r="AT77" i="44"/>
  <c r="AT76" i="44"/>
  <c r="AT75" i="44"/>
  <c r="AT74" i="44"/>
  <c r="AT73" i="44"/>
  <c r="AT72" i="44"/>
  <c r="AT71" i="44"/>
  <c r="AT70" i="44"/>
  <c r="AT69" i="44"/>
  <c r="AT68" i="44"/>
  <c r="AT67" i="44"/>
  <c r="AT66" i="44"/>
  <c r="AT65" i="44"/>
  <c r="AT64" i="44"/>
  <c r="AT63" i="44"/>
  <c r="AT62" i="44"/>
  <c r="AT61" i="44"/>
  <c r="AT60" i="44"/>
  <c r="AT59" i="44"/>
  <c r="T38" i="44"/>
  <c r="J38" i="44"/>
  <c r="AT58" i="44"/>
  <c r="AT57" i="44"/>
  <c r="AT56" i="44"/>
  <c r="AT55" i="44"/>
  <c r="AT54" i="44"/>
  <c r="AT53" i="44"/>
  <c r="AT52" i="44"/>
  <c r="AT51" i="44"/>
  <c r="J27" i="44"/>
  <c r="AT50" i="44"/>
  <c r="J26" i="44"/>
  <c r="AT49" i="44"/>
  <c r="J25" i="44"/>
  <c r="AT48" i="44"/>
  <c r="J24" i="44"/>
  <c r="AT47" i="44"/>
  <c r="J23" i="44"/>
  <c r="AT46" i="44"/>
  <c r="J22" i="44"/>
  <c r="AT45" i="44"/>
  <c r="AT44" i="44"/>
  <c r="J20" i="44"/>
  <c r="AT43" i="44"/>
  <c r="J19" i="44"/>
  <c r="AT42" i="44"/>
  <c r="AT41" i="44"/>
  <c r="AT40" i="44"/>
  <c r="AT39" i="44"/>
  <c r="AT38" i="44"/>
  <c r="AT37" i="44"/>
  <c r="AT36" i="44"/>
  <c r="AT35" i="44"/>
  <c r="AT34" i="44"/>
  <c r="Q35" i="44"/>
  <c r="F35" i="44" s="1"/>
  <c r="AT33" i="44"/>
  <c r="AC34" i="44"/>
  <c r="T34" i="44"/>
  <c r="AT32" i="44"/>
  <c r="AC33" i="44"/>
  <c r="T33" i="44"/>
  <c r="AT31" i="44"/>
  <c r="T32" i="44"/>
  <c r="AT30" i="44"/>
  <c r="AT29" i="44"/>
  <c r="AT28" i="44"/>
  <c r="AT27" i="44"/>
  <c r="AT26" i="44"/>
  <c r="AT25" i="44"/>
  <c r="AT24" i="44"/>
  <c r="AT23" i="44"/>
  <c r="AT22" i="44"/>
  <c r="AT21" i="44"/>
  <c r="AT20" i="44"/>
  <c r="AT19" i="44"/>
  <c r="AT18" i="44"/>
  <c r="AT17" i="44"/>
  <c r="AT16" i="44"/>
  <c r="AT15" i="44"/>
  <c r="AR15" i="44"/>
  <c r="AT14" i="44"/>
  <c r="AR14" i="44"/>
  <c r="AT13" i="44"/>
  <c r="AR13" i="44"/>
  <c r="AT12" i="44"/>
  <c r="AR12" i="44"/>
  <c r="AT11" i="44"/>
  <c r="AR11" i="44"/>
  <c r="AT10" i="44"/>
  <c r="AR10" i="44"/>
  <c r="AT9" i="44"/>
  <c r="AR9" i="44"/>
  <c r="AV8" i="44"/>
  <c r="AX8" i="44" s="1"/>
  <c r="AT8" i="44"/>
  <c r="AR8" i="44"/>
  <c r="BM7" i="44"/>
  <c r="U63" i="44" s="1"/>
  <c r="BK7" i="44"/>
  <c r="AF63" i="44"/>
  <c r="D63" i="44" s="1"/>
  <c r="AS7" i="44"/>
  <c r="A76" i="44" s="1"/>
  <c r="AR7" i="44"/>
  <c r="AS6" i="44"/>
  <c r="AR6" i="44"/>
  <c r="AS5" i="44"/>
  <c r="A74" i="44"/>
  <c r="AR5" i="44"/>
  <c r="AS4" i="44"/>
  <c r="A73" i="44" s="1"/>
  <c r="AR4" i="44"/>
  <c r="AS3" i="44"/>
  <c r="AR3" i="44"/>
  <c r="AS2" i="44"/>
  <c r="AY3" i="44" s="1"/>
  <c r="AM2" i="44"/>
  <c r="AG107" i="43"/>
  <c r="AF107" i="43"/>
  <c r="AE107" i="43"/>
  <c r="AD107" i="43"/>
  <c r="AC107" i="43"/>
  <c r="AB107" i="43"/>
  <c r="AA107" i="43"/>
  <c r="Z107" i="43"/>
  <c r="Y107" i="43"/>
  <c r="X107" i="43"/>
  <c r="W107" i="43"/>
  <c r="V107" i="43"/>
  <c r="U107" i="43"/>
  <c r="T107" i="43"/>
  <c r="S107" i="43"/>
  <c r="R107" i="43"/>
  <c r="Q107" i="43"/>
  <c r="P107" i="43"/>
  <c r="O107" i="43"/>
  <c r="N107" i="43"/>
  <c r="M107" i="43"/>
  <c r="L107" i="43"/>
  <c r="K107" i="43"/>
  <c r="J107" i="43"/>
  <c r="I107" i="43"/>
  <c r="H107" i="43"/>
  <c r="G107" i="43"/>
  <c r="F107" i="43"/>
  <c r="B106" i="43"/>
  <c r="B105" i="43"/>
  <c r="B104" i="43"/>
  <c r="B103" i="43"/>
  <c r="B102" i="43"/>
  <c r="B101" i="43"/>
  <c r="B100" i="43"/>
  <c r="B99" i="43"/>
  <c r="B98" i="43"/>
  <c r="B97" i="43"/>
  <c r="B96" i="43"/>
  <c r="B95" i="43"/>
  <c r="B94" i="43"/>
  <c r="B93" i="43"/>
  <c r="B92" i="43"/>
  <c r="B91" i="43"/>
  <c r="B90" i="43"/>
  <c r="B89" i="43"/>
  <c r="B88" i="43"/>
  <c r="B87" i="43"/>
  <c r="B86" i="43"/>
  <c r="B85" i="43"/>
  <c r="B84" i="43"/>
  <c r="B83" i="43"/>
  <c r="B82" i="43"/>
  <c r="B81" i="43"/>
  <c r="B80" i="43"/>
  <c r="B79" i="43"/>
  <c r="B78" i="43"/>
  <c r="B77" i="43"/>
  <c r="B76" i="43"/>
  <c r="B75" i="43"/>
  <c r="B74" i="43"/>
  <c r="B73" i="43"/>
  <c r="B72" i="43"/>
  <c r="B71" i="43"/>
  <c r="B70" i="43"/>
  <c r="B69" i="43"/>
  <c r="B68" i="43"/>
  <c r="B67" i="43"/>
  <c r="B66" i="43"/>
  <c r="B65" i="43"/>
  <c r="B64" i="43"/>
  <c r="B63" i="43"/>
  <c r="B62" i="43"/>
  <c r="B61" i="43"/>
  <c r="B60" i="43"/>
  <c r="B59" i="43"/>
  <c r="B58" i="43"/>
  <c r="B57" i="43"/>
  <c r="B56" i="43"/>
  <c r="B55" i="43"/>
  <c r="B54" i="43"/>
  <c r="B53" i="43"/>
  <c r="B52" i="43"/>
  <c r="B51" i="43"/>
  <c r="B50" i="43"/>
  <c r="B49" i="43"/>
  <c r="B48" i="43"/>
  <c r="B47" i="43"/>
  <c r="B46" i="43"/>
  <c r="B45" i="43"/>
  <c r="B44" i="43"/>
  <c r="B43" i="43"/>
  <c r="B42" i="43"/>
  <c r="B41" i="43"/>
  <c r="B40" i="43"/>
  <c r="B39" i="43"/>
  <c r="B38" i="43"/>
  <c r="B37" i="43"/>
  <c r="B36" i="43"/>
  <c r="B35" i="43"/>
  <c r="B34" i="43"/>
  <c r="B33" i="43"/>
  <c r="B32" i="43"/>
  <c r="B31" i="43"/>
  <c r="B30" i="43"/>
  <c r="B29" i="43"/>
  <c r="B28" i="43"/>
  <c r="B27" i="43"/>
  <c r="B26" i="43"/>
  <c r="B25" i="43"/>
  <c r="B24" i="43"/>
  <c r="B23" i="43"/>
  <c r="B22" i="43"/>
  <c r="B21" i="43"/>
  <c r="B20" i="43"/>
  <c r="B19" i="43"/>
  <c r="B18" i="43"/>
  <c r="B17" i="43"/>
  <c r="B16" i="43"/>
  <c r="B15" i="43"/>
  <c r="B14" i="43"/>
  <c r="B13" i="43"/>
  <c r="B12" i="43"/>
  <c r="B11" i="43"/>
  <c r="B10" i="43"/>
  <c r="B9" i="43"/>
  <c r="B8" i="43"/>
  <c r="B7" i="43"/>
  <c r="AH2" i="43"/>
  <c r="P144" i="42"/>
  <c r="P143" i="42"/>
  <c r="P142" i="42"/>
  <c r="P141" i="42"/>
  <c r="P140" i="42"/>
  <c r="P139" i="42"/>
  <c r="A39" i="42"/>
  <c r="A40" i="42" s="1"/>
  <c r="A41" i="42"/>
  <c r="A42" i="42" s="1"/>
  <c r="A43" i="42" s="1"/>
  <c r="A44" i="42" s="1"/>
  <c r="A45" i="42" s="1"/>
  <c r="A46" i="42" s="1"/>
  <c r="A47" i="42" s="1"/>
  <c r="A48" i="42" s="1"/>
  <c r="A49" i="42" s="1"/>
  <c r="A50" i="42" s="1"/>
  <c r="A51" i="42" s="1"/>
  <c r="A52" i="42" s="1"/>
  <c r="A53" i="42" s="1"/>
  <c r="A54" i="42" s="1"/>
  <c r="A55" i="42" s="1"/>
  <c r="A56" i="42" s="1"/>
  <c r="A57" i="42" s="1"/>
  <c r="A58" i="42" s="1"/>
  <c r="A59" i="42" s="1"/>
  <c r="A60" i="42" s="1"/>
  <c r="A61" i="42" s="1"/>
  <c r="A62" i="42" s="1"/>
  <c r="A63" i="42" s="1"/>
  <c r="A64" i="42" s="1"/>
  <c r="A65" i="42" s="1"/>
  <c r="A66" i="42" s="1"/>
  <c r="A67" i="42" s="1"/>
  <c r="A68" i="42" s="1"/>
  <c r="A69" i="42" s="1"/>
  <c r="A70" i="42" s="1"/>
  <c r="A71" i="42" s="1"/>
  <c r="A72" i="42" s="1"/>
  <c r="A73" i="42" s="1"/>
  <c r="A74" i="42" s="1"/>
  <c r="A75" i="42" s="1"/>
  <c r="A76" i="42" s="1"/>
  <c r="A77" i="42" s="1"/>
  <c r="A78" i="42" s="1"/>
  <c r="A79" i="42" s="1"/>
  <c r="A80" i="42" s="1"/>
  <c r="A81" i="42" s="1"/>
  <c r="A82" i="42" s="1"/>
  <c r="A83" i="42" s="1"/>
  <c r="A84" i="42" s="1"/>
  <c r="A85" i="42" s="1"/>
  <c r="A86" i="42" s="1"/>
  <c r="A87" i="42" s="1"/>
  <c r="A88" i="42" s="1"/>
  <c r="A89" i="42" s="1"/>
  <c r="A90" i="42" s="1"/>
  <c r="A91" i="42" s="1"/>
  <c r="A92" i="42" s="1"/>
  <c r="A93" i="42" s="1"/>
  <c r="A94" i="42" s="1"/>
  <c r="A95" i="42" s="1"/>
  <c r="A96" i="42" s="1"/>
  <c r="A97" i="42" s="1"/>
  <c r="A98" i="42" s="1"/>
  <c r="A99" i="42" s="1"/>
  <c r="A100" i="42" s="1"/>
  <c r="A101" i="42" s="1"/>
  <c r="A102" i="42" s="1"/>
  <c r="A103" i="42" s="1"/>
  <c r="A104" i="42" s="1"/>
  <c r="A105" i="42" s="1"/>
  <c r="A106" i="42" s="1"/>
  <c r="A107" i="42" s="1"/>
  <c r="A108" i="42" s="1"/>
  <c r="A109" i="42" s="1"/>
  <c r="A110" i="42" s="1"/>
  <c r="A111" i="42" s="1"/>
  <c r="A112" i="42" s="1"/>
  <c r="A113" i="42" s="1"/>
  <c r="A114" i="42" s="1"/>
  <c r="A115" i="42" s="1"/>
  <c r="A116" i="42" s="1"/>
  <c r="A117" i="42" s="1"/>
  <c r="A118" i="42" s="1"/>
  <c r="A119" i="42" s="1"/>
  <c r="A120" i="42" s="1"/>
  <c r="A121" i="42" s="1"/>
  <c r="A122" i="42" s="1"/>
  <c r="A123" i="42" s="1"/>
  <c r="A124" i="42" s="1"/>
  <c r="A125" i="42" s="1"/>
  <c r="A126" i="42" s="1"/>
  <c r="A127" i="42" s="1"/>
  <c r="A128" i="42" s="1"/>
  <c r="A129" i="42" s="1"/>
  <c r="A130" i="42" s="1"/>
  <c r="A131" i="42" s="1"/>
  <c r="A132" i="42" s="1"/>
  <c r="A133" i="42" s="1"/>
  <c r="A134" i="42" s="1"/>
  <c r="A135" i="42" s="1"/>
  <c r="A136" i="42" s="1"/>
  <c r="A137" i="42" s="1"/>
  <c r="A138" i="42" s="1"/>
  <c r="B37" i="42"/>
  <c r="V36" i="42"/>
  <c r="U36" i="42"/>
  <c r="T36" i="42"/>
  <c r="S36" i="42"/>
  <c r="O36" i="42"/>
  <c r="M36" i="42"/>
  <c r="M43" i="42" s="1"/>
  <c r="M72" i="42"/>
  <c r="L36" i="42"/>
  <c r="L112" i="42" s="1"/>
  <c r="W35" i="42"/>
  <c r="S35" i="42"/>
  <c r="S133" i="42" s="1"/>
  <c r="R35" i="42"/>
  <c r="R104" i="42" s="1"/>
  <c r="R132" i="42"/>
  <c r="Q35" i="42"/>
  <c r="Q51" i="42"/>
  <c r="F33" i="42"/>
  <c r="E33" i="42"/>
  <c r="O33" i="42"/>
  <c r="A33" i="42"/>
  <c r="F32" i="42"/>
  <c r="E32" i="42"/>
  <c r="A32" i="42"/>
  <c r="F31" i="42"/>
  <c r="E31" i="42"/>
  <c r="M31" i="42" s="1"/>
  <c r="A31" i="42"/>
  <c r="F30" i="42"/>
  <c r="E30" i="42"/>
  <c r="A30" i="42"/>
  <c r="F28" i="42"/>
  <c r="E28" i="42"/>
  <c r="O28" i="42" s="1"/>
  <c r="A28" i="42"/>
  <c r="L25" i="42"/>
  <c r="L30" i="42"/>
  <c r="J30" i="42"/>
  <c r="E6" i="42"/>
  <c r="B3" i="44"/>
  <c r="E4" i="40"/>
  <c r="G4" i="40"/>
  <c r="I4" i="40" s="1"/>
  <c r="D4" i="40"/>
  <c r="F4" i="40" s="1"/>
  <c r="H4" i="40" s="1"/>
  <c r="J4" i="40" s="1"/>
  <c r="C4" i="40"/>
  <c r="C3" i="40"/>
  <c r="E3" i="40" s="1"/>
  <c r="G3" i="40" s="1"/>
  <c r="I3" i="40" s="1"/>
  <c r="R50" i="42"/>
  <c r="W77" i="42"/>
  <c r="L126" i="42"/>
  <c r="J126" i="42" s="1"/>
  <c r="L41" i="42"/>
  <c r="J41" i="42" s="1"/>
  <c r="R65" i="42"/>
  <c r="L114" i="42"/>
  <c r="J114" i="42" s="1"/>
  <c r="R129" i="42"/>
  <c r="L43" i="42"/>
  <c r="L83" i="42"/>
  <c r="J83" i="42" s="1"/>
  <c r="R102" i="42"/>
  <c r="L134" i="42"/>
  <c r="J134" i="42" s="1"/>
  <c r="L28" i="42"/>
  <c r="L29" i="42"/>
  <c r="M33" i="42"/>
  <c r="L60" i="42"/>
  <c r="L104" i="42"/>
  <c r="J104" i="42" s="1"/>
  <c r="S66" i="42"/>
  <c r="M90" i="42"/>
  <c r="S121" i="42"/>
  <c r="L39" i="42"/>
  <c r="J39" i="42" s="1"/>
  <c r="R41" i="42"/>
  <c r="R46" i="42"/>
  <c r="L54" i="42"/>
  <c r="Q60" i="42"/>
  <c r="M62" i="42"/>
  <c r="G62" i="42" s="1"/>
  <c r="O62" i="42" s="1"/>
  <c r="L70" i="42"/>
  <c r="J70" i="42" s="1"/>
  <c r="L78" i="42"/>
  <c r="J78" i="42" s="1"/>
  <c r="L86" i="42"/>
  <c r="J86" i="42" s="1"/>
  <c r="L87" i="42"/>
  <c r="L91" i="42"/>
  <c r="J91" i="42" s="1"/>
  <c r="L98" i="42"/>
  <c r="J98" i="42" s="1"/>
  <c r="L107" i="42"/>
  <c r="J107" i="42" s="1"/>
  <c r="R113" i="42"/>
  <c r="R114" i="42"/>
  <c r="M116" i="42"/>
  <c r="G116" i="42" s="1"/>
  <c r="O116" i="42" s="1"/>
  <c r="L120" i="42"/>
  <c r="J120" i="42" s="1"/>
  <c r="L124" i="42"/>
  <c r="M126" i="42"/>
  <c r="L131" i="42"/>
  <c r="J131" i="42" s="1"/>
  <c r="S137" i="42"/>
  <c r="O31" i="42"/>
  <c r="L40" i="42"/>
  <c r="R42" i="42"/>
  <c r="W46" i="42"/>
  <c r="L51" i="42"/>
  <c r="L55" i="42"/>
  <c r="J55" i="42" s="1"/>
  <c r="Q61" i="42"/>
  <c r="W62" i="42"/>
  <c r="L72" i="42"/>
  <c r="J72" i="42" s="1"/>
  <c r="R76" i="42"/>
  <c r="M82" i="42"/>
  <c r="R84" i="42"/>
  <c r="R86" i="42"/>
  <c r="Q87" i="42"/>
  <c r="M89" i="42"/>
  <c r="G89" i="42" s="1"/>
  <c r="O89" i="42" s="1"/>
  <c r="L94" i="42"/>
  <c r="J94" i="42" s="1"/>
  <c r="L96" i="42"/>
  <c r="R105" i="42"/>
  <c r="W113" i="42"/>
  <c r="R120" i="42"/>
  <c r="L130" i="42"/>
  <c r="S138" i="42"/>
  <c r="L44" i="42"/>
  <c r="L47" i="42"/>
  <c r="L56" i="42"/>
  <c r="J56" i="42" s="1"/>
  <c r="L64" i="42"/>
  <c r="J64" i="42" s="1"/>
  <c r="R66" i="42"/>
  <c r="S74" i="42"/>
  <c r="S82" i="42"/>
  <c r="W87" i="42"/>
  <c r="R92" i="42"/>
  <c r="R94" i="42"/>
  <c r="L102" i="42"/>
  <c r="J102" i="42" s="1"/>
  <c r="L108" i="42"/>
  <c r="J108" i="42" s="1"/>
  <c r="L115" i="42"/>
  <c r="J115" i="42" s="1"/>
  <c r="R121" i="42"/>
  <c r="L123" i="42"/>
  <c r="BE4" i="44"/>
  <c r="Q138" i="42"/>
  <c r="Q134" i="42"/>
  <c r="Q130" i="42"/>
  <c r="Q126" i="42"/>
  <c r="Q122" i="42"/>
  <c r="Q118" i="42"/>
  <c r="Q114" i="42"/>
  <c r="Q110" i="42"/>
  <c r="Q106" i="42"/>
  <c r="Q102" i="42"/>
  <c r="Q98" i="42"/>
  <c r="Q94" i="42"/>
  <c r="Q90" i="42"/>
  <c r="Q86" i="42"/>
  <c r="Q82" i="42"/>
  <c r="Q78" i="42"/>
  <c r="Q74" i="42"/>
  <c r="Q70" i="42"/>
  <c r="Q66" i="42"/>
  <c r="Q62" i="42"/>
  <c r="Q58" i="42"/>
  <c r="Q54" i="42"/>
  <c r="Q50" i="42"/>
  <c r="Q137" i="42"/>
  <c r="Q132" i="42"/>
  <c r="Q127" i="42"/>
  <c r="Q121" i="42"/>
  <c r="Q116" i="42"/>
  <c r="Q111" i="42"/>
  <c r="Q105" i="42"/>
  <c r="Q100" i="42"/>
  <c r="Q95" i="42"/>
  <c r="Q89" i="42"/>
  <c r="Q84" i="42"/>
  <c r="Q79" i="42"/>
  <c r="Q73" i="42"/>
  <c r="Q68" i="42"/>
  <c r="Q63" i="42"/>
  <c r="Q57" i="42"/>
  <c r="Q52" i="42"/>
  <c r="Q47" i="42"/>
  <c r="Q43" i="42"/>
  <c r="Q39" i="42"/>
  <c r="Q129" i="42"/>
  <c r="Q128" i="42"/>
  <c r="Q120" i="42"/>
  <c r="Q119" i="42"/>
  <c r="Q101" i="42"/>
  <c r="Q93" i="42"/>
  <c r="Q92" i="42"/>
  <c r="Q91" i="42"/>
  <c r="Q83" i="42"/>
  <c r="Q65" i="42"/>
  <c r="Q64" i="42"/>
  <c r="Q56" i="42"/>
  <c r="Q55" i="42"/>
  <c r="Q42" i="42"/>
  <c r="Q136" i="42"/>
  <c r="Q135" i="42"/>
  <c r="Q117" i="42"/>
  <c r="Q109" i="42"/>
  <c r="Q108" i="42"/>
  <c r="Q107" i="42"/>
  <c r="Q99" i="42"/>
  <c r="Q81" i="42"/>
  <c r="Q80" i="42"/>
  <c r="Q72" i="42"/>
  <c r="Q71" i="42"/>
  <c r="Q53" i="42"/>
  <c r="Q44" i="42"/>
  <c r="Q133" i="42"/>
  <c r="Q125" i="42"/>
  <c r="Q124" i="42"/>
  <c r="Q123" i="42"/>
  <c r="Q115" i="42"/>
  <c r="Q97" i="42"/>
  <c r="Q96" i="42"/>
  <c r="M135" i="42"/>
  <c r="G135" i="42" s="1"/>
  <c r="O135" i="42" s="1"/>
  <c r="M131" i="42"/>
  <c r="M127" i="42"/>
  <c r="G127" i="42"/>
  <c r="O127" i="42" s="1"/>
  <c r="M123" i="42"/>
  <c r="G123" i="42" s="1"/>
  <c r="O123" i="42" s="1"/>
  <c r="M119" i="42"/>
  <c r="M115" i="42"/>
  <c r="G115" i="42" s="1"/>
  <c r="O115" i="42" s="1"/>
  <c r="M111" i="42"/>
  <c r="M107" i="42"/>
  <c r="G107" i="42" s="1"/>
  <c r="O107" i="42" s="1"/>
  <c r="M103" i="42"/>
  <c r="G103" i="42" s="1"/>
  <c r="O103" i="42" s="1"/>
  <c r="M99" i="42"/>
  <c r="G99" i="42" s="1"/>
  <c r="O99" i="42" s="1"/>
  <c r="M95" i="42"/>
  <c r="M91" i="42"/>
  <c r="G91" i="42"/>
  <c r="O91" i="42" s="1"/>
  <c r="M87" i="42"/>
  <c r="G87" i="42" s="1"/>
  <c r="O87" i="42" s="1"/>
  <c r="M83" i="42"/>
  <c r="M79" i="42"/>
  <c r="G79" i="42" s="1"/>
  <c r="O79" i="42" s="1"/>
  <c r="M75" i="42"/>
  <c r="M71" i="42"/>
  <c r="M67" i="42"/>
  <c r="G67" i="42" s="1"/>
  <c r="O67" i="42" s="1"/>
  <c r="M63" i="42"/>
  <c r="G63" i="42" s="1"/>
  <c r="O63" i="42" s="1"/>
  <c r="M59" i="42"/>
  <c r="M55" i="42"/>
  <c r="G55" i="42" s="1"/>
  <c r="O55" i="42" s="1"/>
  <c r="M51" i="42"/>
  <c r="M134" i="42"/>
  <c r="M129" i="42"/>
  <c r="G129" i="42" s="1"/>
  <c r="O129" i="42" s="1"/>
  <c r="M124" i="42"/>
  <c r="G124" i="42" s="1"/>
  <c r="O124" i="42" s="1"/>
  <c r="M118" i="42"/>
  <c r="M113" i="42"/>
  <c r="G113" i="42" s="1"/>
  <c r="O113" i="42" s="1"/>
  <c r="M108" i="42"/>
  <c r="M102" i="42"/>
  <c r="G102" i="42"/>
  <c r="O102" i="42" s="1"/>
  <c r="M97" i="42"/>
  <c r="G97" i="42" s="1"/>
  <c r="O97" i="42" s="1"/>
  <c r="M92" i="42"/>
  <c r="M86" i="42"/>
  <c r="G86" i="42" s="1"/>
  <c r="O86" i="42" s="1"/>
  <c r="M81" i="42"/>
  <c r="G81" i="42" s="1"/>
  <c r="O81" i="42" s="1"/>
  <c r="M76" i="42"/>
  <c r="G76" i="42" s="1"/>
  <c r="O76" i="42" s="1"/>
  <c r="M70" i="42"/>
  <c r="G70" i="42" s="1"/>
  <c r="O70" i="42" s="1"/>
  <c r="M65" i="42"/>
  <c r="M60" i="42"/>
  <c r="G60" i="42" s="1"/>
  <c r="O60" i="42" s="1"/>
  <c r="M54" i="42"/>
  <c r="M49" i="42"/>
  <c r="M44" i="42"/>
  <c r="G44" i="42" s="1"/>
  <c r="O44" i="42" s="1"/>
  <c r="M40" i="42"/>
  <c r="G40" i="42" s="1"/>
  <c r="O40" i="42" s="1"/>
  <c r="M133" i="42"/>
  <c r="M132" i="42"/>
  <c r="G132" i="42" s="1"/>
  <c r="O132" i="42" s="1"/>
  <c r="M114" i="42"/>
  <c r="G114" i="42" s="1"/>
  <c r="O114" i="42" s="1"/>
  <c r="M106" i="42"/>
  <c r="G106" i="42" s="1"/>
  <c r="O106" i="42" s="1"/>
  <c r="M105" i="42"/>
  <c r="G105" i="42" s="1"/>
  <c r="O105" i="42" s="1"/>
  <c r="M104" i="42"/>
  <c r="G104" i="42" s="1"/>
  <c r="O104" i="42" s="1"/>
  <c r="M96" i="42"/>
  <c r="M78" i="42"/>
  <c r="G78" i="42" s="1"/>
  <c r="O78" i="42" s="1"/>
  <c r="M77" i="42"/>
  <c r="G77" i="42" s="1"/>
  <c r="O77" i="42" s="1"/>
  <c r="M69" i="42"/>
  <c r="M68" i="42"/>
  <c r="G68" i="42" s="1"/>
  <c r="O68" i="42" s="1"/>
  <c r="M50" i="42"/>
  <c r="M45" i="42"/>
  <c r="M39" i="42"/>
  <c r="M130" i="42"/>
  <c r="G130" i="42" s="1"/>
  <c r="O130" i="42" s="1"/>
  <c r="M122" i="42"/>
  <c r="G122" i="42" s="1"/>
  <c r="O122" i="42" s="1"/>
  <c r="M121" i="42"/>
  <c r="M120" i="42"/>
  <c r="G120" i="42" s="1"/>
  <c r="O120" i="42" s="1"/>
  <c r="M112" i="42"/>
  <c r="G112" i="42" s="1"/>
  <c r="O112" i="42" s="1"/>
  <c r="M94" i="42"/>
  <c r="G94" i="42" s="1"/>
  <c r="O94" i="42" s="1"/>
  <c r="M93" i="42"/>
  <c r="M85" i="42"/>
  <c r="G85" i="42" s="1"/>
  <c r="O85" i="42" s="1"/>
  <c r="M84" i="42"/>
  <c r="M66" i="42"/>
  <c r="G66" i="42" s="1"/>
  <c r="O66" i="42" s="1"/>
  <c r="M58" i="42"/>
  <c r="M57" i="42"/>
  <c r="M56" i="42"/>
  <c r="M48" i="42"/>
  <c r="M46" i="42"/>
  <c r="M41" i="42"/>
  <c r="G41" i="42" s="1"/>
  <c r="O41" i="42" s="1"/>
  <c r="M138" i="42"/>
  <c r="G138" i="42" s="1"/>
  <c r="O138" i="42" s="1"/>
  <c r="M137" i="42"/>
  <c r="M136" i="42"/>
  <c r="G136" i="42" s="1"/>
  <c r="O136" i="42" s="1"/>
  <c r="M128" i="42"/>
  <c r="G128" i="42" s="1"/>
  <c r="O128" i="42" s="1"/>
  <c r="M110" i="42"/>
  <c r="G110" i="42" s="1"/>
  <c r="O110" i="42" s="1"/>
  <c r="M109" i="42"/>
  <c r="G109" i="42" s="1"/>
  <c r="O109" i="42" s="1"/>
  <c r="M101" i="42"/>
  <c r="G101" i="42" s="1"/>
  <c r="O101" i="42" s="1"/>
  <c r="M100" i="42"/>
  <c r="Q41" i="42"/>
  <c r="Q48" i="42"/>
  <c r="Q49" i="42"/>
  <c r="M64" i="42"/>
  <c r="Q75" i="42"/>
  <c r="Q76" i="42"/>
  <c r="Q77" i="42"/>
  <c r="Q85" i="42"/>
  <c r="Q88" i="42"/>
  <c r="Q113" i="42"/>
  <c r="M42" i="42"/>
  <c r="G42" i="42" s="1"/>
  <c r="O42" i="42" s="1"/>
  <c r="Q45" i="42"/>
  <c r="Q67" i="42"/>
  <c r="M117" i="42"/>
  <c r="G117" i="42" s="1"/>
  <c r="O117" i="42" s="1"/>
  <c r="L33" i="42"/>
  <c r="J33" i="42" s="1"/>
  <c r="L32" i="42"/>
  <c r="L31" i="42"/>
  <c r="R28" i="42"/>
  <c r="Q40" i="42"/>
  <c r="Q46" i="42"/>
  <c r="M52" i="42"/>
  <c r="M53" i="42"/>
  <c r="Q59" i="42"/>
  <c r="M61" i="42"/>
  <c r="G61" i="42"/>
  <c r="O61" i="42" s="1"/>
  <c r="Q69" i="42"/>
  <c r="M80" i="42"/>
  <c r="G80" i="42" s="1"/>
  <c r="O80" i="42" s="1"/>
  <c r="M98" i="42"/>
  <c r="Q103" i="42"/>
  <c r="Q104" i="42"/>
  <c r="Q112" i="42"/>
  <c r="Q131" i="42"/>
  <c r="A72" i="44"/>
  <c r="BA3" i="44"/>
  <c r="A71" i="44"/>
  <c r="A75" i="44"/>
  <c r="BG3" i="44"/>
  <c r="R135" i="42"/>
  <c r="R131" i="42"/>
  <c r="R127" i="42"/>
  <c r="R123" i="42"/>
  <c r="R119" i="42"/>
  <c r="R115" i="42"/>
  <c r="R111" i="42"/>
  <c r="R107" i="42"/>
  <c r="R103" i="42"/>
  <c r="R99" i="42"/>
  <c r="R95" i="42"/>
  <c r="R91" i="42"/>
  <c r="R87" i="42"/>
  <c r="R83" i="42"/>
  <c r="R79" i="42"/>
  <c r="R75" i="42"/>
  <c r="R71" i="42"/>
  <c r="R67" i="42"/>
  <c r="R63" i="42"/>
  <c r="R55" i="42"/>
  <c r="R51" i="42"/>
  <c r="R138" i="42"/>
  <c r="R133" i="42"/>
  <c r="R128" i="42"/>
  <c r="R122" i="42"/>
  <c r="R117" i="42"/>
  <c r="R112" i="42"/>
  <c r="R106" i="42"/>
  <c r="R101" i="42"/>
  <c r="R96" i="42"/>
  <c r="R90" i="42"/>
  <c r="R85" i="42"/>
  <c r="R80" i="42"/>
  <c r="R74" i="42"/>
  <c r="R69" i="42"/>
  <c r="R64" i="42"/>
  <c r="R53" i="42"/>
  <c r="R48" i="42"/>
  <c r="R44" i="42"/>
  <c r="R40" i="42"/>
  <c r="W132" i="42"/>
  <c r="W128" i="42"/>
  <c r="W124" i="42"/>
  <c r="W116" i="42"/>
  <c r="W108" i="42"/>
  <c r="W104" i="42"/>
  <c r="W100" i="42"/>
  <c r="W92" i="42"/>
  <c r="W84" i="42"/>
  <c r="W80" i="42"/>
  <c r="W76" i="42"/>
  <c r="W68" i="42"/>
  <c r="W60" i="42"/>
  <c r="W56" i="42"/>
  <c r="W48" i="42"/>
  <c r="W133" i="42"/>
  <c r="W122" i="42"/>
  <c r="W117" i="42"/>
  <c r="W111" i="42"/>
  <c r="W101" i="42"/>
  <c r="W90" i="42"/>
  <c r="W85" i="42"/>
  <c r="W79" i="42"/>
  <c r="W69" i="42"/>
  <c r="W53" i="42"/>
  <c r="W41" i="42"/>
  <c r="R39" i="42"/>
  <c r="W44" i="42"/>
  <c r="R60" i="42"/>
  <c r="R61" i="42"/>
  <c r="R62" i="42"/>
  <c r="R70" i="42"/>
  <c r="S77" i="42"/>
  <c r="S78" i="42"/>
  <c r="S79" i="42"/>
  <c r="W82" i="42"/>
  <c r="S87" i="42"/>
  <c r="R88" i="42"/>
  <c r="R89" i="42"/>
  <c r="R97" i="42"/>
  <c r="R98" i="42"/>
  <c r="S105" i="42"/>
  <c r="S106" i="42"/>
  <c r="W109" i="42"/>
  <c r="S114" i="42"/>
  <c r="R116" i="42"/>
  <c r="W118" i="42"/>
  <c r="W119" i="42"/>
  <c r="R124" i="42"/>
  <c r="R125" i="42"/>
  <c r="R126" i="42"/>
  <c r="R134" i="42"/>
  <c r="W137" i="42"/>
  <c r="M32" i="42"/>
  <c r="R33" i="42"/>
  <c r="S136" i="42"/>
  <c r="S128" i="42"/>
  <c r="S124" i="42"/>
  <c r="S120" i="42"/>
  <c r="S112" i="42"/>
  <c r="S104" i="42"/>
  <c r="S100" i="42"/>
  <c r="S96" i="42"/>
  <c r="S88" i="42"/>
  <c r="S80" i="42"/>
  <c r="S76" i="42"/>
  <c r="S72" i="42"/>
  <c r="S64" i="42"/>
  <c r="S134" i="42"/>
  <c r="S129" i="42"/>
  <c r="S123" i="42"/>
  <c r="S113" i="42"/>
  <c r="S102" i="42"/>
  <c r="S97" i="42"/>
  <c r="S91" i="42"/>
  <c r="S81" i="42"/>
  <c r="S70" i="42"/>
  <c r="S65" i="42"/>
  <c r="S59" i="42"/>
  <c r="S49" i="42"/>
  <c r="S45" i="42"/>
  <c r="T35" i="42"/>
  <c r="T125" i="42" s="1"/>
  <c r="S61" i="42"/>
  <c r="S62" i="42"/>
  <c r="S63" i="42"/>
  <c r="W65" i="42"/>
  <c r="W66" i="42"/>
  <c r="W67" i="42"/>
  <c r="S71" i="42"/>
  <c r="R72" i="42"/>
  <c r="R73" i="42"/>
  <c r="W75" i="42"/>
  <c r="R81" i="42"/>
  <c r="R82" i="42"/>
  <c r="S89" i="42"/>
  <c r="S90" i="42"/>
  <c r="W93" i="42"/>
  <c r="W94" i="42"/>
  <c r="S98" i="42"/>
  <c r="S99" i="42"/>
  <c r="R100" i="42"/>
  <c r="W102" i="42"/>
  <c r="W103" i="42"/>
  <c r="R108" i="42"/>
  <c r="R109" i="42"/>
  <c r="R110" i="42"/>
  <c r="S117" i="42"/>
  <c r="R118" i="42"/>
  <c r="W121" i="42"/>
  <c r="S125" i="42"/>
  <c r="S126" i="42"/>
  <c r="S127" i="42"/>
  <c r="W129" i="42"/>
  <c r="W130" i="42"/>
  <c r="W131" i="42"/>
  <c r="S135" i="42"/>
  <c r="R136" i="42"/>
  <c r="R137" i="42"/>
  <c r="L137" i="42"/>
  <c r="J137" i="42" s="1"/>
  <c r="L133" i="42"/>
  <c r="J133" i="42" s="1"/>
  <c r="L129" i="42"/>
  <c r="J129" i="42" s="1"/>
  <c r="L125" i="42"/>
  <c r="J125" i="42" s="1"/>
  <c r="L121" i="42"/>
  <c r="L117" i="42"/>
  <c r="J117" i="42" s="1"/>
  <c r="L113" i="42"/>
  <c r="J113" i="42" s="1"/>
  <c r="L109" i="42"/>
  <c r="J109" i="42" s="1"/>
  <c r="L105" i="42"/>
  <c r="J105" i="42" s="1"/>
  <c r="L101" i="42"/>
  <c r="L97" i="42"/>
  <c r="J97" i="42" s="1"/>
  <c r="L93" i="42"/>
  <c r="J93" i="42" s="1"/>
  <c r="L89" i="42"/>
  <c r="J89" i="42" s="1"/>
  <c r="L85" i="42"/>
  <c r="J85" i="42" s="1"/>
  <c r="L81" i="42"/>
  <c r="J81" i="42" s="1"/>
  <c r="L77" i="42"/>
  <c r="J77" i="42" s="1"/>
  <c r="L73" i="42"/>
  <c r="J73" i="42" s="1"/>
  <c r="L69" i="42"/>
  <c r="J69" i="42" s="1"/>
  <c r="L65" i="42"/>
  <c r="J65" i="42" s="1"/>
  <c r="L61" i="42"/>
  <c r="J61" i="42" s="1"/>
  <c r="L57" i="42"/>
  <c r="L53" i="42"/>
  <c r="L49" i="42"/>
  <c r="L42" i="42"/>
  <c r="L46" i="42"/>
  <c r="J46" i="42" s="1"/>
  <c r="L52" i="42"/>
  <c r="L58" i="42"/>
  <c r="L63" i="42"/>
  <c r="J63" i="42" s="1"/>
  <c r="L68" i="42"/>
  <c r="J68" i="42" s="1"/>
  <c r="L74" i="42"/>
  <c r="J74" i="42" s="1"/>
  <c r="L79" i="42"/>
  <c r="L84" i="42"/>
  <c r="J84" i="42" s="1"/>
  <c r="L90" i="42"/>
  <c r="L95" i="42"/>
  <c r="J95" i="42" s="1"/>
  <c r="L100" i="42"/>
  <c r="J100" i="42" s="1"/>
  <c r="L106" i="42"/>
  <c r="J106" i="42" s="1"/>
  <c r="L111" i="42"/>
  <c r="L116" i="42"/>
  <c r="J116" i="42" s="1"/>
  <c r="L122" i="42"/>
  <c r="J122" i="42" s="1"/>
  <c r="L127" i="42"/>
  <c r="J127" i="42" s="1"/>
  <c r="L132" i="42"/>
  <c r="J132" i="42" s="1"/>
  <c r="L138" i="42"/>
  <c r="J138" i="42" s="1"/>
  <c r="J101" i="42"/>
  <c r="J130" i="42"/>
  <c r="J111" i="42"/>
  <c r="J87" i="42"/>
  <c r="J123" i="42"/>
  <c r="J96" i="42"/>
  <c r="J90" i="42"/>
  <c r="J121" i="42"/>
  <c r="J79" i="42"/>
  <c r="J124" i="42"/>
  <c r="J112" i="42"/>
  <c r="D18" i="44"/>
  <c r="D25" i="44"/>
  <c r="D27" i="44"/>
  <c r="T129" i="42"/>
  <c r="T121" i="42"/>
  <c r="T105" i="42"/>
  <c r="T97" i="42"/>
  <c r="T81" i="42"/>
  <c r="T73" i="42"/>
  <c r="T57" i="42"/>
  <c r="T49" i="42"/>
  <c r="T119" i="42"/>
  <c r="T108" i="42"/>
  <c r="T87" i="42"/>
  <c r="T76" i="42"/>
  <c r="T55" i="42"/>
  <c r="T46" i="42"/>
  <c r="T115" i="42"/>
  <c r="T106" i="42"/>
  <c r="T78" i="42"/>
  <c r="T52" i="42"/>
  <c r="T132" i="42"/>
  <c r="T123" i="42"/>
  <c r="T95" i="42"/>
  <c r="T86" i="42"/>
  <c r="T58" i="42"/>
  <c r="T138" i="42"/>
  <c r="T110" i="42"/>
  <c r="T127" i="42"/>
  <c r="T43" i="42"/>
  <c r="T91" i="42"/>
  <c r="T75" i="42"/>
  <c r="T64" i="42"/>
  <c r="T48" i="42"/>
  <c r="T136" i="42"/>
  <c r="T54" i="42"/>
  <c r="T39" i="42"/>
  <c r="V29" i="23"/>
  <c r="H15" i="27"/>
  <c r="H14" i="27"/>
  <c r="R15" i="27"/>
  <c r="O15" i="27"/>
  <c r="R14" i="27"/>
  <c r="U15" i="27"/>
  <c r="T15" i="27"/>
  <c r="S15" i="27"/>
  <c r="N15" i="27"/>
  <c r="M15" i="27"/>
  <c r="L15" i="27"/>
  <c r="K15" i="27"/>
  <c r="J15" i="27"/>
  <c r="I15" i="27"/>
  <c r="G15" i="27"/>
  <c r="F15" i="27"/>
  <c r="C15" i="27"/>
  <c r="AJ14" i="23"/>
  <c r="R14" i="23" s="1"/>
  <c r="O4" i="27"/>
  <c r="B18" i="35"/>
  <c r="AI126" i="23"/>
  <c r="N701" i="34"/>
  <c r="M701" i="34"/>
  <c r="L701" i="34"/>
  <c r="K701" i="34"/>
  <c r="I701" i="34"/>
  <c r="H701" i="34"/>
  <c r="G701" i="34"/>
  <c r="F701" i="34"/>
  <c r="W700" i="34"/>
  <c r="V700" i="34"/>
  <c r="S700" i="34"/>
  <c r="W699" i="34"/>
  <c r="V699" i="34"/>
  <c r="S699" i="34"/>
  <c r="W698" i="34"/>
  <c r="V698" i="34"/>
  <c r="S698" i="34"/>
  <c r="W697" i="34"/>
  <c r="V697" i="34"/>
  <c r="S697" i="34"/>
  <c r="W696" i="34"/>
  <c r="V696" i="34"/>
  <c r="S696" i="34"/>
  <c r="W695" i="34"/>
  <c r="V695" i="34"/>
  <c r="S695" i="34"/>
  <c r="W694" i="34"/>
  <c r="V694" i="34"/>
  <c r="S694" i="34"/>
  <c r="W693" i="34"/>
  <c r="V693" i="34"/>
  <c r="S693" i="34"/>
  <c r="W692" i="34"/>
  <c r="V692" i="34"/>
  <c r="S692" i="34"/>
  <c r="W691" i="34"/>
  <c r="V691" i="34"/>
  <c r="S691" i="34"/>
  <c r="W690" i="34"/>
  <c r="V690" i="34"/>
  <c r="S690" i="34"/>
  <c r="W689" i="34"/>
  <c r="V689" i="34"/>
  <c r="S689" i="34"/>
  <c r="W688" i="34"/>
  <c r="V688" i="34"/>
  <c r="S688" i="34"/>
  <c r="W687" i="34"/>
  <c r="V687" i="34"/>
  <c r="S687" i="34"/>
  <c r="W686" i="34"/>
  <c r="V686" i="34"/>
  <c r="S686" i="34"/>
  <c r="W685" i="34"/>
  <c r="V685" i="34"/>
  <c r="S685" i="34"/>
  <c r="W684" i="34"/>
  <c r="V684" i="34"/>
  <c r="S684" i="34"/>
  <c r="W683" i="34"/>
  <c r="V683" i="34"/>
  <c r="S683" i="34"/>
  <c r="W682" i="34"/>
  <c r="V682" i="34"/>
  <c r="S682" i="34"/>
  <c r="W681" i="34"/>
  <c r="V681" i="34"/>
  <c r="S681" i="34"/>
  <c r="W680" i="34"/>
  <c r="V680" i="34"/>
  <c r="S680" i="34"/>
  <c r="W679" i="34"/>
  <c r="V679" i="34"/>
  <c r="S679" i="34"/>
  <c r="W678" i="34"/>
  <c r="V678" i="34"/>
  <c r="S678" i="34"/>
  <c r="W677" i="34"/>
  <c r="V677" i="34"/>
  <c r="S677" i="34"/>
  <c r="W676" i="34"/>
  <c r="V676" i="34"/>
  <c r="S676" i="34"/>
  <c r="W675" i="34"/>
  <c r="V675" i="34"/>
  <c r="S675" i="34"/>
  <c r="W674" i="34"/>
  <c r="V674" i="34"/>
  <c r="S674" i="34"/>
  <c r="W673" i="34"/>
  <c r="V673" i="34"/>
  <c r="S673" i="34"/>
  <c r="W672" i="34"/>
  <c r="V672" i="34"/>
  <c r="S672" i="34"/>
  <c r="W671" i="34"/>
  <c r="V671" i="34"/>
  <c r="S671" i="34"/>
  <c r="W670" i="34"/>
  <c r="V670" i="34"/>
  <c r="S670" i="34"/>
  <c r="W669" i="34"/>
  <c r="V669" i="34"/>
  <c r="S669" i="34"/>
  <c r="W668" i="34"/>
  <c r="V668" i="34"/>
  <c r="S668" i="34"/>
  <c r="W667" i="34"/>
  <c r="V667" i="34"/>
  <c r="S667" i="34"/>
  <c r="W666" i="34"/>
  <c r="V666" i="34"/>
  <c r="S666" i="34"/>
  <c r="W665" i="34"/>
  <c r="V665" i="34"/>
  <c r="S665" i="34"/>
  <c r="W664" i="34"/>
  <c r="V664" i="34"/>
  <c r="S664" i="34"/>
  <c r="W663" i="34"/>
  <c r="V663" i="34"/>
  <c r="S663" i="34"/>
  <c r="W662" i="34"/>
  <c r="V662" i="34"/>
  <c r="S662" i="34"/>
  <c r="W661" i="34"/>
  <c r="V661" i="34"/>
  <c r="S661" i="34"/>
  <c r="W660" i="34"/>
  <c r="V660" i="34"/>
  <c r="S660" i="34"/>
  <c r="W659" i="34"/>
  <c r="V659" i="34"/>
  <c r="S659" i="34"/>
  <c r="W658" i="34"/>
  <c r="V658" i="34"/>
  <c r="S658" i="34"/>
  <c r="W657" i="34"/>
  <c r="V657" i="34"/>
  <c r="S657" i="34"/>
  <c r="W656" i="34"/>
  <c r="V656" i="34"/>
  <c r="S656" i="34"/>
  <c r="W655" i="34"/>
  <c r="V655" i="34"/>
  <c r="S655" i="34"/>
  <c r="W654" i="34"/>
  <c r="V654" i="34"/>
  <c r="S654" i="34"/>
  <c r="W653" i="34"/>
  <c r="V653" i="34"/>
  <c r="S653" i="34"/>
  <c r="W652" i="34"/>
  <c r="V652" i="34"/>
  <c r="S652" i="34"/>
  <c r="W651" i="34"/>
  <c r="V651" i="34"/>
  <c r="S651" i="34"/>
  <c r="W650" i="34"/>
  <c r="V650" i="34"/>
  <c r="S650" i="34"/>
  <c r="W649" i="34"/>
  <c r="V649" i="34"/>
  <c r="S649" i="34"/>
  <c r="W648" i="34"/>
  <c r="V648" i="34"/>
  <c r="S648" i="34"/>
  <c r="W647" i="34"/>
  <c r="V647" i="34"/>
  <c r="S647" i="34"/>
  <c r="W646" i="34"/>
  <c r="V646" i="34"/>
  <c r="S646" i="34"/>
  <c r="W645" i="34"/>
  <c r="V645" i="34"/>
  <c r="S645" i="34"/>
  <c r="W644" i="34"/>
  <c r="V644" i="34"/>
  <c r="S644" i="34"/>
  <c r="W643" i="34"/>
  <c r="V643" i="34"/>
  <c r="S643" i="34"/>
  <c r="W642" i="34"/>
  <c r="V642" i="34"/>
  <c r="S642" i="34"/>
  <c r="W641" i="34"/>
  <c r="V641" i="34"/>
  <c r="S641" i="34"/>
  <c r="W640" i="34"/>
  <c r="V640" i="34"/>
  <c r="S640" i="34"/>
  <c r="W639" i="34"/>
  <c r="V639" i="34"/>
  <c r="S639" i="34"/>
  <c r="W638" i="34"/>
  <c r="V638" i="34"/>
  <c r="S638" i="34"/>
  <c r="W637" i="34"/>
  <c r="V637" i="34"/>
  <c r="S637" i="34"/>
  <c r="W636" i="34"/>
  <c r="V636" i="34"/>
  <c r="S636" i="34"/>
  <c r="W635" i="34"/>
  <c r="V635" i="34"/>
  <c r="S635" i="34"/>
  <c r="W634" i="34"/>
  <c r="V634" i="34"/>
  <c r="S634" i="34"/>
  <c r="W633" i="34"/>
  <c r="V633" i="34"/>
  <c r="S633" i="34"/>
  <c r="W632" i="34"/>
  <c r="V632" i="34"/>
  <c r="S632" i="34"/>
  <c r="W631" i="34"/>
  <c r="V631" i="34"/>
  <c r="S631" i="34"/>
  <c r="W630" i="34"/>
  <c r="V630" i="34"/>
  <c r="S630" i="34"/>
  <c r="W629" i="34"/>
  <c r="V629" i="34"/>
  <c r="S629" i="34"/>
  <c r="W628" i="34"/>
  <c r="V628" i="34"/>
  <c r="S628" i="34"/>
  <c r="W627" i="34"/>
  <c r="V627" i="34"/>
  <c r="S627" i="34"/>
  <c r="W626" i="34"/>
  <c r="V626" i="34"/>
  <c r="S626" i="34"/>
  <c r="W625" i="34"/>
  <c r="V625" i="34"/>
  <c r="S625" i="34"/>
  <c r="W624" i="34"/>
  <c r="V624" i="34"/>
  <c r="S624" i="34"/>
  <c r="W623" i="34"/>
  <c r="V623" i="34"/>
  <c r="S623" i="34"/>
  <c r="W622" i="34"/>
  <c r="V622" i="34"/>
  <c r="S622" i="34"/>
  <c r="W621" i="34"/>
  <c r="V621" i="34"/>
  <c r="S621" i="34"/>
  <c r="W620" i="34"/>
  <c r="V620" i="34"/>
  <c r="S620" i="34"/>
  <c r="W619" i="34"/>
  <c r="V619" i="34"/>
  <c r="S619" i="34"/>
  <c r="W618" i="34"/>
  <c r="V618" i="34"/>
  <c r="S618" i="34"/>
  <c r="W617" i="34"/>
  <c r="V617" i="34"/>
  <c r="S617" i="34"/>
  <c r="W616" i="34"/>
  <c r="V616" i="34"/>
  <c r="S616" i="34"/>
  <c r="W615" i="34"/>
  <c r="V615" i="34"/>
  <c r="S615" i="34"/>
  <c r="W614" i="34"/>
  <c r="V614" i="34"/>
  <c r="S614" i="34"/>
  <c r="W613" i="34"/>
  <c r="V613" i="34"/>
  <c r="S613" i="34"/>
  <c r="W612" i="34"/>
  <c r="V612" i="34"/>
  <c r="S612" i="34"/>
  <c r="W611" i="34"/>
  <c r="V611" i="34"/>
  <c r="S611" i="34"/>
  <c r="W610" i="34"/>
  <c r="V610" i="34"/>
  <c r="S610" i="34"/>
  <c r="W609" i="34"/>
  <c r="V609" i="34"/>
  <c r="S609" i="34"/>
  <c r="W608" i="34"/>
  <c r="V608" i="34"/>
  <c r="S608" i="34"/>
  <c r="W607" i="34"/>
  <c r="V607" i="34"/>
  <c r="S607" i="34"/>
  <c r="W606" i="34"/>
  <c r="V606" i="34"/>
  <c r="S606" i="34"/>
  <c r="W605" i="34"/>
  <c r="V605" i="34"/>
  <c r="S605" i="34"/>
  <c r="W604" i="34"/>
  <c r="V604" i="34"/>
  <c r="S604" i="34"/>
  <c r="W603" i="34"/>
  <c r="V603" i="34"/>
  <c r="S603" i="34"/>
  <c r="W602" i="34"/>
  <c r="V602" i="34"/>
  <c r="S602" i="34"/>
  <c r="W601" i="34"/>
  <c r="V601" i="34"/>
  <c r="S601" i="34"/>
  <c r="W600" i="34"/>
  <c r="V600" i="34"/>
  <c r="S600" i="34"/>
  <c r="W599" i="34"/>
  <c r="V599" i="34"/>
  <c r="S599" i="34"/>
  <c r="W598" i="34"/>
  <c r="V598" i="34"/>
  <c r="S598" i="34"/>
  <c r="W597" i="34"/>
  <c r="V597" i="34"/>
  <c r="S597" i="34"/>
  <c r="W596" i="34"/>
  <c r="V596" i="34"/>
  <c r="S596" i="34"/>
  <c r="W595" i="34"/>
  <c r="V595" i="34"/>
  <c r="S595" i="34"/>
  <c r="W594" i="34"/>
  <c r="V594" i="34"/>
  <c r="S594" i="34"/>
  <c r="W593" i="34"/>
  <c r="V593" i="34"/>
  <c r="S593" i="34"/>
  <c r="W592" i="34"/>
  <c r="V592" i="34"/>
  <c r="S592" i="34"/>
  <c r="W591" i="34"/>
  <c r="V591" i="34"/>
  <c r="S591" i="34"/>
  <c r="W590" i="34"/>
  <c r="V590" i="34"/>
  <c r="S590" i="34"/>
  <c r="W589" i="34"/>
  <c r="V589" i="34"/>
  <c r="S589" i="34"/>
  <c r="W588" i="34"/>
  <c r="V588" i="34"/>
  <c r="S588" i="34"/>
  <c r="W587" i="34"/>
  <c r="V587" i="34"/>
  <c r="S587" i="34"/>
  <c r="W586" i="34"/>
  <c r="V586" i="34"/>
  <c r="S586" i="34"/>
  <c r="W585" i="34"/>
  <c r="V585" i="34"/>
  <c r="S585" i="34"/>
  <c r="W584" i="34"/>
  <c r="V584" i="34"/>
  <c r="S584" i="34"/>
  <c r="W583" i="34"/>
  <c r="V583" i="34"/>
  <c r="S583" i="34"/>
  <c r="W582" i="34"/>
  <c r="V582" i="34"/>
  <c r="S582" i="34"/>
  <c r="W581" i="34"/>
  <c r="V581" i="34"/>
  <c r="S581" i="34"/>
  <c r="W580" i="34"/>
  <c r="V580" i="34"/>
  <c r="S580" i="34"/>
  <c r="W579" i="34"/>
  <c r="V579" i="34"/>
  <c r="S579" i="34"/>
  <c r="W578" i="34"/>
  <c r="V578" i="34"/>
  <c r="S578" i="34"/>
  <c r="W577" i="34"/>
  <c r="V577" i="34"/>
  <c r="S577" i="34"/>
  <c r="W576" i="34"/>
  <c r="V576" i="34"/>
  <c r="S576" i="34"/>
  <c r="W575" i="34"/>
  <c r="V575" i="34"/>
  <c r="S575" i="34"/>
  <c r="W574" i="34"/>
  <c r="V574" i="34"/>
  <c r="S574" i="34"/>
  <c r="W573" i="34"/>
  <c r="V573" i="34"/>
  <c r="S573" i="34"/>
  <c r="W572" i="34"/>
  <c r="V572" i="34"/>
  <c r="S572" i="34"/>
  <c r="W571" i="34"/>
  <c r="V571" i="34"/>
  <c r="S571" i="34"/>
  <c r="W570" i="34"/>
  <c r="V570" i="34"/>
  <c r="S570" i="34"/>
  <c r="W569" i="34"/>
  <c r="V569" i="34"/>
  <c r="S569" i="34"/>
  <c r="W568" i="34"/>
  <c r="V568" i="34"/>
  <c r="S568" i="34"/>
  <c r="W567" i="34"/>
  <c r="V567" i="34"/>
  <c r="S567" i="34"/>
  <c r="W566" i="34"/>
  <c r="V566" i="34"/>
  <c r="S566" i="34"/>
  <c r="W565" i="34"/>
  <c r="V565" i="34"/>
  <c r="S565" i="34"/>
  <c r="W564" i="34"/>
  <c r="V564" i="34"/>
  <c r="S564" i="34"/>
  <c r="W563" i="34"/>
  <c r="V563" i="34"/>
  <c r="S563" i="34"/>
  <c r="W562" i="34"/>
  <c r="V562" i="34"/>
  <c r="S562" i="34"/>
  <c r="W561" i="34"/>
  <c r="V561" i="34"/>
  <c r="S561" i="34"/>
  <c r="W560" i="34"/>
  <c r="V560" i="34"/>
  <c r="S560" i="34"/>
  <c r="W559" i="34"/>
  <c r="V559" i="34"/>
  <c r="S559" i="34"/>
  <c r="W558" i="34"/>
  <c r="V558" i="34"/>
  <c r="S558" i="34"/>
  <c r="W557" i="34"/>
  <c r="V557" i="34"/>
  <c r="S557" i="34"/>
  <c r="W556" i="34"/>
  <c r="V556" i="34"/>
  <c r="S556" i="34"/>
  <c r="W555" i="34"/>
  <c r="V555" i="34"/>
  <c r="S555" i="34"/>
  <c r="W554" i="34"/>
  <c r="V554" i="34"/>
  <c r="S554" i="34"/>
  <c r="W553" i="34"/>
  <c r="V553" i="34"/>
  <c r="S553" i="34"/>
  <c r="W552" i="34"/>
  <c r="V552" i="34"/>
  <c r="S552" i="34"/>
  <c r="W551" i="34"/>
  <c r="V551" i="34"/>
  <c r="S551" i="34"/>
  <c r="W550" i="34"/>
  <c r="V550" i="34"/>
  <c r="S550" i="34"/>
  <c r="W549" i="34"/>
  <c r="V549" i="34"/>
  <c r="S549" i="34"/>
  <c r="W548" i="34"/>
  <c r="V548" i="34"/>
  <c r="S548" i="34"/>
  <c r="W547" i="34"/>
  <c r="V547" i="34"/>
  <c r="S547" i="34"/>
  <c r="W546" i="34"/>
  <c r="V546" i="34"/>
  <c r="S546" i="34"/>
  <c r="W545" i="34"/>
  <c r="V545" i="34"/>
  <c r="S545" i="34"/>
  <c r="W544" i="34"/>
  <c r="V544" i="34"/>
  <c r="S544" i="34"/>
  <c r="W543" i="34"/>
  <c r="V543" i="34"/>
  <c r="S543" i="34"/>
  <c r="W542" i="34"/>
  <c r="V542" i="34"/>
  <c r="S542" i="34"/>
  <c r="W541" i="34"/>
  <c r="V541" i="34"/>
  <c r="S541" i="34"/>
  <c r="W540" i="34"/>
  <c r="V540" i="34"/>
  <c r="S540" i="34"/>
  <c r="W539" i="34"/>
  <c r="V539" i="34"/>
  <c r="S539" i="34"/>
  <c r="W538" i="34"/>
  <c r="V538" i="34"/>
  <c r="S538" i="34"/>
  <c r="W537" i="34"/>
  <c r="V537" i="34"/>
  <c r="S537" i="34"/>
  <c r="W536" i="34"/>
  <c r="V536" i="34"/>
  <c r="S536" i="34"/>
  <c r="W535" i="34"/>
  <c r="V535" i="34"/>
  <c r="S535" i="34"/>
  <c r="W534" i="34"/>
  <c r="V534" i="34"/>
  <c r="S534" i="34"/>
  <c r="W533" i="34"/>
  <c r="V533" i="34"/>
  <c r="S533" i="34"/>
  <c r="W532" i="34"/>
  <c r="V532" i="34"/>
  <c r="S532" i="34"/>
  <c r="W531" i="34"/>
  <c r="V531" i="34"/>
  <c r="S531" i="34"/>
  <c r="W530" i="34"/>
  <c r="V530" i="34"/>
  <c r="S530" i="34"/>
  <c r="W529" i="34"/>
  <c r="V529" i="34"/>
  <c r="S529" i="34"/>
  <c r="W528" i="34"/>
  <c r="V528" i="34"/>
  <c r="S528" i="34"/>
  <c r="W527" i="34"/>
  <c r="V527" i="34"/>
  <c r="S527" i="34"/>
  <c r="W526" i="34"/>
  <c r="V526" i="34"/>
  <c r="S526" i="34"/>
  <c r="W525" i="34"/>
  <c r="V525" i="34"/>
  <c r="S525" i="34"/>
  <c r="W524" i="34"/>
  <c r="V524" i="34"/>
  <c r="S524" i="34"/>
  <c r="W523" i="34"/>
  <c r="V523" i="34"/>
  <c r="S523" i="34"/>
  <c r="W522" i="34"/>
  <c r="V522" i="34"/>
  <c r="S522" i="34"/>
  <c r="W521" i="34"/>
  <c r="V521" i="34"/>
  <c r="S521" i="34"/>
  <c r="W520" i="34"/>
  <c r="V520" i="34"/>
  <c r="S520" i="34"/>
  <c r="W519" i="34"/>
  <c r="V519" i="34"/>
  <c r="S519" i="34"/>
  <c r="W518" i="34"/>
  <c r="V518" i="34"/>
  <c r="S518" i="34"/>
  <c r="W517" i="34"/>
  <c r="V517" i="34"/>
  <c r="S517" i="34"/>
  <c r="W516" i="34"/>
  <c r="V516" i="34"/>
  <c r="S516" i="34"/>
  <c r="W515" i="34"/>
  <c r="V515" i="34"/>
  <c r="S515" i="34"/>
  <c r="W514" i="34"/>
  <c r="V514" i="34"/>
  <c r="S514" i="34"/>
  <c r="W513" i="34"/>
  <c r="V513" i="34"/>
  <c r="S513" i="34"/>
  <c r="W512" i="34"/>
  <c r="V512" i="34"/>
  <c r="S512" i="34"/>
  <c r="W511" i="34"/>
  <c r="V511" i="34"/>
  <c r="S511" i="34"/>
  <c r="W510" i="34"/>
  <c r="V510" i="34"/>
  <c r="S510" i="34"/>
  <c r="W509" i="34"/>
  <c r="V509" i="34"/>
  <c r="S509" i="34"/>
  <c r="W508" i="34"/>
  <c r="V508" i="34"/>
  <c r="S508" i="34"/>
  <c r="W507" i="34"/>
  <c r="V507" i="34"/>
  <c r="S507" i="34"/>
  <c r="W506" i="34"/>
  <c r="V506" i="34"/>
  <c r="S506" i="34"/>
  <c r="W505" i="34"/>
  <c r="V505" i="34"/>
  <c r="S505" i="34"/>
  <c r="W504" i="34"/>
  <c r="V504" i="34"/>
  <c r="S504" i="34"/>
  <c r="W503" i="34"/>
  <c r="V503" i="34"/>
  <c r="S503" i="34"/>
  <c r="W502" i="34"/>
  <c r="V502" i="34"/>
  <c r="S502" i="34"/>
  <c r="W501" i="34"/>
  <c r="V501" i="34"/>
  <c r="S501" i="34"/>
  <c r="W500" i="34"/>
  <c r="V500" i="34"/>
  <c r="S500" i="34"/>
  <c r="W499" i="34"/>
  <c r="V499" i="34"/>
  <c r="S499" i="34"/>
  <c r="W498" i="34"/>
  <c r="V498" i="34"/>
  <c r="S498" i="34"/>
  <c r="W497" i="34"/>
  <c r="V497" i="34"/>
  <c r="S497" i="34"/>
  <c r="W496" i="34"/>
  <c r="V496" i="34"/>
  <c r="S496" i="34"/>
  <c r="W495" i="34"/>
  <c r="V495" i="34"/>
  <c r="S495" i="34"/>
  <c r="W494" i="34"/>
  <c r="V494" i="34"/>
  <c r="S494" i="34"/>
  <c r="W493" i="34"/>
  <c r="V493" i="34"/>
  <c r="S493" i="34"/>
  <c r="W492" i="34"/>
  <c r="V492" i="34"/>
  <c r="S492" i="34"/>
  <c r="W491" i="34"/>
  <c r="V491" i="34"/>
  <c r="S491" i="34"/>
  <c r="W490" i="34"/>
  <c r="V490" i="34"/>
  <c r="S490" i="34"/>
  <c r="W489" i="34"/>
  <c r="V489" i="34"/>
  <c r="S489" i="34"/>
  <c r="W488" i="34"/>
  <c r="V488" i="34"/>
  <c r="S488" i="34"/>
  <c r="W487" i="34"/>
  <c r="V487" i="34"/>
  <c r="S487" i="34"/>
  <c r="W486" i="34"/>
  <c r="V486" i="34"/>
  <c r="S486" i="34"/>
  <c r="W485" i="34"/>
  <c r="V485" i="34"/>
  <c r="S485" i="34"/>
  <c r="W484" i="34"/>
  <c r="V484" i="34"/>
  <c r="S484" i="34"/>
  <c r="W483" i="34"/>
  <c r="V483" i="34"/>
  <c r="S483" i="34"/>
  <c r="W482" i="34"/>
  <c r="V482" i="34"/>
  <c r="S482" i="34"/>
  <c r="W481" i="34"/>
  <c r="V481" i="34"/>
  <c r="S481" i="34"/>
  <c r="W480" i="34"/>
  <c r="V480" i="34"/>
  <c r="S480" i="34"/>
  <c r="W479" i="34"/>
  <c r="V479" i="34"/>
  <c r="S479" i="34"/>
  <c r="W478" i="34"/>
  <c r="V478" i="34"/>
  <c r="S478" i="34"/>
  <c r="W477" i="34"/>
  <c r="V477" i="34"/>
  <c r="S477" i="34"/>
  <c r="W476" i="34"/>
  <c r="V476" i="34"/>
  <c r="S476" i="34"/>
  <c r="W475" i="34"/>
  <c r="V475" i="34"/>
  <c r="S475" i="34"/>
  <c r="W474" i="34"/>
  <c r="V474" i="34"/>
  <c r="S474" i="34"/>
  <c r="W473" i="34"/>
  <c r="V473" i="34"/>
  <c r="S473" i="34"/>
  <c r="W472" i="34"/>
  <c r="V472" i="34"/>
  <c r="S472" i="34"/>
  <c r="W471" i="34"/>
  <c r="V471" i="34"/>
  <c r="S471" i="34"/>
  <c r="W470" i="34"/>
  <c r="V470" i="34"/>
  <c r="S470" i="34"/>
  <c r="W469" i="34"/>
  <c r="V469" i="34"/>
  <c r="S469" i="34"/>
  <c r="W468" i="34"/>
  <c r="V468" i="34"/>
  <c r="S468" i="34"/>
  <c r="W467" i="34"/>
  <c r="V467" i="34"/>
  <c r="S467" i="34"/>
  <c r="W466" i="34"/>
  <c r="V466" i="34"/>
  <c r="S466" i="34"/>
  <c r="W465" i="34"/>
  <c r="V465" i="34"/>
  <c r="S465" i="34"/>
  <c r="W464" i="34"/>
  <c r="V464" i="34"/>
  <c r="S464" i="34"/>
  <c r="W463" i="34"/>
  <c r="V463" i="34"/>
  <c r="S463" i="34"/>
  <c r="W462" i="34"/>
  <c r="V462" i="34"/>
  <c r="S462" i="34"/>
  <c r="W461" i="34"/>
  <c r="V461" i="34"/>
  <c r="S461" i="34"/>
  <c r="W460" i="34"/>
  <c r="V460" i="34"/>
  <c r="S460" i="34"/>
  <c r="W459" i="34"/>
  <c r="V459" i="34"/>
  <c r="S459" i="34"/>
  <c r="W458" i="34"/>
  <c r="V458" i="34"/>
  <c r="S458" i="34"/>
  <c r="W457" i="34"/>
  <c r="V457" i="34"/>
  <c r="S457" i="34"/>
  <c r="W456" i="34"/>
  <c r="V456" i="34"/>
  <c r="S456" i="34"/>
  <c r="W455" i="34"/>
  <c r="V455" i="34"/>
  <c r="S455" i="34"/>
  <c r="W454" i="34"/>
  <c r="V454" i="34"/>
  <c r="S454" i="34"/>
  <c r="W453" i="34"/>
  <c r="V453" i="34"/>
  <c r="S453" i="34"/>
  <c r="W452" i="34"/>
  <c r="V452" i="34"/>
  <c r="S452" i="34"/>
  <c r="W451" i="34"/>
  <c r="V451" i="34"/>
  <c r="S451" i="34"/>
  <c r="W450" i="34"/>
  <c r="V450" i="34"/>
  <c r="S450" i="34"/>
  <c r="W449" i="34"/>
  <c r="V449" i="34"/>
  <c r="S449" i="34"/>
  <c r="W448" i="34"/>
  <c r="V448" i="34"/>
  <c r="S448" i="34"/>
  <c r="W447" i="34"/>
  <c r="V447" i="34"/>
  <c r="S447" i="34"/>
  <c r="W446" i="34"/>
  <c r="V446" i="34"/>
  <c r="S446" i="34"/>
  <c r="W445" i="34"/>
  <c r="V445" i="34"/>
  <c r="S445" i="34"/>
  <c r="W444" i="34"/>
  <c r="V444" i="34"/>
  <c r="S444" i="34"/>
  <c r="W443" i="34"/>
  <c r="V443" i="34"/>
  <c r="S443" i="34"/>
  <c r="W442" i="34"/>
  <c r="V442" i="34"/>
  <c r="S442" i="34"/>
  <c r="W441" i="34"/>
  <c r="V441" i="34"/>
  <c r="S441" i="34"/>
  <c r="W440" i="34"/>
  <c r="V440" i="34"/>
  <c r="S440" i="34"/>
  <c r="W439" i="34"/>
  <c r="V439" i="34"/>
  <c r="S439" i="34"/>
  <c r="W438" i="34"/>
  <c r="V438" i="34"/>
  <c r="S438" i="34"/>
  <c r="W437" i="34"/>
  <c r="V437" i="34"/>
  <c r="S437" i="34"/>
  <c r="W436" i="34"/>
  <c r="V436" i="34"/>
  <c r="S436" i="34"/>
  <c r="W435" i="34"/>
  <c r="V435" i="34"/>
  <c r="S435" i="34"/>
  <c r="W434" i="34"/>
  <c r="V434" i="34"/>
  <c r="S434" i="34"/>
  <c r="W433" i="34"/>
  <c r="V433" i="34"/>
  <c r="S433" i="34"/>
  <c r="W432" i="34"/>
  <c r="V432" i="34"/>
  <c r="S432" i="34"/>
  <c r="W431" i="34"/>
  <c r="V431" i="34"/>
  <c r="S431" i="34"/>
  <c r="W430" i="34"/>
  <c r="V430" i="34"/>
  <c r="S430" i="34"/>
  <c r="W429" i="34"/>
  <c r="V429" i="34"/>
  <c r="S429" i="34"/>
  <c r="W428" i="34"/>
  <c r="V428" i="34"/>
  <c r="S428" i="34"/>
  <c r="W427" i="34"/>
  <c r="V427" i="34"/>
  <c r="S427" i="34"/>
  <c r="W426" i="34"/>
  <c r="V426" i="34"/>
  <c r="S426" i="34"/>
  <c r="W425" i="34"/>
  <c r="V425" i="34"/>
  <c r="S425" i="34"/>
  <c r="W424" i="34"/>
  <c r="V424" i="34"/>
  <c r="S424" i="34"/>
  <c r="W423" i="34"/>
  <c r="V423" i="34"/>
  <c r="S423" i="34"/>
  <c r="W422" i="34"/>
  <c r="V422" i="34"/>
  <c r="S422" i="34"/>
  <c r="W421" i="34"/>
  <c r="V421" i="34"/>
  <c r="S421" i="34"/>
  <c r="W420" i="34"/>
  <c r="V420" i="34"/>
  <c r="S420" i="34"/>
  <c r="W419" i="34"/>
  <c r="V419" i="34"/>
  <c r="S419" i="34"/>
  <c r="W418" i="34"/>
  <c r="V418" i="34"/>
  <c r="S418" i="34"/>
  <c r="W417" i="34"/>
  <c r="V417" i="34"/>
  <c r="S417" i="34"/>
  <c r="W416" i="34"/>
  <c r="V416" i="34"/>
  <c r="S416" i="34"/>
  <c r="W415" i="34"/>
  <c r="V415" i="34"/>
  <c r="S415" i="34"/>
  <c r="W414" i="34"/>
  <c r="V414" i="34"/>
  <c r="S414" i="34"/>
  <c r="W413" i="34"/>
  <c r="V413" i="34"/>
  <c r="S413" i="34"/>
  <c r="W412" i="34"/>
  <c r="V412" i="34"/>
  <c r="S412" i="34"/>
  <c r="W411" i="34"/>
  <c r="V411" i="34"/>
  <c r="S411" i="34"/>
  <c r="W410" i="34"/>
  <c r="V410" i="34"/>
  <c r="S410" i="34"/>
  <c r="W409" i="34"/>
  <c r="V409" i="34"/>
  <c r="S409" i="34"/>
  <c r="W408" i="34"/>
  <c r="V408" i="34"/>
  <c r="S408" i="34"/>
  <c r="W407" i="34"/>
  <c r="V407" i="34"/>
  <c r="S407" i="34"/>
  <c r="W406" i="34"/>
  <c r="V406" i="34"/>
  <c r="S406" i="34"/>
  <c r="W405" i="34"/>
  <c r="V405" i="34"/>
  <c r="S405" i="34"/>
  <c r="W404" i="34"/>
  <c r="V404" i="34"/>
  <c r="S404" i="34"/>
  <c r="W403" i="34"/>
  <c r="V403" i="34"/>
  <c r="S403" i="34"/>
  <c r="W402" i="34"/>
  <c r="V402" i="34"/>
  <c r="S402" i="34"/>
  <c r="W401" i="34"/>
  <c r="V401" i="34"/>
  <c r="S401" i="34"/>
  <c r="W400" i="34"/>
  <c r="V400" i="34"/>
  <c r="S400" i="34"/>
  <c r="W399" i="34"/>
  <c r="V399" i="34"/>
  <c r="S399" i="34"/>
  <c r="W398" i="34"/>
  <c r="V398" i="34"/>
  <c r="S398" i="34"/>
  <c r="W397" i="34"/>
  <c r="V397" i="34"/>
  <c r="S397" i="34"/>
  <c r="W396" i="34"/>
  <c r="V396" i="34"/>
  <c r="S396" i="34"/>
  <c r="W395" i="34"/>
  <c r="V395" i="34"/>
  <c r="S395" i="34"/>
  <c r="W394" i="34"/>
  <c r="V394" i="34"/>
  <c r="S394" i="34"/>
  <c r="W393" i="34"/>
  <c r="V393" i="34"/>
  <c r="S393" i="34"/>
  <c r="W392" i="34"/>
  <c r="V392" i="34"/>
  <c r="S392" i="34"/>
  <c r="W391" i="34"/>
  <c r="V391" i="34"/>
  <c r="S391" i="34"/>
  <c r="W390" i="34"/>
  <c r="V390" i="34"/>
  <c r="S390" i="34"/>
  <c r="W389" i="34"/>
  <c r="V389" i="34"/>
  <c r="S389" i="34"/>
  <c r="W388" i="34"/>
  <c r="V388" i="34"/>
  <c r="S388" i="34"/>
  <c r="W387" i="34"/>
  <c r="V387" i="34"/>
  <c r="S387" i="34"/>
  <c r="W386" i="34"/>
  <c r="V386" i="34"/>
  <c r="S386" i="34"/>
  <c r="W385" i="34"/>
  <c r="V385" i="34"/>
  <c r="S385" i="34"/>
  <c r="W384" i="34"/>
  <c r="V384" i="34"/>
  <c r="S384" i="34"/>
  <c r="W383" i="34"/>
  <c r="V383" i="34"/>
  <c r="S383" i="34"/>
  <c r="W382" i="34"/>
  <c r="V382" i="34"/>
  <c r="S382" i="34"/>
  <c r="W381" i="34"/>
  <c r="V381" i="34"/>
  <c r="S381" i="34"/>
  <c r="W380" i="34"/>
  <c r="V380" i="34"/>
  <c r="S380" i="34"/>
  <c r="W379" i="34"/>
  <c r="V379" i="34"/>
  <c r="S379" i="34"/>
  <c r="W378" i="34"/>
  <c r="V378" i="34"/>
  <c r="S378" i="34"/>
  <c r="W377" i="34"/>
  <c r="V377" i="34"/>
  <c r="S377" i="34"/>
  <c r="W376" i="34"/>
  <c r="V376" i="34"/>
  <c r="S376" i="34"/>
  <c r="W375" i="34"/>
  <c r="V375" i="34"/>
  <c r="S375" i="34"/>
  <c r="W374" i="34"/>
  <c r="V374" i="34"/>
  <c r="S374" i="34"/>
  <c r="W373" i="34"/>
  <c r="V373" i="34"/>
  <c r="S373" i="34"/>
  <c r="W372" i="34"/>
  <c r="V372" i="34"/>
  <c r="S372" i="34"/>
  <c r="W371" i="34"/>
  <c r="V371" i="34"/>
  <c r="S371" i="34"/>
  <c r="W370" i="34"/>
  <c r="V370" i="34"/>
  <c r="S370" i="34"/>
  <c r="W369" i="34"/>
  <c r="V369" i="34"/>
  <c r="S369" i="34"/>
  <c r="W368" i="34"/>
  <c r="V368" i="34"/>
  <c r="S368" i="34"/>
  <c r="W367" i="34"/>
  <c r="V367" i="34"/>
  <c r="S367" i="34"/>
  <c r="W366" i="34"/>
  <c r="V366" i="34"/>
  <c r="S366" i="34"/>
  <c r="W365" i="34"/>
  <c r="V365" i="34"/>
  <c r="S365" i="34"/>
  <c r="W364" i="34"/>
  <c r="V364" i="34"/>
  <c r="S364" i="34"/>
  <c r="W363" i="34"/>
  <c r="V363" i="34"/>
  <c r="S363" i="34"/>
  <c r="W362" i="34"/>
  <c r="V362" i="34"/>
  <c r="S362" i="34"/>
  <c r="W361" i="34"/>
  <c r="V361" i="34"/>
  <c r="S361" i="34"/>
  <c r="W360" i="34"/>
  <c r="V360" i="34"/>
  <c r="S360" i="34"/>
  <c r="W359" i="34"/>
  <c r="V359" i="34"/>
  <c r="S359" i="34"/>
  <c r="W358" i="34"/>
  <c r="V358" i="34"/>
  <c r="S358" i="34"/>
  <c r="W357" i="34"/>
  <c r="V357" i="34"/>
  <c r="S357" i="34"/>
  <c r="W356" i="34"/>
  <c r="V356" i="34"/>
  <c r="S356" i="34"/>
  <c r="W355" i="34"/>
  <c r="V355" i="34"/>
  <c r="S355" i="34"/>
  <c r="W354" i="34"/>
  <c r="V354" i="34"/>
  <c r="S354" i="34"/>
  <c r="W353" i="34"/>
  <c r="V353" i="34"/>
  <c r="S353" i="34"/>
  <c r="W352" i="34"/>
  <c r="V352" i="34"/>
  <c r="S352" i="34"/>
  <c r="W351" i="34"/>
  <c r="V351" i="34"/>
  <c r="S351" i="34"/>
  <c r="W350" i="34"/>
  <c r="V350" i="34"/>
  <c r="S350" i="34"/>
  <c r="W349" i="34"/>
  <c r="V349" i="34"/>
  <c r="S349" i="34"/>
  <c r="W348" i="34"/>
  <c r="V348" i="34"/>
  <c r="S348" i="34"/>
  <c r="W347" i="34"/>
  <c r="V347" i="34"/>
  <c r="S347" i="34"/>
  <c r="W346" i="34"/>
  <c r="V346" i="34"/>
  <c r="S346" i="34"/>
  <c r="W345" i="34"/>
  <c r="V345" i="34"/>
  <c r="S345" i="34"/>
  <c r="W344" i="34"/>
  <c r="V344" i="34"/>
  <c r="S344" i="34"/>
  <c r="W343" i="34"/>
  <c r="V343" i="34"/>
  <c r="S343" i="34"/>
  <c r="W342" i="34"/>
  <c r="V342" i="34"/>
  <c r="S342" i="34"/>
  <c r="W341" i="34"/>
  <c r="V341" i="34"/>
  <c r="S341" i="34"/>
  <c r="W340" i="34"/>
  <c r="V340" i="34"/>
  <c r="S340" i="34"/>
  <c r="W339" i="34"/>
  <c r="V339" i="34"/>
  <c r="S339" i="34"/>
  <c r="W338" i="34"/>
  <c r="V338" i="34"/>
  <c r="S338" i="34"/>
  <c r="W337" i="34"/>
  <c r="V337" i="34"/>
  <c r="S337" i="34"/>
  <c r="W336" i="34"/>
  <c r="V336" i="34"/>
  <c r="S336" i="34"/>
  <c r="W335" i="34"/>
  <c r="V335" i="34"/>
  <c r="S335" i="34"/>
  <c r="W334" i="34"/>
  <c r="V334" i="34"/>
  <c r="S334" i="34"/>
  <c r="W333" i="34"/>
  <c r="V333" i="34"/>
  <c r="S333" i="34"/>
  <c r="W332" i="34"/>
  <c r="V332" i="34"/>
  <c r="S332" i="34"/>
  <c r="W331" i="34"/>
  <c r="V331" i="34"/>
  <c r="S331" i="34"/>
  <c r="W330" i="34"/>
  <c r="V330" i="34"/>
  <c r="S330" i="34"/>
  <c r="W329" i="34"/>
  <c r="V329" i="34"/>
  <c r="S329" i="34"/>
  <c r="W328" i="34"/>
  <c r="V328" i="34"/>
  <c r="S328" i="34"/>
  <c r="W327" i="34"/>
  <c r="V327" i="34"/>
  <c r="S327" i="34"/>
  <c r="W326" i="34"/>
  <c r="V326" i="34"/>
  <c r="S326" i="34"/>
  <c r="W325" i="34"/>
  <c r="V325" i="34"/>
  <c r="S325" i="34"/>
  <c r="W324" i="34"/>
  <c r="V324" i="34"/>
  <c r="S324" i="34"/>
  <c r="W323" i="34"/>
  <c r="V323" i="34"/>
  <c r="S323" i="34"/>
  <c r="W322" i="34"/>
  <c r="V322" i="34"/>
  <c r="S322" i="34"/>
  <c r="W321" i="34"/>
  <c r="V321" i="34"/>
  <c r="S321" i="34"/>
  <c r="W320" i="34"/>
  <c r="V320" i="34"/>
  <c r="S320" i="34"/>
  <c r="W319" i="34"/>
  <c r="V319" i="34"/>
  <c r="S319" i="34"/>
  <c r="W318" i="34"/>
  <c r="V318" i="34"/>
  <c r="S318" i="34"/>
  <c r="W317" i="34"/>
  <c r="V317" i="34"/>
  <c r="S317" i="34"/>
  <c r="W316" i="34"/>
  <c r="V316" i="34"/>
  <c r="S316" i="34"/>
  <c r="W315" i="34"/>
  <c r="V315" i="34"/>
  <c r="S315" i="34"/>
  <c r="W314" i="34"/>
  <c r="V314" i="34"/>
  <c r="S314" i="34"/>
  <c r="W313" i="34"/>
  <c r="V313" i="34"/>
  <c r="S313" i="34"/>
  <c r="W312" i="34"/>
  <c r="V312" i="34"/>
  <c r="S312" i="34"/>
  <c r="W311" i="34"/>
  <c r="V311" i="34"/>
  <c r="S311" i="34"/>
  <c r="W310" i="34"/>
  <c r="V310" i="34"/>
  <c r="S310" i="34"/>
  <c r="W309" i="34"/>
  <c r="V309" i="34"/>
  <c r="S309" i="34"/>
  <c r="W308" i="34"/>
  <c r="V308" i="34"/>
  <c r="S308" i="34"/>
  <c r="W307" i="34"/>
  <c r="V307" i="34"/>
  <c r="S307" i="34"/>
  <c r="W306" i="34"/>
  <c r="V306" i="34"/>
  <c r="S306" i="34"/>
  <c r="W305" i="34"/>
  <c r="V305" i="34"/>
  <c r="S305" i="34"/>
  <c r="W304" i="34"/>
  <c r="V304" i="34"/>
  <c r="S304" i="34"/>
  <c r="W303" i="34"/>
  <c r="V303" i="34"/>
  <c r="S303" i="34"/>
  <c r="W302" i="34"/>
  <c r="V302" i="34"/>
  <c r="S302" i="34"/>
  <c r="W301" i="34"/>
  <c r="V301" i="34"/>
  <c r="S301" i="34"/>
  <c r="W300" i="34"/>
  <c r="V300" i="34"/>
  <c r="S300" i="34"/>
  <c r="W299" i="34"/>
  <c r="V299" i="34"/>
  <c r="S299" i="34"/>
  <c r="W298" i="34"/>
  <c r="V298" i="34"/>
  <c r="S298" i="34"/>
  <c r="W297" i="34"/>
  <c r="V297" i="34"/>
  <c r="S297" i="34"/>
  <c r="W296" i="34"/>
  <c r="V296" i="34"/>
  <c r="S296" i="34"/>
  <c r="W295" i="34"/>
  <c r="V295" i="34"/>
  <c r="S295" i="34"/>
  <c r="W294" i="34"/>
  <c r="V294" i="34"/>
  <c r="S294" i="34"/>
  <c r="W293" i="34"/>
  <c r="V293" i="34"/>
  <c r="S293" i="34"/>
  <c r="W292" i="34"/>
  <c r="V292" i="34"/>
  <c r="S292" i="34"/>
  <c r="W291" i="34"/>
  <c r="V291" i="34"/>
  <c r="S291" i="34"/>
  <c r="W290" i="34"/>
  <c r="V290" i="34"/>
  <c r="S290" i="34"/>
  <c r="W289" i="34"/>
  <c r="V289" i="34"/>
  <c r="S289" i="34"/>
  <c r="W288" i="34"/>
  <c r="V288" i="34"/>
  <c r="S288" i="34"/>
  <c r="W287" i="34"/>
  <c r="V287" i="34"/>
  <c r="S287" i="34"/>
  <c r="W286" i="34"/>
  <c r="V286" i="34"/>
  <c r="S286" i="34"/>
  <c r="W285" i="34"/>
  <c r="V285" i="34"/>
  <c r="S285" i="34"/>
  <c r="W284" i="34"/>
  <c r="V284" i="34"/>
  <c r="S284" i="34"/>
  <c r="W283" i="34"/>
  <c r="V283" i="34"/>
  <c r="S283" i="34"/>
  <c r="W282" i="34"/>
  <c r="V282" i="34"/>
  <c r="S282" i="34"/>
  <c r="W281" i="34"/>
  <c r="V281" i="34"/>
  <c r="S281" i="34"/>
  <c r="W280" i="34"/>
  <c r="V280" i="34"/>
  <c r="S280" i="34"/>
  <c r="W279" i="34"/>
  <c r="V279" i="34"/>
  <c r="S279" i="34"/>
  <c r="W278" i="34"/>
  <c r="V278" i="34"/>
  <c r="S278" i="34"/>
  <c r="W277" i="34"/>
  <c r="V277" i="34"/>
  <c r="S277" i="34"/>
  <c r="W276" i="34"/>
  <c r="V276" i="34"/>
  <c r="S276" i="34"/>
  <c r="W275" i="34"/>
  <c r="V275" i="34"/>
  <c r="S275" i="34"/>
  <c r="W274" i="34"/>
  <c r="V274" i="34"/>
  <c r="S274" i="34"/>
  <c r="W273" i="34"/>
  <c r="V273" i="34"/>
  <c r="S273" i="34"/>
  <c r="W272" i="34"/>
  <c r="V272" i="34"/>
  <c r="S272" i="34"/>
  <c r="W271" i="34"/>
  <c r="V271" i="34"/>
  <c r="S271" i="34"/>
  <c r="W270" i="34"/>
  <c r="V270" i="34"/>
  <c r="S270" i="34"/>
  <c r="W269" i="34"/>
  <c r="V269" i="34"/>
  <c r="S269" i="34"/>
  <c r="W268" i="34"/>
  <c r="V268" i="34"/>
  <c r="S268" i="34"/>
  <c r="W267" i="34"/>
  <c r="V267" i="34"/>
  <c r="S267" i="34"/>
  <c r="W266" i="34"/>
  <c r="V266" i="34"/>
  <c r="S266" i="34"/>
  <c r="W265" i="34"/>
  <c r="V265" i="34"/>
  <c r="S265" i="34"/>
  <c r="W264" i="34"/>
  <c r="V264" i="34"/>
  <c r="S264" i="34"/>
  <c r="W263" i="34"/>
  <c r="V263" i="34"/>
  <c r="S263" i="34"/>
  <c r="W262" i="34"/>
  <c r="V262" i="34"/>
  <c r="S262" i="34"/>
  <c r="W261" i="34"/>
  <c r="V261" i="34"/>
  <c r="S261" i="34"/>
  <c r="W260" i="34"/>
  <c r="V260" i="34"/>
  <c r="S260" i="34"/>
  <c r="W259" i="34"/>
  <c r="V259" i="34"/>
  <c r="S259" i="34"/>
  <c r="W258" i="34"/>
  <c r="V258" i="34"/>
  <c r="S258" i="34"/>
  <c r="W257" i="34"/>
  <c r="V257" i="34"/>
  <c r="S257" i="34"/>
  <c r="W256" i="34"/>
  <c r="V256" i="34"/>
  <c r="S256" i="34"/>
  <c r="W255" i="34"/>
  <c r="V255" i="34"/>
  <c r="S255" i="34"/>
  <c r="W254" i="34"/>
  <c r="V254" i="34"/>
  <c r="S254" i="34"/>
  <c r="W253" i="34"/>
  <c r="V253" i="34"/>
  <c r="S253" i="34"/>
  <c r="W252" i="34"/>
  <c r="V252" i="34"/>
  <c r="S252" i="34"/>
  <c r="W251" i="34"/>
  <c r="V251" i="34"/>
  <c r="S251" i="34"/>
  <c r="W250" i="34"/>
  <c r="V250" i="34"/>
  <c r="S250" i="34"/>
  <c r="W249" i="34"/>
  <c r="V249" i="34"/>
  <c r="S249" i="34"/>
  <c r="W248" i="34"/>
  <c r="V248" i="34"/>
  <c r="S248" i="34"/>
  <c r="W247" i="34"/>
  <c r="V247" i="34"/>
  <c r="S247" i="34"/>
  <c r="W246" i="34"/>
  <c r="V246" i="34"/>
  <c r="S246" i="34"/>
  <c r="W245" i="34"/>
  <c r="V245" i="34"/>
  <c r="S245" i="34"/>
  <c r="W244" i="34"/>
  <c r="V244" i="34"/>
  <c r="S244" i="34"/>
  <c r="W243" i="34"/>
  <c r="V243" i="34"/>
  <c r="S243" i="34"/>
  <c r="W242" i="34"/>
  <c r="V242" i="34"/>
  <c r="S242" i="34"/>
  <c r="W241" i="34"/>
  <c r="V241" i="34"/>
  <c r="S241" i="34"/>
  <c r="W240" i="34"/>
  <c r="V240" i="34"/>
  <c r="S240" i="34"/>
  <c r="W239" i="34"/>
  <c r="V239" i="34"/>
  <c r="S239" i="34"/>
  <c r="W238" i="34"/>
  <c r="V238" i="34"/>
  <c r="S238" i="34"/>
  <c r="W237" i="34"/>
  <c r="V237" i="34"/>
  <c r="S237" i="34"/>
  <c r="W236" i="34"/>
  <c r="V236" i="34"/>
  <c r="S236" i="34"/>
  <c r="W235" i="34"/>
  <c r="V235" i="34"/>
  <c r="S235" i="34"/>
  <c r="W234" i="34"/>
  <c r="V234" i="34"/>
  <c r="S234" i="34"/>
  <c r="W233" i="34"/>
  <c r="V233" i="34"/>
  <c r="S233" i="34"/>
  <c r="W232" i="34"/>
  <c r="V232" i="34"/>
  <c r="S232" i="34"/>
  <c r="W231" i="34"/>
  <c r="V231" i="34"/>
  <c r="S231" i="34"/>
  <c r="W230" i="34"/>
  <c r="V230" i="34"/>
  <c r="S230" i="34"/>
  <c r="W229" i="34"/>
  <c r="V229" i="34"/>
  <c r="S229" i="34"/>
  <c r="W228" i="34"/>
  <c r="V228" i="34"/>
  <c r="S228" i="34"/>
  <c r="W227" i="34"/>
  <c r="V227" i="34"/>
  <c r="S227" i="34"/>
  <c r="W226" i="34"/>
  <c r="V226" i="34"/>
  <c r="S226" i="34"/>
  <c r="W225" i="34"/>
  <c r="V225" i="34"/>
  <c r="S225" i="34"/>
  <c r="W224" i="34"/>
  <c r="V224" i="34"/>
  <c r="S224" i="34"/>
  <c r="W223" i="34"/>
  <c r="V223" i="34"/>
  <c r="S223" i="34"/>
  <c r="W222" i="34"/>
  <c r="V222" i="34"/>
  <c r="S222" i="34"/>
  <c r="W221" i="34"/>
  <c r="V221" i="34"/>
  <c r="S221" i="34"/>
  <c r="W220" i="34"/>
  <c r="V220" i="34"/>
  <c r="S220" i="34"/>
  <c r="W219" i="34"/>
  <c r="V219" i="34"/>
  <c r="S219" i="34"/>
  <c r="W218" i="34"/>
  <c r="V218" i="34"/>
  <c r="S218" i="34"/>
  <c r="W217" i="34"/>
  <c r="V217" i="34"/>
  <c r="S217" i="34"/>
  <c r="W216" i="34"/>
  <c r="V216" i="34"/>
  <c r="S216" i="34"/>
  <c r="W215" i="34"/>
  <c r="V215" i="34"/>
  <c r="S215" i="34"/>
  <c r="W214" i="34"/>
  <c r="V214" i="34"/>
  <c r="S214" i="34"/>
  <c r="W213" i="34"/>
  <c r="V213" i="34"/>
  <c r="S213" i="34"/>
  <c r="W212" i="34"/>
  <c r="V212" i="34"/>
  <c r="S212" i="34"/>
  <c r="W211" i="34"/>
  <c r="V211" i="34"/>
  <c r="S211" i="34"/>
  <c r="W210" i="34"/>
  <c r="V210" i="34"/>
  <c r="S210" i="34"/>
  <c r="W209" i="34"/>
  <c r="V209" i="34"/>
  <c r="S209" i="34"/>
  <c r="W208" i="34"/>
  <c r="V208" i="34"/>
  <c r="S208" i="34"/>
  <c r="W207" i="34"/>
  <c r="V207" i="34"/>
  <c r="S207" i="34"/>
  <c r="W206" i="34"/>
  <c r="V206" i="34"/>
  <c r="S206" i="34"/>
  <c r="W205" i="34"/>
  <c r="V205" i="34"/>
  <c r="S205" i="34"/>
  <c r="W204" i="34"/>
  <c r="V204" i="34"/>
  <c r="S204" i="34"/>
  <c r="W203" i="34"/>
  <c r="V203" i="34"/>
  <c r="S203" i="34"/>
  <c r="W202" i="34"/>
  <c r="V202" i="34"/>
  <c r="S202" i="34"/>
  <c r="W201" i="34"/>
  <c r="V201" i="34"/>
  <c r="S201" i="34"/>
  <c r="W200" i="34"/>
  <c r="V200" i="34"/>
  <c r="S200" i="34"/>
  <c r="W199" i="34"/>
  <c r="V199" i="34"/>
  <c r="S199" i="34"/>
  <c r="W198" i="34"/>
  <c r="V198" i="34"/>
  <c r="S198" i="34"/>
  <c r="W197" i="34"/>
  <c r="V197" i="34"/>
  <c r="S197" i="34"/>
  <c r="W196" i="34"/>
  <c r="V196" i="34"/>
  <c r="S196" i="34"/>
  <c r="W195" i="34"/>
  <c r="V195" i="34"/>
  <c r="S195" i="34"/>
  <c r="W194" i="34"/>
  <c r="V194" i="34"/>
  <c r="S194" i="34"/>
  <c r="W193" i="34"/>
  <c r="V193" i="34"/>
  <c r="S193" i="34"/>
  <c r="W192" i="34"/>
  <c r="V192" i="34"/>
  <c r="S192" i="34"/>
  <c r="W191" i="34"/>
  <c r="V191" i="34"/>
  <c r="S191" i="34"/>
  <c r="W190" i="34"/>
  <c r="V190" i="34"/>
  <c r="S190" i="34"/>
  <c r="W189" i="34"/>
  <c r="V189" i="34"/>
  <c r="S189" i="34"/>
  <c r="W188" i="34"/>
  <c r="V188" i="34"/>
  <c r="S188" i="34"/>
  <c r="W187" i="34"/>
  <c r="V187" i="34"/>
  <c r="S187" i="34"/>
  <c r="W186" i="34"/>
  <c r="V186" i="34"/>
  <c r="S186" i="34"/>
  <c r="W185" i="34"/>
  <c r="V185" i="34"/>
  <c r="S185" i="34"/>
  <c r="W184" i="34"/>
  <c r="V184" i="34"/>
  <c r="S184" i="34"/>
  <c r="W183" i="34"/>
  <c r="V183" i="34"/>
  <c r="S183" i="34"/>
  <c r="W182" i="34"/>
  <c r="V182" i="34"/>
  <c r="S182" i="34"/>
  <c r="W181" i="34"/>
  <c r="V181" i="34"/>
  <c r="S181" i="34"/>
  <c r="W180" i="34"/>
  <c r="V180" i="34"/>
  <c r="S180" i="34"/>
  <c r="W179" i="34"/>
  <c r="V179" i="34"/>
  <c r="S179" i="34"/>
  <c r="W178" i="34"/>
  <c r="V178" i="34"/>
  <c r="S178" i="34"/>
  <c r="W177" i="34"/>
  <c r="V177" i="34"/>
  <c r="S177" i="34"/>
  <c r="W176" i="34"/>
  <c r="V176" i="34"/>
  <c r="S176" i="34"/>
  <c r="W175" i="34"/>
  <c r="V175" i="34"/>
  <c r="S175" i="34"/>
  <c r="W174" i="34"/>
  <c r="V174" i="34"/>
  <c r="S174" i="34"/>
  <c r="W173" i="34"/>
  <c r="V173" i="34"/>
  <c r="S173" i="34"/>
  <c r="W172" i="34"/>
  <c r="V172" i="34"/>
  <c r="S172" i="34"/>
  <c r="W171" i="34"/>
  <c r="V171" i="34"/>
  <c r="S171" i="34"/>
  <c r="W170" i="34"/>
  <c r="V170" i="34"/>
  <c r="S170" i="34"/>
  <c r="W169" i="34"/>
  <c r="V169" i="34"/>
  <c r="S169" i="34"/>
  <c r="W168" i="34"/>
  <c r="V168" i="34"/>
  <c r="S168" i="34"/>
  <c r="W167" i="34"/>
  <c r="V167" i="34"/>
  <c r="S167" i="34"/>
  <c r="W166" i="34"/>
  <c r="V166" i="34"/>
  <c r="S166" i="34"/>
  <c r="W165" i="34"/>
  <c r="V165" i="34"/>
  <c r="S165" i="34"/>
  <c r="W164" i="34"/>
  <c r="V164" i="34"/>
  <c r="S164" i="34"/>
  <c r="W163" i="34"/>
  <c r="V163" i="34"/>
  <c r="S163" i="34"/>
  <c r="W162" i="34"/>
  <c r="V162" i="34"/>
  <c r="S162" i="34"/>
  <c r="W161" i="34"/>
  <c r="V161" i="34"/>
  <c r="S161" i="34"/>
  <c r="W160" i="34"/>
  <c r="V160" i="34"/>
  <c r="S160" i="34"/>
  <c r="W159" i="34"/>
  <c r="V159" i="34"/>
  <c r="S159" i="34"/>
  <c r="W158" i="34"/>
  <c r="V158" i="34"/>
  <c r="S158" i="34"/>
  <c r="W157" i="34"/>
  <c r="V157" i="34"/>
  <c r="S157" i="34"/>
  <c r="W156" i="34"/>
  <c r="V156" i="34"/>
  <c r="S156" i="34"/>
  <c r="W155" i="34"/>
  <c r="V155" i="34"/>
  <c r="S155" i="34"/>
  <c r="W154" i="34"/>
  <c r="V154" i="34"/>
  <c r="S154" i="34"/>
  <c r="W153" i="34"/>
  <c r="V153" i="34"/>
  <c r="S153" i="34"/>
  <c r="W152" i="34"/>
  <c r="V152" i="34"/>
  <c r="S152" i="34"/>
  <c r="W151" i="34"/>
  <c r="V151" i="34"/>
  <c r="S151" i="34"/>
  <c r="W150" i="34"/>
  <c r="V150" i="34"/>
  <c r="S150" i="34"/>
  <c r="W149" i="34"/>
  <c r="V149" i="34"/>
  <c r="S149" i="34"/>
  <c r="W148" i="34"/>
  <c r="V148" i="34"/>
  <c r="S148" i="34"/>
  <c r="W147" i="34"/>
  <c r="V147" i="34"/>
  <c r="S147" i="34"/>
  <c r="W146" i="34"/>
  <c r="V146" i="34"/>
  <c r="S146" i="34"/>
  <c r="W145" i="34"/>
  <c r="V145" i="34"/>
  <c r="S145" i="34"/>
  <c r="W144" i="34"/>
  <c r="V144" i="34"/>
  <c r="S144" i="34"/>
  <c r="W143" i="34"/>
  <c r="V143" i="34"/>
  <c r="S143" i="34"/>
  <c r="W142" i="34"/>
  <c r="V142" i="34"/>
  <c r="S142" i="34"/>
  <c r="W141" i="34"/>
  <c r="V141" i="34"/>
  <c r="S141" i="34"/>
  <c r="W140" i="34"/>
  <c r="V140" i="34"/>
  <c r="S140" i="34"/>
  <c r="W139" i="34"/>
  <c r="V139" i="34"/>
  <c r="S139" i="34"/>
  <c r="W138" i="34"/>
  <c r="V138" i="34"/>
  <c r="S138" i="34"/>
  <c r="W137" i="34"/>
  <c r="V137" i="34"/>
  <c r="S137" i="34"/>
  <c r="W136" i="34"/>
  <c r="V136" i="34"/>
  <c r="S136" i="34"/>
  <c r="W135" i="34"/>
  <c r="V135" i="34"/>
  <c r="S135" i="34"/>
  <c r="W134" i="34"/>
  <c r="V134" i="34"/>
  <c r="S134" i="34"/>
  <c r="W133" i="34"/>
  <c r="V133" i="34"/>
  <c r="S133" i="34"/>
  <c r="W132" i="34"/>
  <c r="V132" i="34"/>
  <c r="S132" i="34"/>
  <c r="W131" i="34"/>
  <c r="V131" i="34"/>
  <c r="S131" i="34"/>
  <c r="W130" i="34"/>
  <c r="V130" i="34"/>
  <c r="S130" i="34"/>
  <c r="W129" i="34"/>
  <c r="V129" i="34"/>
  <c r="S129" i="34"/>
  <c r="W128" i="34"/>
  <c r="V128" i="34"/>
  <c r="S128" i="34"/>
  <c r="W127" i="34"/>
  <c r="V127" i="34"/>
  <c r="S127" i="34"/>
  <c r="W126" i="34"/>
  <c r="V126" i="34"/>
  <c r="S126" i="34"/>
  <c r="W125" i="34"/>
  <c r="V125" i="34"/>
  <c r="S125" i="34"/>
  <c r="W124" i="34"/>
  <c r="V124" i="34"/>
  <c r="S124" i="34"/>
  <c r="W123" i="34"/>
  <c r="V123" i="34"/>
  <c r="S123" i="34"/>
  <c r="W122" i="34"/>
  <c r="V122" i="34"/>
  <c r="S122" i="34"/>
  <c r="W121" i="34"/>
  <c r="V121" i="34"/>
  <c r="S121" i="34"/>
  <c r="W120" i="34"/>
  <c r="V120" i="34"/>
  <c r="S120" i="34"/>
  <c r="W119" i="34"/>
  <c r="V119" i="34"/>
  <c r="S119" i="34"/>
  <c r="W118" i="34"/>
  <c r="V118" i="34"/>
  <c r="S118" i="34"/>
  <c r="W117" i="34"/>
  <c r="V117" i="34"/>
  <c r="S117" i="34"/>
  <c r="W116" i="34"/>
  <c r="V116" i="34"/>
  <c r="S116" i="34"/>
  <c r="W115" i="34"/>
  <c r="V115" i="34"/>
  <c r="S115" i="34"/>
  <c r="W114" i="34"/>
  <c r="V114" i="34"/>
  <c r="S114" i="34"/>
  <c r="W113" i="34"/>
  <c r="V113" i="34"/>
  <c r="S113" i="34"/>
  <c r="W112" i="34"/>
  <c r="V112" i="34"/>
  <c r="S112" i="34"/>
  <c r="W111" i="34"/>
  <c r="V111" i="34"/>
  <c r="S111" i="34"/>
  <c r="W110" i="34"/>
  <c r="V110" i="34"/>
  <c r="S110" i="34"/>
  <c r="W109" i="34"/>
  <c r="V109" i="34"/>
  <c r="S109" i="34"/>
  <c r="W108" i="34"/>
  <c r="V108" i="34"/>
  <c r="S108" i="34"/>
  <c r="W107" i="34"/>
  <c r="V107" i="34"/>
  <c r="S107" i="34"/>
  <c r="W106" i="34"/>
  <c r="V106" i="34"/>
  <c r="S106" i="34"/>
  <c r="W105" i="34"/>
  <c r="V105" i="34"/>
  <c r="S105" i="34"/>
  <c r="W104" i="34"/>
  <c r="V104" i="34"/>
  <c r="S104" i="34"/>
  <c r="W103" i="34"/>
  <c r="V103" i="34"/>
  <c r="S103" i="34"/>
  <c r="W102" i="34"/>
  <c r="V102" i="34"/>
  <c r="S102" i="34"/>
  <c r="W101" i="34"/>
  <c r="V101" i="34"/>
  <c r="S101" i="34"/>
  <c r="W100" i="34"/>
  <c r="V100" i="34"/>
  <c r="S100" i="34"/>
  <c r="W99" i="34"/>
  <c r="V99" i="34"/>
  <c r="S99" i="34"/>
  <c r="W98" i="34"/>
  <c r="V98" i="34"/>
  <c r="S98" i="34"/>
  <c r="W97" i="34"/>
  <c r="V97" i="34"/>
  <c r="S97" i="34"/>
  <c r="W96" i="34"/>
  <c r="V96" i="34"/>
  <c r="S96" i="34"/>
  <c r="W95" i="34"/>
  <c r="V95" i="34"/>
  <c r="S95" i="34"/>
  <c r="W94" i="34"/>
  <c r="V94" i="34"/>
  <c r="S94" i="34"/>
  <c r="W93" i="34"/>
  <c r="V93" i="34"/>
  <c r="S93" i="34"/>
  <c r="W92" i="34"/>
  <c r="V92" i="34"/>
  <c r="S92" i="34"/>
  <c r="W91" i="34"/>
  <c r="V91" i="34"/>
  <c r="S91" i="34"/>
  <c r="W90" i="34"/>
  <c r="V90" i="34"/>
  <c r="S90" i="34"/>
  <c r="W89" i="34"/>
  <c r="V89" i="34"/>
  <c r="S89" i="34"/>
  <c r="W88" i="34"/>
  <c r="V88" i="34"/>
  <c r="S88" i="34"/>
  <c r="W87" i="34"/>
  <c r="V87" i="34"/>
  <c r="S87" i="34"/>
  <c r="W86" i="34"/>
  <c r="V86" i="34"/>
  <c r="S86" i="34"/>
  <c r="W85" i="34"/>
  <c r="V85" i="34"/>
  <c r="S85" i="34"/>
  <c r="W84" i="34"/>
  <c r="V84" i="34"/>
  <c r="S84" i="34"/>
  <c r="W83" i="34"/>
  <c r="V83" i="34"/>
  <c r="S83" i="34"/>
  <c r="W82" i="34"/>
  <c r="V82" i="34"/>
  <c r="S82" i="34"/>
  <c r="W81" i="34"/>
  <c r="V81" i="34"/>
  <c r="S81" i="34"/>
  <c r="W80" i="34"/>
  <c r="V80" i="34"/>
  <c r="S80" i="34"/>
  <c r="W79" i="34"/>
  <c r="V79" i="34"/>
  <c r="S79" i="34"/>
  <c r="W78" i="34"/>
  <c r="V78" i="34"/>
  <c r="S78" i="34"/>
  <c r="W77" i="34"/>
  <c r="V77" i="34"/>
  <c r="S77" i="34"/>
  <c r="W76" i="34"/>
  <c r="V76" i="34"/>
  <c r="S76" i="34"/>
  <c r="W75" i="34"/>
  <c r="V75" i="34"/>
  <c r="S75" i="34"/>
  <c r="W74" i="34"/>
  <c r="V74" i="34"/>
  <c r="S74" i="34"/>
  <c r="W73" i="34"/>
  <c r="V73" i="34"/>
  <c r="S73" i="34"/>
  <c r="W72" i="34"/>
  <c r="V72" i="34"/>
  <c r="S72" i="34"/>
  <c r="W71" i="34"/>
  <c r="V71" i="34"/>
  <c r="S71" i="34"/>
  <c r="W70" i="34"/>
  <c r="V70" i="34"/>
  <c r="S70" i="34"/>
  <c r="W69" i="34"/>
  <c r="V69" i="34"/>
  <c r="S69" i="34"/>
  <c r="W68" i="34"/>
  <c r="V68" i="34"/>
  <c r="S68" i="34"/>
  <c r="W67" i="34"/>
  <c r="V67" i="34"/>
  <c r="S67" i="34"/>
  <c r="W66" i="34"/>
  <c r="V66" i="34"/>
  <c r="S66" i="34"/>
  <c r="W65" i="34"/>
  <c r="V65" i="34"/>
  <c r="S65" i="34"/>
  <c r="W64" i="34"/>
  <c r="V64" i="34"/>
  <c r="S64" i="34"/>
  <c r="W63" i="34"/>
  <c r="V63" i="34"/>
  <c r="S63" i="34"/>
  <c r="W62" i="34"/>
  <c r="V62" i="34"/>
  <c r="S62" i="34"/>
  <c r="W61" i="34"/>
  <c r="V61" i="34"/>
  <c r="S61" i="34"/>
  <c r="W60" i="34"/>
  <c r="V60" i="34"/>
  <c r="S60" i="34"/>
  <c r="W59" i="34"/>
  <c r="V59" i="34"/>
  <c r="S59" i="34"/>
  <c r="W58" i="34"/>
  <c r="V58" i="34"/>
  <c r="S58" i="34"/>
  <c r="W57" i="34"/>
  <c r="V57" i="34"/>
  <c r="S57" i="34"/>
  <c r="W56" i="34"/>
  <c r="V56" i="34"/>
  <c r="S56" i="34"/>
  <c r="W55" i="34"/>
  <c r="V55" i="34"/>
  <c r="S55" i="34"/>
  <c r="W54" i="34"/>
  <c r="V54" i="34"/>
  <c r="S54" i="34"/>
  <c r="W53" i="34"/>
  <c r="V53" i="34"/>
  <c r="S53" i="34"/>
  <c r="W52" i="34"/>
  <c r="V52" i="34"/>
  <c r="S52" i="34"/>
  <c r="W51" i="34"/>
  <c r="V51" i="34"/>
  <c r="S51" i="34"/>
  <c r="W50" i="34"/>
  <c r="V50" i="34"/>
  <c r="S50" i="34"/>
  <c r="W49" i="34"/>
  <c r="V49" i="34"/>
  <c r="S49" i="34"/>
  <c r="W48" i="34"/>
  <c r="V48" i="34"/>
  <c r="S48" i="34"/>
  <c r="W47" i="34"/>
  <c r="V47" i="34"/>
  <c r="S47" i="34"/>
  <c r="W46" i="34"/>
  <c r="V46" i="34"/>
  <c r="S46" i="34"/>
  <c r="W45" i="34"/>
  <c r="V45" i="34"/>
  <c r="S45" i="34"/>
  <c r="W44" i="34"/>
  <c r="V44" i="34"/>
  <c r="S44" i="34"/>
  <c r="W43" i="34"/>
  <c r="V43" i="34"/>
  <c r="S43" i="34"/>
  <c r="W42" i="34"/>
  <c r="V42" i="34"/>
  <c r="S42" i="34"/>
  <c r="W41" i="34"/>
  <c r="V41" i="34"/>
  <c r="S41" i="34"/>
  <c r="W40" i="34"/>
  <c r="V40" i="34"/>
  <c r="S40" i="34"/>
  <c r="W39" i="34"/>
  <c r="V39" i="34"/>
  <c r="S39" i="34"/>
  <c r="W38" i="34"/>
  <c r="V38" i="34"/>
  <c r="S38" i="34"/>
  <c r="W37" i="34"/>
  <c r="V37" i="34"/>
  <c r="S37" i="34"/>
  <c r="W36" i="34"/>
  <c r="V36" i="34"/>
  <c r="S36" i="34"/>
  <c r="W35" i="34"/>
  <c r="V35" i="34"/>
  <c r="S35" i="34"/>
  <c r="W34" i="34"/>
  <c r="V34" i="34"/>
  <c r="S34" i="34"/>
  <c r="W33" i="34"/>
  <c r="V33" i="34"/>
  <c r="S33" i="34"/>
  <c r="W32" i="34"/>
  <c r="V32" i="34"/>
  <c r="S32" i="34"/>
  <c r="W31" i="34"/>
  <c r="V31" i="34"/>
  <c r="S31" i="34"/>
  <c r="W30" i="34"/>
  <c r="V30" i="34"/>
  <c r="S30" i="34"/>
  <c r="W29" i="34"/>
  <c r="V29" i="34"/>
  <c r="S29" i="34"/>
  <c r="W28" i="34"/>
  <c r="V28" i="34"/>
  <c r="S28" i="34"/>
  <c r="W27" i="34"/>
  <c r="V27" i="34"/>
  <c r="S27" i="34"/>
  <c r="W26" i="34"/>
  <c r="V26" i="34"/>
  <c r="S26" i="34"/>
  <c r="W25" i="34"/>
  <c r="V25" i="34"/>
  <c r="S25" i="34"/>
  <c r="W24" i="34"/>
  <c r="V24" i="34"/>
  <c r="S24" i="34"/>
  <c r="W23" i="34"/>
  <c r="V23" i="34"/>
  <c r="S23" i="34"/>
  <c r="W22" i="34"/>
  <c r="V22" i="34"/>
  <c r="S22" i="34"/>
  <c r="W21" i="34"/>
  <c r="V21" i="34"/>
  <c r="S21" i="34"/>
  <c r="W20" i="34"/>
  <c r="V20" i="34"/>
  <c r="S20" i="34"/>
  <c r="W19" i="34"/>
  <c r="V19" i="34"/>
  <c r="S19" i="34"/>
  <c r="W18" i="34"/>
  <c r="V18" i="34"/>
  <c r="S18" i="34"/>
  <c r="W17" i="34"/>
  <c r="V17" i="34"/>
  <c r="S17" i="34"/>
  <c r="W16" i="34"/>
  <c r="V16" i="34"/>
  <c r="S16" i="34"/>
  <c r="W15" i="34"/>
  <c r="V15" i="34"/>
  <c r="S15" i="34"/>
  <c r="W14" i="34"/>
  <c r="V14" i="34"/>
  <c r="S14" i="34"/>
  <c r="W13" i="34"/>
  <c r="V13" i="34"/>
  <c r="S13" i="34"/>
  <c r="W12" i="34"/>
  <c r="V12" i="34"/>
  <c r="S12" i="34"/>
  <c r="W11" i="34"/>
  <c r="V11" i="34"/>
  <c r="S11" i="34"/>
  <c r="W10" i="34"/>
  <c r="V10" i="34"/>
  <c r="T10" i="34" s="1"/>
  <c r="S10" i="34"/>
  <c r="W9" i="34"/>
  <c r="V9" i="34"/>
  <c r="S9" i="34"/>
  <c r="W8" i="34"/>
  <c r="V8" i="34"/>
  <c r="T8" i="34" s="1"/>
  <c r="S8" i="34"/>
  <c r="W7" i="34"/>
  <c r="V7" i="34"/>
  <c r="S7" i="34"/>
  <c r="W6" i="34"/>
  <c r="V6" i="34"/>
  <c r="T6" i="34" s="1"/>
  <c r="S6" i="34"/>
  <c r="W5" i="34"/>
  <c r="V5" i="34"/>
  <c r="S5" i="34"/>
  <c r="W4" i="34"/>
  <c r="V4" i="34"/>
  <c r="S4" i="34"/>
  <c r="B7" i="27"/>
  <c r="O5" i="27"/>
  <c r="I14" i="27"/>
  <c r="G14" i="27"/>
  <c r="N14" i="27"/>
  <c r="M14" i="27"/>
  <c r="L14" i="27"/>
  <c r="K14" i="27"/>
  <c r="J14" i="27"/>
  <c r="E17" i="27"/>
  <c r="U14" i="27"/>
  <c r="T14" i="27"/>
  <c r="S14" i="27"/>
  <c r="O14" i="27"/>
  <c r="C14" i="27"/>
  <c r="F14" i="27"/>
  <c r="S4" i="27"/>
  <c r="A8" i="23"/>
  <c r="F2" i="43"/>
  <c r="K4" i="41"/>
  <c r="AD26" i="42"/>
  <c r="H37" i="42" s="1"/>
  <c r="AO1" i="43"/>
  <c r="G5" i="43" s="1"/>
  <c r="J29" i="42"/>
  <c r="J51" i="42"/>
  <c r="J42" i="42"/>
  <c r="S55" i="42"/>
  <c r="S46" i="42"/>
  <c r="S39" i="42"/>
  <c r="J21" i="44"/>
  <c r="J32" i="44"/>
  <c r="T394" i="34" l="1"/>
  <c r="U394" i="34" s="1"/>
  <c r="T30" i="34"/>
  <c r="U30" i="34" s="1"/>
  <c r="T134" i="34"/>
  <c r="U134" i="34" s="1"/>
  <c r="T171" i="34"/>
  <c r="U171" i="34" s="1"/>
  <c r="O701" i="34"/>
  <c r="R701" i="34"/>
  <c r="N35" i="44"/>
  <c r="W35" i="44"/>
  <c r="D35" i="44" s="1"/>
  <c r="R28" i="44"/>
  <c r="D29" i="44" s="1"/>
  <c r="V5" i="41"/>
  <c r="V6" i="41" s="1"/>
  <c r="J156" i="23"/>
  <c r="AJ28" i="23" s="1"/>
  <c r="T581" i="34"/>
  <c r="U581" i="34" s="1"/>
  <c r="T176" i="34"/>
  <c r="U176" i="34" s="1"/>
  <c r="T423" i="34"/>
  <c r="U423" i="34" s="1"/>
  <c r="T465" i="34"/>
  <c r="U465" i="34" s="1"/>
  <c r="T355" i="34"/>
  <c r="U355" i="34" s="1"/>
  <c r="T12" i="34"/>
  <c r="U12" i="34" s="1"/>
  <c r="T14" i="34"/>
  <c r="T16" i="34"/>
  <c r="U16" i="34" s="1"/>
  <c r="T18" i="34"/>
  <c r="U18" i="34" s="1"/>
  <c r="T20" i="34"/>
  <c r="U20" i="34" s="1"/>
  <c r="T22" i="34"/>
  <c r="U22" i="34" s="1"/>
  <c r="T24" i="34"/>
  <c r="U24" i="34" s="1"/>
  <c r="T26" i="34"/>
  <c r="U26" i="34" s="1"/>
  <c r="T28" i="34"/>
  <c r="U28" i="34" s="1"/>
  <c r="T32" i="34"/>
  <c r="U32" i="34" s="1"/>
  <c r="T36" i="34"/>
  <c r="U36" i="34" s="1"/>
  <c r="T38" i="34"/>
  <c r="U38" i="34" s="1"/>
  <c r="T40" i="34"/>
  <c r="U40" i="34" s="1"/>
  <c r="T42" i="34"/>
  <c r="U42" i="34" s="1"/>
  <c r="T44" i="34"/>
  <c r="U44" i="34" s="1"/>
  <c r="T46" i="34"/>
  <c r="U46" i="34" s="1"/>
  <c r="T48" i="34"/>
  <c r="U48" i="34" s="1"/>
  <c r="T50" i="34"/>
  <c r="U50" i="34" s="1"/>
  <c r="T52" i="34"/>
  <c r="U52" i="34" s="1"/>
  <c r="T54" i="34"/>
  <c r="U54" i="34" s="1"/>
  <c r="T56" i="34"/>
  <c r="U56" i="34" s="1"/>
  <c r="T58" i="34"/>
  <c r="U58" i="34" s="1"/>
  <c r="T60" i="34"/>
  <c r="U60" i="34" s="1"/>
  <c r="T62" i="34"/>
  <c r="U62" i="34" s="1"/>
  <c r="T64" i="34"/>
  <c r="U64" i="34" s="1"/>
  <c r="T66" i="34"/>
  <c r="U66" i="34" s="1"/>
  <c r="T68" i="34"/>
  <c r="U68" i="34" s="1"/>
  <c r="T70" i="34"/>
  <c r="U70" i="34" s="1"/>
  <c r="T72" i="34"/>
  <c r="U72" i="34" s="1"/>
  <c r="T74" i="34"/>
  <c r="U74" i="34" s="1"/>
  <c r="T76" i="34"/>
  <c r="U76" i="34" s="1"/>
  <c r="T78" i="34"/>
  <c r="U78" i="34" s="1"/>
  <c r="T80" i="34"/>
  <c r="U80" i="34" s="1"/>
  <c r="T82" i="34"/>
  <c r="U82" i="34" s="1"/>
  <c r="T84" i="34"/>
  <c r="U84" i="34" s="1"/>
  <c r="T86" i="34"/>
  <c r="U86" i="34" s="1"/>
  <c r="T88" i="34"/>
  <c r="U88" i="34" s="1"/>
  <c r="T90" i="34"/>
  <c r="U90" i="34" s="1"/>
  <c r="T92" i="34"/>
  <c r="U92" i="34" s="1"/>
  <c r="T94" i="34"/>
  <c r="U94" i="34" s="1"/>
  <c r="T96" i="34"/>
  <c r="U96" i="34" s="1"/>
  <c r="T98" i="34"/>
  <c r="U98" i="34" s="1"/>
  <c r="T100" i="34"/>
  <c r="U100" i="34" s="1"/>
  <c r="T102" i="34"/>
  <c r="U102" i="34" s="1"/>
  <c r="T104" i="34"/>
  <c r="U104" i="34" s="1"/>
  <c r="T106" i="34"/>
  <c r="U106" i="34" s="1"/>
  <c r="T108" i="34"/>
  <c r="U108" i="34" s="1"/>
  <c r="T110" i="34"/>
  <c r="U110" i="34" s="1"/>
  <c r="T112" i="34"/>
  <c r="U112" i="34" s="1"/>
  <c r="T114" i="34"/>
  <c r="U114" i="34" s="1"/>
  <c r="T116" i="34"/>
  <c r="U116" i="34" s="1"/>
  <c r="T118" i="34"/>
  <c r="U118" i="34" s="1"/>
  <c r="T120" i="34"/>
  <c r="U120" i="34" s="1"/>
  <c r="T122" i="34"/>
  <c r="U122" i="34" s="1"/>
  <c r="T124" i="34"/>
  <c r="U124" i="34" s="1"/>
  <c r="T126" i="34"/>
  <c r="U126" i="34" s="1"/>
  <c r="T128" i="34"/>
  <c r="U128" i="34" s="1"/>
  <c r="T130" i="34"/>
  <c r="U130" i="34" s="1"/>
  <c r="T132" i="34"/>
  <c r="U132" i="34" s="1"/>
  <c r="T136" i="34"/>
  <c r="U136" i="34" s="1"/>
  <c r="T138" i="34"/>
  <c r="U138" i="34" s="1"/>
  <c r="T302" i="34"/>
  <c r="U302" i="34" s="1"/>
  <c r="T255" i="34"/>
  <c r="U255" i="34" s="1"/>
  <c r="T4" i="34"/>
  <c r="U4" i="34" s="1"/>
  <c r="T514" i="34"/>
  <c r="U514" i="34" s="1"/>
  <c r="T462" i="34"/>
  <c r="U462" i="34" s="1"/>
  <c r="T529" i="34"/>
  <c r="U529" i="34" s="1"/>
  <c r="T356" i="34"/>
  <c r="U356" i="34" s="1"/>
  <c r="T194" i="34"/>
  <c r="U194" i="34" s="1"/>
  <c r="T371" i="34"/>
  <c r="U371" i="34" s="1"/>
  <c r="T310" i="34"/>
  <c r="U310" i="34" s="1"/>
  <c r="T418" i="34"/>
  <c r="U418" i="34" s="1"/>
  <c r="T503" i="34"/>
  <c r="U503" i="34" s="1"/>
  <c r="T623" i="34"/>
  <c r="U623" i="34" s="1"/>
  <c r="T679" i="34"/>
  <c r="U679" i="34" s="1"/>
  <c r="T312" i="34"/>
  <c r="U312" i="34" s="1"/>
  <c r="T146" i="34"/>
  <c r="U146" i="34" s="1"/>
  <c r="T370" i="34"/>
  <c r="U370" i="34" s="1"/>
  <c r="T481" i="34"/>
  <c r="U481" i="34" s="1"/>
  <c r="T583" i="34"/>
  <c r="U583" i="34" s="1"/>
  <c r="T530" i="34"/>
  <c r="U530" i="34" s="1"/>
  <c r="T549" i="34"/>
  <c r="U549" i="34" s="1"/>
  <c r="T591" i="34"/>
  <c r="U591" i="34" s="1"/>
  <c r="T519" i="34"/>
  <c r="U519" i="34" s="1"/>
  <c r="T579" i="34"/>
  <c r="U579" i="34" s="1"/>
  <c r="T627" i="34"/>
  <c r="U627" i="34" s="1"/>
  <c r="T651" i="34"/>
  <c r="U651" i="34" s="1"/>
  <c r="T675" i="34"/>
  <c r="U675" i="34" s="1"/>
  <c r="T678" i="34"/>
  <c r="U678" i="34" s="1"/>
  <c r="T654" i="34"/>
  <c r="U654" i="34" s="1"/>
  <c r="T630" i="34"/>
  <c r="U630" i="34" s="1"/>
  <c r="T689" i="34"/>
  <c r="U689" i="34" s="1"/>
  <c r="T665" i="34"/>
  <c r="U665" i="34" s="1"/>
  <c r="T641" i="34"/>
  <c r="U641" i="34" s="1"/>
  <c r="T617" i="34"/>
  <c r="U617" i="34" s="1"/>
  <c r="T593" i="34"/>
  <c r="U593" i="34" s="1"/>
  <c r="T658" i="34"/>
  <c r="U658" i="34" s="1"/>
  <c r="T693" i="34"/>
  <c r="U693" i="34" s="1"/>
  <c r="T645" i="34"/>
  <c r="U645" i="34" s="1"/>
  <c r="T597" i="34"/>
  <c r="U597" i="34" s="1"/>
  <c r="T553" i="34"/>
  <c r="U553" i="34" s="1"/>
  <c r="T570" i="34"/>
  <c r="U570" i="34" s="1"/>
  <c r="T436" i="34"/>
  <c r="U436" i="34" s="1"/>
  <c r="T392" i="34"/>
  <c r="U392" i="34" s="1"/>
  <c r="T505" i="34"/>
  <c r="U505" i="34" s="1"/>
  <c r="T461" i="34"/>
  <c r="U461" i="34" s="1"/>
  <c r="T574" i="34"/>
  <c r="U574" i="34" s="1"/>
  <c r="T421" i="34"/>
  <c r="U421" i="34" s="1"/>
  <c r="T546" i="34"/>
  <c r="U546" i="34" s="1"/>
  <c r="T363" i="34"/>
  <c r="U363" i="34" s="1"/>
  <c r="T166" i="34"/>
  <c r="U166" i="34" s="1"/>
  <c r="T243" i="34"/>
  <c r="U243" i="34" s="1"/>
  <c r="T315" i="34"/>
  <c r="U315" i="34" s="1"/>
  <c r="T333" i="34"/>
  <c r="U333" i="34" s="1"/>
  <c r="T467" i="34"/>
  <c r="U467" i="34" s="1"/>
  <c r="T241" i="34"/>
  <c r="U241" i="34" s="1"/>
  <c r="T526" i="34"/>
  <c r="U526" i="34" s="1"/>
  <c r="T631" i="34"/>
  <c r="U631" i="34" s="1"/>
  <c r="T663" i="34"/>
  <c r="U663" i="34" s="1"/>
  <c r="T687" i="34"/>
  <c r="U687" i="34" s="1"/>
  <c r="T321" i="34"/>
  <c r="U321" i="34" s="1"/>
  <c r="T186" i="34"/>
  <c r="U186" i="34" s="1"/>
  <c r="T405" i="34"/>
  <c r="U405" i="34" s="1"/>
  <c r="T592" i="34"/>
  <c r="U592" i="34" s="1"/>
  <c r="T498" i="34"/>
  <c r="U498" i="34" s="1"/>
  <c r="T556" i="34"/>
  <c r="U556" i="34" s="1"/>
  <c r="T264" i="34"/>
  <c r="U264" i="34" s="1"/>
  <c r="T81" i="34"/>
  <c r="U81" i="34" s="1"/>
  <c r="T487" i="34"/>
  <c r="U487" i="34" s="1"/>
  <c r="T564" i="34"/>
  <c r="U564" i="34" s="1"/>
  <c r="T611" i="34"/>
  <c r="U611" i="34" s="1"/>
  <c r="T635" i="34"/>
  <c r="U635" i="34" s="1"/>
  <c r="T582" i="34"/>
  <c r="U582" i="34" s="1"/>
  <c r="T278" i="34"/>
  <c r="U278" i="34" s="1"/>
  <c r="T386" i="34"/>
  <c r="U386" i="34" s="1"/>
  <c r="T618" i="34"/>
  <c r="U618" i="34" s="1"/>
  <c r="T567" i="34"/>
  <c r="U567" i="34" s="1"/>
  <c r="T595" i="34"/>
  <c r="U595" i="34" s="1"/>
  <c r="T639" i="34"/>
  <c r="U639" i="34" s="1"/>
  <c r="T466" i="34"/>
  <c r="U466" i="34" s="1"/>
  <c r="T236" i="34"/>
  <c r="U236" i="34" s="1"/>
  <c r="T342" i="34"/>
  <c r="U342" i="34" s="1"/>
  <c r="T607" i="34"/>
  <c r="U607" i="34" s="1"/>
  <c r="T444" i="34"/>
  <c r="U444" i="34" s="1"/>
  <c r="T692" i="34"/>
  <c r="U692" i="34" s="1"/>
  <c r="T680" i="34"/>
  <c r="U680" i="34" s="1"/>
  <c r="T668" i="34"/>
  <c r="U668" i="34" s="1"/>
  <c r="T656" i="34"/>
  <c r="U656" i="34" s="1"/>
  <c r="T644" i="34"/>
  <c r="U644" i="34" s="1"/>
  <c r="T632" i="34"/>
  <c r="U632" i="34" s="1"/>
  <c r="T620" i="34"/>
  <c r="U620" i="34" s="1"/>
  <c r="T603" i="34"/>
  <c r="U603" i="34" s="1"/>
  <c r="T555" i="34"/>
  <c r="U555" i="34" s="1"/>
  <c r="T572" i="34"/>
  <c r="U572" i="34" s="1"/>
  <c r="T518" i="34"/>
  <c r="U518" i="34" s="1"/>
  <c r="T495" i="34"/>
  <c r="U495" i="34" s="1"/>
  <c r="T559" i="34"/>
  <c r="U559" i="34" s="1"/>
  <c r="T206" i="34"/>
  <c r="U206" i="34" s="1"/>
  <c r="T162" i="34"/>
  <c r="U162" i="34" s="1"/>
  <c r="T142" i="34"/>
  <c r="U142" i="34" s="1"/>
  <c r="T220" i="34"/>
  <c r="U220" i="34" s="1"/>
  <c r="T419" i="34"/>
  <c r="U419" i="34" s="1"/>
  <c r="T524" i="34"/>
  <c r="U524" i="34" s="1"/>
  <c r="T388" i="34"/>
  <c r="U388" i="34" s="1"/>
  <c r="T634" i="34"/>
  <c r="U634" i="34" s="1"/>
  <c r="T577" i="34"/>
  <c r="U577" i="34" s="1"/>
  <c r="T586" i="34"/>
  <c r="U586" i="34" s="1"/>
  <c r="T428" i="34"/>
  <c r="U428" i="34" s="1"/>
  <c r="T368" i="34"/>
  <c r="U368" i="34" s="1"/>
  <c r="T463" i="34"/>
  <c r="U463" i="34" s="1"/>
  <c r="T566" i="34"/>
  <c r="U566" i="34" s="1"/>
  <c r="T476" i="34"/>
  <c r="U476" i="34" s="1"/>
  <c r="T292" i="34"/>
  <c r="U292" i="34" s="1"/>
  <c r="T399" i="34"/>
  <c r="U399" i="34" s="1"/>
  <c r="T411" i="34"/>
  <c r="U411" i="34" s="1"/>
  <c r="T329" i="34"/>
  <c r="U329" i="34" s="1"/>
  <c r="T285" i="34"/>
  <c r="U285" i="34" s="1"/>
  <c r="T204" i="34"/>
  <c r="U204" i="34" s="1"/>
  <c r="T205" i="34"/>
  <c r="U205" i="34" s="1"/>
  <c r="T185" i="34"/>
  <c r="U185" i="34" s="1"/>
  <c r="T161" i="34"/>
  <c r="U161" i="34" s="1"/>
  <c r="T180" i="34"/>
  <c r="U180" i="34" s="1"/>
  <c r="T156" i="34"/>
  <c r="U156" i="34" s="1"/>
  <c r="T121" i="34"/>
  <c r="U121" i="34" s="1"/>
  <c r="T87" i="34"/>
  <c r="U87" i="34" s="1"/>
  <c r="T25" i="34"/>
  <c r="U25" i="34" s="1"/>
  <c r="T538" i="34"/>
  <c r="U538" i="34" s="1"/>
  <c r="T500" i="34"/>
  <c r="U500" i="34" s="1"/>
  <c r="T208" i="34"/>
  <c r="U208" i="34" s="1"/>
  <c r="T294" i="34"/>
  <c r="U294" i="34" s="1"/>
  <c r="T381" i="34"/>
  <c r="U381" i="34" s="1"/>
  <c r="T416" i="34"/>
  <c r="U416" i="34" s="1"/>
  <c r="T494" i="34"/>
  <c r="U494" i="34" s="1"/>
  <c r="T470" i="34"/>
  <c r="U470" i="34" s="1"/>
  <c r="T647" i="34"/>
  <c r="U647" i="34" s="1"/>
  <c r="T389" i="34"/>
  <c r="U389" i="34" s="1"/>
  <c r="T491" i="34"/>
  <c r="U491" i="34" s="1"/>
  <c r="T348" i="34"/>
  <c r="U348" i="34" s="1"/>
  <c r="T453" i="34"/>
  <c r="U453" i="34" s="1"/>
  <c r="T688" i="34"/>
  <c r="U688" i="34" s="1"/>
  <c r="T676" i="34"/>
  <c r="U676" i="34" s="1"/>
  <c r="T664" i="34"/>
  <c r="U664" i="34" s="1"/>
  <c r="T652" i="34"/>
  <c r="U652" i="34" s="1"/>
  <c r="T640" i="34"/>
  <c r="U640" i="34" s="1"/>
  <c r="T628" i="34"/>
  <c r="U628" i="34" s="1"/>
  <c r="T616" i="34"/>
  <c r="U616" i="34" s="1"/>
  <c r="T587" i="34"/>
  <c r="U587" i="34" s="1"/>
  <c r="T478" i="34"/>
  <c r="U478" i="34" s="1"/>
  <c r="T532" i="34"/>
  <c r="U532" i="34" s="1"/>
  <c r="T511" i="34"/>
  <c r="U511" i="34" s="1"/>
  <c r="T486" i="34"/>
  <c r="U486" i="34" s="1"/>
  <c r="T259" i="34"/>
  <c r="U259" i="34" s="1"/>
  <c r="T183" i="34"/>
  <c r="U183" i="34" s="1"/>
  <c r="T143" i="34"/>
  <c r="U143" i="34" s="1"/>
  <c r="T257" i="34"/>
  <c r="U257" i="34" s="1"/>
  <c r="T284" i="34"/>
  <c r="U284" i="34" s="1"/>
  <c r="T435" i="34"/>
  <c r="U435" i="34" s="1"/>
  <c r="T15" i="34"/>
  <c r="U15" i="34" s="1"/>
  <c r="T469" i="34"/>
  <c r="U469" i="34" s="1"/>
  <c r="T299" i="34"/>
  <c r="U299" i="34" s="1"/>
  <c r="T346" i="34"/>
  <c r="U346" i="34" s="1"/>
  <c r="T254" i="34"/>
  <c r="U254" i="34" s="1"/>
  <c r="T580" i="34"/>
  <c r="U580" i="34" s="1"/>
  <c r="T560" i="34"/>
  <c r="U560" i="34" s="1"/>
  <c r="T434" i="34"/>
  <c r="U434" i="34" s="1"/>
  <c r="T684" i="34"/>
  <c r="U684" i="34" s="1"/>
  <c r="T660" i="34"/>
  <c r="U660" i="34" s="1"/>
  <c r="T636" i="34"/>
  <c r="U636" i="34" s="1"/>
  <c r="T700" i="34"/>
  <c r="U700" i="34" s="1"/>
  <c r="T596" i="34"/>
  <c r="U596" i="34" s="1"/>
  <c r="T502" i="34"/>
  <c r="U502" i="34" s="1"/>
  <c r="T250" i="34"/>
  <c r="U250" i="34" s="1"/>
  <c r="T229" i="34"/>
  <c r="U229" i="34" s="1"/>
  <c r="T360" i="34"/>
  <c r="U360" i="34" s="1"/>
  <c r="T508" i="34"/>
  <c r="U508" i="34" s="1"/>
  <c r="T562" i="34"/>
  <c r="U562" i="34" s="1"/>
  <c r="T477" i="34"/>
  <c r="U477" i="34" s="1"/>
  <c r="T272" i="34"/>
  <c r="U272" i="34" s="1"/>
  <c r="T347" i="34"/>
  <c r="U347" i="34" s="1"/>
  <c r="T188" i="34"/>
  <c r="U188" i="34" s="1"/>
  <c r="T137" i="34"/>
  <c r="U137" i="34" s="1"/>
  <c r="T650" i="34"/>
  <c r="U650" i="34" s="1"/>
  <c r="T472" i="34"/>
  <c r="U472" i="34" s="1"/>
  <c r="T380" i="34"/>
  <c r="U380" i="34" s="1"/>
  <c r="T534" i="34"/>
  <c r="U534" i="34" s="1"/>
  <c r="T268" i="34"/>
  <c r="U268" i="34" s="1"/>
  <c r="T427" i="34"/>
  <c r="U427" i="34" s="1"/>
  <c r="T273" i="34"/>
  <c r="U273" i="34" s="1"/>
  <c r="T217" i="34"/>
  <c r="U217" i="34" s="1"/>
  <c r="T149" i="34"/>
  <c r="U149" i="34" s="1"/>
  <c r="T97" i="34"/>
  <c r="U97" i="34" s="1"/>
  <c r="T109" i="34"/>
  <c r="U109" i="34" s="1"/>
  <c r="T85" i="34"/>
  <c r="U85" i="34" s="1"/>
  <c r="T131" i="34"/>
  <c r="U131" i="34" s="1"/>
  <c r="T210" i="34"/>
  <c r="U210" i="34" s="1"/>
  <c r="T103" i="34"/>
  <c r="U103" i="34" s="1"/>
  <c r="T226" i="34"/>
  <c r="U226" i="34" s="1"/>
  <c r="T178" i="34"/>
  <c r="U178" i="34" s="1"/>
  <c r="T343" i="34"/>
  <c r="U343" i="34" s="1"/>
  <c r="T402" i="34"/>
  <c r="U402" i="34" s="1"/>
  <c r="T105" i="34"/>
  <c r="U105" i="34" s="1"/>
  <c r="T543" i="34"/>
  <c r="U543" i="34" s="1"/>
  <c r="T277" i="34"/>
  <c r="U277" i="34" s="1"/>
  <c r="T604" i="34"/>
  <c r="U604" i="34" s="1"/>
  <c r="T659" i="34"/>
  <c r="U659" i="34" s="1"/>
  <c r="T694" i="34"/>
  <c r="U694" i="34" s="1"/>
  <c r="T646" i="34"/>
  <c r="U646" i="34" s="1"/>
  <c r="T681" i="34"/>
  <c r="U681" i="34" s="1"/>
  <c r="T633" i="34"/>
  <c r="U633" i="34" s="1"/>
  <c r="T690" i="34"/>
  <c r="U690" i="34" s="1"/>
  <c r="T677" i="34"/>
  <c r="U677" i="34" s="1"/>
  <c r="T61" i="34"/>
  <c r="U61" i="34" s="1"/>
  <c r="T262" i="34"/>
  <c r="U262" i="34" s="1"/>
  <c r="T655" i="34"/>
  <c r="U655" i="34" s="1"/>
  <c r="T667" i="34"/>
  <c r="U667" i="34" s="1"/>
  <c r="T686" i="34"/>
  <c r="U686" i="34" s="1"/>
  <c r="T638" i="34"/>
  <c r="U638" i="34" s="1"/>
  <c r="T673" i="34"/>
  <c r="U673" i="34" s="1"/>
  <c r="T625" i="34"/>
  <c r="U625" i="34" s="1"/>
  <c r="T674" i="34"/>
  <c r="U674" i="34" s="1"/>
  <c r="T661" i="34"/>
  <c r="U661" i="34" s="1"/>
  <c r="T573" i="34"/>
  <c r="U573" i="34" s="1"/>
  <c r="T456" i="34"/>
  <c r="U456" i="34" s="1"/>
  <c r="T525" i="34"/>
  <c r="U525" i="34" s="1"/>
  <c r="T614" i="34"/>
  <c r="U614" i="34" s="1"/>
  <c r="T488" i="34"/>
  <c r="U488" i="34" s="1"/>
  <c r="T296" i="34"/>
  <c r="U296" i="34" s="1"/>
  <c r="T653" i="34"/>
  <c r="U653" i="34" s="1"/>
  <c r="T440" i="34"/>
  <c r="U440" i="34" s="1"/>
  <c r="T542" i="34"/>
  <c r="U542" i="34" s="1"/>
  <c r="T260" i="34"/>
  <c r="U260" i="34" s="1"/>
  <c r="T265" i="34"/>
  <c r="U265" i="34" s="1"/>
  <c r="T233" i="34"/>
  <c r="U233" i="34" s="1"/>
  <c r="T148" i="34"/>
  <c r="U148" i="34" s="1"/>
  <c r="T37" i="34"/>
  <c r="U37" i="34" s="1"/>
  <c r="T669" i="34"/>
  <c r="U669" i="34" s="1"/>
  <c r="T610" i="34"/>
  <c r="U610" i="34" s="1"/>
  <c r="T517" i="34"/>
  <c r="U517" i="34" s="1"/>
  <c r="T516" i="34"/>
  <c r="U516" i="34" s="1"/>
  <c r="T281" i="34"/>
  <c r="U281" i="34" s="1"/>
  <c r="T214" i="34"/>
  <c r="U214" i="34" s="1"/>
  <c r="T540" i="34"/>
  <c r="U540" i="34" s="1"/>
  <c r="T671" i="34"/>
  <c r="U671" i="34" s="1"/>
  <c r="T450" i="34"/>
  <c r="U450" i="34" s="1"/>
  <c r="T507" i="34"/>
  <c r="U507" i="34" s="1"/>
  <c r="T207" i="34"/>
  <c r="U207" i="34" s="1"/>
  <c r="T619" i="34"/>
  <c r="U619" i="34" s="1"/>
  <c r="T523" i="34"/>
  <c r="U523" i="34" s="1"/>
  <c r="T696" i="34"/>
  <c r="U696" i="34" s="1"/>
  <c r="T672" i="34"/>
  <c r="U672" i="34" s="1"/>
  <c r="T420" i="34"/>
  <c r="U420" i="34" s="1"/>
  <c r="T160" i="34"/>
  <c r="U160" i="34" s="1"/>
  <c r="T365" i="34"/>
  <c r="U365" i="34" s="1"/>
  <c r="T201" i="34"/>
  <c r="U201" i="34" s="1"/>
  <c r="T699" i="34"/>
  <c r="U699" i="34" s="1"/>
  <c r="T695" i="34"/>
  <c r="U695" i="34" s="1"/>
  <c r="T437" i="34"/>
  <c r="U437" i="34" s="1"/>
  <c r="T539" i="34"/>
  <c r="U539" i="34" s="1"/>
  <c r="T510" i="34"/>
  <c r="U510" i="34" s="1"/>
  <c r="T643" i="34"/>
  <c r="U643" i="34" s="1"/>
  <c r="T691" i="34"/>
  <c r="U691" i="34" s="1"/>
  <c r="T662" i="34"/>
  <c r="U662" i="34" s="1"/>
  <c r="T698" i="34"/>
  <c r="U698" i="34" s="1"/>
  <c r="T649" i="34"/>
  <c r="U649" i="34" s="1"/>
  <c r="T601" i="34"/>
  <c r="U601" i="34" s="1"/>
  <c r="T626" i="34"/>
  <c r="U626" i="34" s="1"/>
  <c r="T613" i="34"/>
  <c r="U613" i="34" s="1"/>
  <c r="T594" i="34"/>
  <c r="U594" i="34" s="1"/>
  <c r="T404" i="34"/>
  <c r="U404" i="34" s="1"/>
  <c r="T471" i="34"/>
  <c r="U471" i="34" s="1"/>
  <c r="T520" i="34"/>
  <c r="U520" i="34" s="1"/>
  <c r="T336" i="34"/>
  <c r="U336" i="34" s="1"/>
  <c r="T697" i="34"/>
  <c r="U697" i="34" s="1"/>
  <c r="T412" i="34"/>
  <c r="U412" i="34" s="1"/>
  <c r="T598" i="34"/>
  <c r="U598" i="34" s="1"/>
  <c r="T364" i="34"/>
  <c r="U364" i="34" s="1"/>
  <c r="T297" i="34"/>
  <c r="U297" i="34" s="1"/>
  <c r="T177" i="34"/>
  <c r="U177" i="34" s="1"/>
  <c r="T164" i="34"/>
  <c r="U164" i="34" s="1"/>
  <c r="T117" i="34"/>
  <c r="U117" i="34" s="1"/>
  <c r="T557" i="34"/>
  <c r="U557" i="34" s="1"/>
  <c r="T396" i="34"/>
  <c r="U396" i="34" s="1"/>
  <c r="T489" i="34"/>
  <c r="U489" i="34" s="1"/>
  <c r="T344" i="34"/>
  <c r="U344" i="34" s="1"/>
  <c r="T340" i="34"/>
  <c r="U340" i="34" s="1"/>
  <c r="T337" i="34"/>
  <c r="U337" i="34" s="1"/>
  <c r="T496" i="34"/>
  <c r="U496" i="34" s="1"/>
  <c r="T648" i="34"/>
  <c r="U648" i="34" s="1"/>
  <c r="T527" i="34"/>
  <c r="U527" i="34" s="1"/>
  <c r="T585" i="34"/>
  <c r="U585" i="34" s="1"/>
  <c r="T621" i="34"/>
  <c r="U621" i="34" s="1"/>
  <c r="T563" i="34"/>
  <c r="U563" i="34" s="1"/>
  <c r="T683" i="34"/>
  <c r="U683" i="34" s="1"/>
  <c r="T670" i="34"/>
  <c r="U670" i="34" s="1"/>
  <c r="T609" i="34"/>
  <c r="U609" i="34" s="1"/>
  <c r="T468" i="34"/>
  <c r="U468" i="34" s="1"/>
  <c r="T447" i="34"/>
  <c r="U447" i="34" s="1"/>
  <c r="T308" i="34"/>
  <c r="U308" i="34" s="1"/>
  <c r="T172" i="34"/>
  <c r="U172" i="34" s="1"/>
  <c r="T39" i="34"/>
  <c r="U39" i="34" s="1"/>
  <c r="T504" i="34"/>
  <c r="U504" i="34" s="1"/>
  <c r="T415" i="34"/>
  <c r="U415" i="34" s="1"/>
  <c r="T224" i="34"/>
  <c r="U224" i="34" s="1"/>
  <c r="T141" i="34"/>
  <c r="U141" i="34" s="1"/>
  <c r="T99" i="34"/>
  <c r="U99" i="34" s="1"/>
  <c r="T147" i="34"/>
  <c r="U147" i="34" s="1"/>
  <c r="T159" i="34"/>
  <c r="U159" i="34" s="1"/>
  <c r="T685" i="34"/>
  <c r="U685" i="34" s="1"/>
  <c r="T432" i="34"/>
  <c r="U432" i="34" s="1"/>
  <c r="T485" i="34"/>
  <c r="U485" i="34" s="1"/>
  <c r="T484" i="34"/>
  <c r="U484" i="34" s="1"/>
  <c r="T256" i="34"/>
  <c r="U256" i="34" s="1"/>
  <c r="T331" i="34"/>
  <c r="U331" i="34" s="1"/>
  <c r="T248" i="34"/>
  <c r="U248" i="34" s="1"/>
  <c r="T63" i="34"/>
  <c r="U63" i="34" s="1"/>
  <c r="T184" i="34"/>
  <c r="U184" i="34" s="1"/>
  <c r="T129" i="34"/>
  <c r="U129" i="34" s="1"/>
  <c r="T43" i="34"/>
  <c r="U43" i="34" s="1"/>
  <c r="T202" i="34"/>
  <c r="U202" i="34" s="1"/>
  <c r="T179" i="34"/>
  <c r="U179" i="34" s="1"/>
  <c r="T234" i="34"/>
  <c r="U234" i="34" s="1"/>
  <c r="T222" i="34"/>
  <c r="U222" i="34" s="1"/>
  <c r="T219" i="34"/>
  <c r="U219" i="34" s="1"/>
  <c r="T246" i="34"/>
  <c r="U246" i="34" s="1"/>
  <c r="T279" i="34"/>
  <c r="U279" i="34" s="1"/>
  <c r="T303" i="34"/>
  <c r="U303" i="34" s="1"/>
  <c r="T335" i="34"/>
  <c r="U335" i="34" s="1"/>
  <c r="T375" i="34"/>
  <c r="U375" i="34" s="1"/>
  <c r="T274" i="34"/>
  <c r="U274" i="34" s="1"/>
  <c r="T298" i="34"/>
  <c r="U298" i="34" s="1"/>
  <c r="T325" i="34"/>
  <c r="U325" i="34" s="1"/>
  <c r="T369" i="34"/>
  <c r="U369" i="34" s="1"/>
  <c r="T338" i="34"/>
  <c r="U338" i="34" s="1"/>
  <c r="T393" i="34"/>
  <c r="U393" i="34" s="1"/>
  <c r="T417" i="34"/>
  <c r="U417" i="34" s="1"/>
  <c r="T475" i="34"/>
  <c r="U475" i="34" s="1"/>
  <c r="T446" i="34"/>
  <c r="U446" i="34" s="1"/>
  <c r="T350" i="34"/>
  <c r="U350" i="34" s="1"/>
  <c r="T382" i="34"/>
  <c r="U382" i="34" s="1"/>
  <c r="T406" i="34"/>
  <c r="U406" i="34" s="1"/>
  <c r="T433" i="34"/>
  <c r="U433" i="34" s="1"/>
  <c r="T457" i="34"/>
  <c r="U457" i="34" s="1"/>
  <c r="T552" i="34"/>
  <c r="U552" i="34" s="1"/>
  <c r="T600" i="34"/>
  <c r="U600" i="34" s="1"/>
  <c r="T535" i="34"/>
  <c r="U535" i="34" s="1"/>
  <c r="T197" i="34"/>
  <c r="U197" i="34" s="1"/>
  <c r="T624" i="34"/>
  <c r="U624" i="34" s="1"/>
  <c r="T599" i="34"/>
  <c r="U599" i="34" s="1"/>
  <c r="T339" i="34"/>
  <c r="U339" i="34" s="1"/>
  <c r="T541" i="34"/>
  <c r="U541" i="34" s="1"/>
  <c r="T493" i="34"/>
  <c r="U493" i="34" s="1"/>
  <c r="T622" i="34"/>
  <c r="U622" i="34" s="1"/>
  <c r="T642" i="34"/>
  <c r="U642" i="34" s="1"/>
  <c r="T480" i="34"/>
  <c r="U480" i="34" s="1"/>
  <c r="T439" i="34"/>
  <c r="U439" i="34" s="1"/>
  <c r="T316" i="34"/>
  <c r="U316" i="34" s="1"/>
  <c r="T561" i="34"/>
  <c r="U561" i="34" s="1"/>
  <c r="T384" i="34"/>
  <c r="U384" i="34" s="1"/>
  <c r="T196" i="34"/>
  <c r="U196" i="34" s="1"/>
  <c r="T169" i="34"/>
  <c r="U169" i="34" s="1"/>
  <c r="T51" i="34"/>
  <c r="U51" i="34" s="1"/>
  <c r="T452" i="34"/>
  <c r="U452" i="34" s="1"/>
  <c r="T443" i="34"/>
  <c r="U443" i="34" s="1"/>
  <c r="T320" i="34"/>
  <c r="U320" i="34" s="1"/>
  <c r="T391" i="34"/>
  <c r="U391" i="34" s="1"/>
  <c r="T323" i="34"/>
  <c r="U323" i="34" s="1"/>
  <c r="T261" i="34"/>
  <c r="U261" i="34" s="1"/>
  <c r="T115" i="34"/>
  <c r="U115" i="34" s="1"/>
  <c r="T119" i="34"/>
  <c r="U119" i="34" s="1"/>
  <c r="T151" i="34"/>
  <c r="U151" i="34" s="1"/>
  <c r="T163" i="34"/>
  <c r="U163" i="34" s="1"/>
  <c r="T569" i="34"/>
  <c r="U569" i="34" s="1"/>
  <c r="T376" i="34"/>
  <c r="U376" i="34" s="1"/>
  <c r="T455" i="34"/>
  <c r="U455" i="34" s="1"/>
  <c r="T300" i="34"/>
  <c r="U300" i="34" s="1"/>
  <c r="T332" i="34"/>
  <c r="U332" i="34" s="1"/>
  <c r="T313" i="34"/>
  <c r="U313" i="34" s="1"/>
  <c r="T200" i="34"/>
  <c r="U200" i="34" s="1"/>
  <c r="T181" i="34"/>
  <c r="U181" i="34" s="1"/>
  <c r="T168" i="34"/>
  <c r="U168" i="34" s="1"/>
  <c r="T59" i="34"/>
  <c r="U59" i="34" s="1"/>
  <c r="T101" i="34"/>
  <c r="U101" i="34" s="1"/>
  <c r="T31" i="34"/>
  <c r="U31" i="34" s="1"/>
  <c r="T45" i="34"/>
  <c r="U45" i="34" s="1"/>
  <c r="T158" i="34"/>
  <c r="U158" i="34" s="1"/>
  <c r="T195" i="34"/>
  <c r="U195" i="34" s="1"/>
  <c r="T65" i="34"/>
  <c r="U65" i="34" s="1"/>
  <c r="T238" i="34"/>
  <c r="U238" i="34" s="1"/>
  <c r="T235" i="34"/>
  <c r="U235" i="34" s="1"/>
  <c r="T263" i="34"/>
  <c r="U263" i="34" s="1"/>
  <c r="T287" i="34"/>
  <c r="U287" i="34" s="1"/>
  <c r="T311" i="34"/>
  <c r="U311" i="34" s="1"/>
  <c r="T351" i="34"/>
  <c r="U351" i="34" s="1"/>
  <c r="T258" i="34"/>
  <c r="U258" i="34" s="1"/>
  <c r="T282" i="34"/>
  <c r="U282" i="34" s="1"/>
  <c r="T306" i="34"/>
  <c r="U306" i="34" s="1"/>
  <c r="T341" i="34"/>
  <c r="U341" i="34" s="1"/>
  <c r="T377" i="34"/>
  <c r="U377" i="34" s="1"/>
  <c r="T354" i="34"/>
  <c r="U354" i="34" s="1"/>
  <c r="T401" i="34"/>
  <c r="U401" i="34" s="1"/>
  <c r="T425" i="34"/>
  <c r="U425" i="34" s="1"/>
  <c r="T430" i="34"/>
  <c r="U430" i="34" s="1"/>
  <c r="T454" i="34"/>
  <c r="U454" i="34" s="1"/>
  <c r="T366" i="34"/>
  <c r="U366" i="34" s="1"/>
  <c r="T390" i="34"/>
  <c r="U390" i="34" s="1"/>
  <c r="T414" i="34"/>
  <c r="U414" i="34" s="1"/>
  <c r="T441" i="34"/>
  <c r="U441" i="34" s="1"/>
  <c r="T473" i="34"/>
  <c r="U473" i="34" s="1"/>
  <c r="T568" i="34"/>
  <c r="U568" i="34" s="1"/>
  <c r="T458" i="34"/>
  <c r="U458" i="34" s="1"/>
  <c r="T682" i="34"/>
  <c r="U682" i="34" s="1"/>
  <c r="T657" i="34"/>
  <c r="U657" i="34" s="1"/>
  <c r="T629" i="34"/>
  <c r="U629" i="34" s="1"/>
  <c r="T424" i="34"/>
  <c r="U424" i="34" s="1"/>
  <c r="T550" i="34"/>
  <c r="U550" i="34" s="1"/>
  <c r="T521" i="34"/>
  <c r="U521" i="34" s="1"/>
  <c r="T492" i="34"/>
  <c r="U492" i="34" s="1"/>
  <c r="T153" i="34"/>
  <c r="U153" i="34" s="1"/>
  <c r="T140" i="34"/>
  <c r="U140" i="34" s="1"/>
  <c r="T590" i="34"/>
  <c r="U590" i="34" s="1"/>
  <c r="T305" i="34"/>
  <c r="U305" i="34" s="1"/>
  <c r="T83" i="34"/>
  <c r="U83" i="34" s="1"/>
  <c r="T135" i="34"/>
  <c r="U135" i="34" s="1"/>
  <c r="T155" i="34"/>
  <c r="U155" i="34" s="1"/>
  <c r="T167" i="34"/>
  <c r="U167" i="34" s="1"/>
  <c r="T578" i="34"/>
  <c r="U578" i="34" s="1"/>
  <c r="T513" i="34"/>
  <c r="U513" i="34" s="1"/>
  <c r="T558" i="34"/>
  <c r="U558" i="34" s="1"/>
  <c r="T276" i="34"/>
  <c r="U276" i="34" s="1"/>
  <c r="T403" i="34"/>
  <c r="U403" i="34" s="1"/>
  <c r="T269" i="34"/>
  <c r="U269" i="34" s="1"/>
  <c r="T67" i="34"/>
  <c r="U67" i="34" s="1"/>
  <c r="T165" i="34"/>
  <c r="U165" i="34" s="1"/>
  <c r="T152" i="34"/>
  <c r="U152" i="34" s="1"/>
  <c r="T55" i="34"/>
  <c r="U55" i="34" s="1"/>
  <c r="T33" i="34"/>
  <c r="U33" i="34" s="1"/>
  <c r="T107" i="34"/>
  <c r="U107" i="34" s="1"/>
  <c r="T127" i="34"/>
  <c r="U127" i="34" s="1"/>
  <c r="T170" i="34"/>
  <c r="U170" i="34" s="1"/>
  <c r="T191" i="34"/>
  <c r="U191" i="34" s="1"/>
  <c r="T223" i="34"/>
  <c r="U223" i="34" s="1"/>
  <c r="T215" i="34"/>
  <c r="U215" i="34" s="1"/>
  <c r="T242" i="34"/>
  <c r="U242" i="34" s="1"/>
  <c r="T271" i="34"/>
  <c r="U271" i="34" s="1"/>
  <c r="T295" i="34"/>
  <c r="U295" i="34" s="1"/>
  <c r="T319" i="34"/>
  <c r="U319" i="34" s="1"/>
  <c r="T367" i="34"/>
  <c r="U367" i="34" s="1"/>
  <c r="T266" i="34"/>
  <c r="U266" i="34" s="1"/>
  <c r="T290" i="34"/>
  <c r="U290" i="34" s="1"/>
  <c r="T314" i="34"/>
  <c r="U314" i="34" s="1"/>
  <c r="T357" i="34"/>
  <c r="U357" i="34" s="1"/>
  <c r="T322" i="34"/>
  <c r="U322" i="34" s="1"/>
  <c r="T385" i="34"/>
  <c r="U385" i="34" s="1"/>
  <c r="T409" i="34"/>
  <c r="U409" i="34" s="1"/>
  <c r="T459" i="34"/>
  <c r="U459" i="34" s="1"/>
  <c r="T438" i="34"/>
  <c r="U438" i="34" s="1"/>
  <c r="T334" i="34"/>
  <c r="U334" i="34" s="1"/>
  <c r="T374" i="34"/>
  <c r="U374" i="34" s="1"/>
  <c r="T398" i="34"/>
  <c r="U398" i="34" s="1"/>
  <c r="T422" i="34"/>
  <c r="U422" i="34" s="1"/>
  <c r="T449" i="34"/>
  <c r="U449" i="34" s="1"/>
  <c r="T536" i="34"/>
  <c r="U536" i="34" s="1"/>
  <c r="T497" i="34"/>
  <c r="U497" i="34" s="1"/>
  <c r="T352" i="34"/>
  <c r="U352" i="34" s="1"/>
  <c r="T71" i="34"/>
  <c r="U71" i="34" s="1"/>
  <c r="T35" i="34"/>
  <c r="U35" i="34" s="1"/>
  <c r="T280" i="34"/>
  <c r="U280" i="34" s="1"/>
  <c r="T293" i="34"/>
  <c r="U293" i="34" s="1"/>
  <c r="T237" i="34"/>
  <c r="U237" i="34" s="1"/>
  <c r="T89" i="34"/>
  <c r="U89" i="34" s="1"/>
  <c r="T23" i="34"/>
  <c r="U23" i="34" s="1"/>
  <c r="T154" i="34"/>
  <c r="U154" i="34" s="1"/>
  <c r="T187" i="34"/>
  <c r="U187" i="34" s="1"/>
  <c r="T247" i="34"/>
  <c r="U247" i="34" s="1"/>
  <c r="T547" i="34"/>
  <c r="U547" i="34" s="1"/>
  <c r="T548" i="34"/>
  <c r="U548" i="34" s="1"/>
  <c r="T515" i="34"/>
  <c r="U515" i="34" s="1"/>
  <c r="T490" i="34"/>
  <c r="U490" i="34" s="1"/>
  <c r="T551" i="34"/>
  <c r="U551" i="34" s="1"/>
  <c r="T576" i="34"/>
  <c r="U576" i="34" s="1"/>
  <c r="T445" i="34"/>
  <c r="U445" i="34" s="1"/>
  <c r="T397" i="34"/>
  <c r="U397" i="34" s="1"/>
  <c r="T326" i="34"/>
  <c r="U326" i="34" s="1"/>
  <c r="T426" i="34"/>
  <c r="U426" i="34" s="1"/>
  <c r="T362" i="34"/>
  <c r="U362" i="34" s="1"/>
  <c r="T349" i="34"/>
  <c r="U349" i="34" s="1"/>
  <c r="T286" i="34"/>
  <c r="U286" i="34" s="1"/>
  <c r="T359" i="34"/>
  <c r="U359" i="34" s="1"/>
  <c r="T291" i="34"/>
  <c r="U291" i="34" s="1"/>
  <c r="T218" i="34"/>
  <c r="U218" i="34" s="1"/>
  <c r="T198" i="34"/>
  <c r="U198" i="34" s="1"/>
  <c r="T150" i="34"/>
  <c r="U150" i="34" s="1"/>
  <c r="T252" i="34"/>
  <c r="U252" i="34" s="1"/>
  <c r="T17" i="34"/>
  <c r="U17" i="34" s="1"/>
  <c r="T501" i="34"/>
  <c r="U501" i="34" s="1"/>
  <c r="T221" i="34"/>
  <c r="U221" i="34" s="1"/>
  <c r="T474" i="34"/>
  <c r="U474" i="34" s="1"/>
  <c r="T565" i="34"/>
  <c r="U565" i="34" s="1"/>
  <c r="T400" i="34"/>
  <c r="U400" i="34" s="1"/>
  <c r="T451" i="34"/>
  <c r="U451" i="34" s="1"/>
  <c r="T328" i="34"/>
  <c r="U328" i="34" s="1"/>
  <c r="T395" i="34"/>
  <c r="U395" i="34" s="1"/>
  <c r="T289" i="34"/>
  <c r="U289" i="34" s="1"/>
  <c r="T249" i="34"/>
  <c r="U249" i="34" s="1"/>
  <c r="T145" i="34"/>
  <c r="U145" i="34" s="1"/>
  <c r="T193" i="34"/>
  <c r="U193" i="34" s="1"/>
  <c r="T133" i="34"/>
  <c r="U133" i="34" s="1"/>
  <c r="T157" i="34"/>
  <c r="U157" i="34" s="1"/>
  <c r="T301" i="34"/>
  <c r="U301" i="34" s="1"/>
  <c r="T288" i="34"/>
  <c r="U288" i="34" s="1"/>
  <c r="T448" i="34"/>
  <c r="U448" i="34" s="1"/>
  <c r="T666" i="34"/>
  <c r="U666" i="34" s="1"/>
  <c r="T75" i="34"/>
  <c r="U75" i="34" s="1"/>
  <c r="T47" i="34"/>
  <c r="U47" i="34" s="1"/>
  <c r="T605" i="34"/>
  <c r="U605" i="34" s="1"/>
  <c r="T431" i="34"/>
  <c r="U431" i="34" s="1"/>
  <c r="T240" i="34"/>
  <c r="U240" i="34" s="1"/>
  <c r="T212" i="34"/>
  <c r="U212" i="34" s="1"/>
  <c r="T53" i="34"/>
  <c r="U53" i="34" s="1"/>
  <c r="T93" i="34"/>
  <c r="U93" i="34" s="1"/>
  <c r="T111" i="34"/>
  <c r="U111" i="34" s="1"/>
  <c r="T175" i="34"/>
  <c r="U175" i="34" s="1"/>
  <c r="T199" i="34"/>
  <c r="U199" i="34" s="1"/>
  <c r="T251" i="34"/>
  <c r="U251" i="34" s="1"/>
  <c r="T612" i="34"/>
  <c r="U612" i="34" s="1"/>
  <c r="T531" i="34"/>
  <c r="U531" i="34" s="1"/>
  <c r="T506" i="34"/>
  <c r="U506" i="34" s="1"/>
  <c r="T615" i="34"/>
  <c r="U615" i="34" s="1"/>
  <c r="T482" i="34"/>
  <c r="U482" i="34" s="1"/>
  <c r="T544" i="34"/>
  <c r="U544" i="34" s="1"/>
  <c r="T429" i="34"/>
  <c r="U429" i="34" s="1"/>
  <c r="T378" i="34"/>
  <c r="U378" i="34" s="1"/>
  <c r="T442" i="34"/>
  <c r="U442" i="34" s="1"/>
  <c r="T410" i="34"/>
  <c r="U410" i="34" s="1"/>
  <c r="T330" i="34"/>
  <c r="U330" i="34" s="1"/>
  <c r="T318" i="34"/>
  <c r="U318" i="34" s="1"/>
  <c r="T270" i="34"/>
  <c r="U270" i="34" s="1"/>
  <c r="T327" i="34"/>
  <c r="U327" i="34" s="1"/>
  <c r="T275" i="34"/>
  <c r="U275" i="34" s="1"/>
  <c r="T230" i="34"/>
  <c r="U230" i="34" s="1"/>
  <c r="T190" i="34"/>
  <c r="U190" i="34" s="1"/>
  <c r="T95" i="34"/>
  <c r="U95" i="34" s="1"/>
  <c r="T21" i="34"/>
  <c r="U21" i="34" s="1"/>
  <c r="T174" i="34"/>
  <c r="U174" i="34" s="1"/>
  <c r="T533" i="34"/>
  <c r="U533" i="34" s="1"/>
  <c r="T317" i="34"/>
  <c r="U317" i="34" s="1"/>
  <c r="T408" i="34"/>
  <c r="U408" i="34" s="1"/>
  <c r="T304" i="34"/>
  <c r="U304" i="34" s="1"/>
  <c r="T245" i="34"/>
  <c r="U245" i="34" s="1"/>
  <c r="T49" i="34"/>
  <c r="U49" i="34" s="1"/>
  <c r="T637" i="34"/>
  <c r="U637" i="34" s="1"/>
  <c r="T464" i="34"/>
  <c r="U464" i="34" s="1"/>
  <c r="T479" i="34"/>
  <c r="U479" i="34" s="1"/>
  <c r="T512" i="34"/>
  <c r="U512" i="34" s="1"/>
  <c r="T383" i="34"/>
  <c r="U383" i="34" s="1"/>
  <c r="T309" i="34"/>
  <c r="U309" i="34" s="1"/>
  <c r="T228" i="34"/>
  <c r="U228" i="34" s="1"/>
  <c r="T216" i="34"/>
  <c r="U216" i="34" s="1"/>
  <c r="T125" i="34"/>
  <c r="U125" i="34" s="1"/>
  <c r="T13" i="34"/>
  <c r="T589" i="34"/>
  <c r="U589" i="34" s="1"/>
  <c r="T554" i="34"/>
  <c r="U554" i="34" s="1"/>
  <c r="T253" i="34"/>
  <c r="U253" i="34" s="1"/>
  <c r="T57" i="34"/>
  <c r="U57" i="34" s="1"/>
  <c r="T522" i="34"/>
  <c r="U522" i="34" s="1"/>
  <c r="T608" i="34"/>
  <c r="U608" i="34" s="1"/>
  <c r="T358" i="34"/>
  <c r="U358" i="34" s="1"/>
  <c r="T373" i="34"/>
  <c r="U373" i="34" s="1"/>
  <c r="T307" i="34"/>
  <c r="U307" i="34" s="1"/>
  <c r="T192" i="34"/>
  <c r="U192" i="34" s="1"/>
  <c r="T528" i="34"/>
  <c r="U528" i="34" s="1"/>
  <c r="T225" i="34"/>
  <c r="U225" i="34" s="1"/>
  <c r="T606" i="34"/>
  <c r="U606" i="34" s="1"/>
  <c r="T244" i="34"/>
  <c r="U244" i="34" s="1"/>
  <c r="T144" i="34"/>
  <c r="U144" i="34" s="1"/>
  <c r="T345" i="34"/>
  <c r="U345" i="34" s="1"/>
  <c r="T602" i="34"/>
  <c r="U602" i="34" s="1"/>
  <c r="T113" i="34"/>
  <c r="U113" i="34" s="1"/>
  <c r="T571" i="34"/>
  <c r="U571" i="34" s="1"/>
  <c r="T324" i="34"/>
  <c r="U324" i="34" s="1"/>
  <c r="T387" i="34"/>
  <c r="U387" i="34" s="1"/>
  <c r="T27" i="34"/>
  <c r="U27" i="34" s="1"/>
  <c r="T545" i="34"/>
  <c r="U545" i="34" s="1"/>
  <c r="T232" i="34"/>
  <c r="U232" i="34" s="1"/>
  <c r="T584" i="34"/>
  <c r="U584" i="34" s="1"/>
  <c r="T509" i="34"/>
  <c r="U509" i="34" s="1"/>
  <c r="T353" i="34"/>
  <c r="U353" i="34" s="1"/>
  <c r="T91" i="34"/>
  <c r="U91" i="34" s="1"/>
  <c r="T73" i="34"/>
  <c r="U73" i="34" s="1"/>
  <c r="T139" i="34"/>
  <c r="U139" i="34" s="1"/>
  <c r="T209" i="34"/>
  <c r="U209" i="34" s="1"/>
  <c r="T575" i="34"/>
  <c r="U575" i="34" s="1"/>
  <c r="T182" i="34"/>
  <c r="U182" i="34" s="1"/>
  <c r="T34" i="34"/>
  <c r="U34" i="34" s="1"/>
  <c r="T407" i="34"/>
  <c r="U407" i="34" s="1"/>
  <c r="T213" i="34"/>
  <c r="U213" i="34" s="1"/>
  <c r="T537" i="34"/>
  <c r="U537" i="34" s="1"/>
  <c r="T361" i="34"/>
  <c r="U361" i="34" s="1"/>
  <c r="T11" i="34"/>
  <c r="T239" i="34"/>
  <c r="U239" i="34" s="1"/>
  <c r="T483" i="34"/>
  <c r="U483" i="34" s="1"/>
  <c r="T499" i="34"/>
  <c r="U499" i="34" s="1"/>
  <c r="T69" i="34"/>
  <c r="U69" i="34" s="1"/>
  <c r="T372" i="34"/>
  <c r="U372" i="34" s="1"/>
  <c r="T460" i="34"/>
  <c r="U460" i="34" s="1"/>
  <c r="T189" i="34"/>
  <c r="U189" i="34" s="1"/>
  <c r="T379" i="34"/>
  <c r="U379" i="34" s="1"/>
  <c r="T413" i="34"/>
  <c r="U413" i="34" s="1"/>
  <c r="T588" i="34"/>
  <c r="U588" i="34" s="1"/>
  <c r="T203" i="34"/>
  <c r="U203" i="34" s="1"/>
  <c r="T7" i="34"/>
  <c r="U7" i="34" s="1"/>
  <c r="T9" i="34"/>
  <c r="T19" i="34"/>
  <c r="U19" i="34" s="1"/>
  <c r="T29" i="34"/>
  <c r="U29" i="34" s="1"/>
  <c r="T41" i="34"/>
  <c r="U41" i="34" s="1"/>
  <c r="T77" i="34"/>
  <c r="U77" i="34" s="1"/>
  <c r="T79" i="34"/>
  <c r="U79" i="34" s="1"/>
  <c r="T173" i="34"/>
  <c r="U173" i="34" s="1"/>
  <c r="T211" i="34"/>
  <c r="U211" i="34" s="1"/>
  <c r="T227" i="34"/>
  <c r="U227" i="34" s="1"/>
  <c r="T231" i="34"/>
  <c r="U231" i="34" s="1"/>
  <c r="T267" i="34"/>
  <c r="U267" i="34" s="1"/>
  <c r="T283" i="34"/>
  <c r="U283" i="34" s="1"/>
  <c r="T5" i="34"/>
  <c r="U5" i="34" s="1"/>
  <c r="T123" i="34"/>
  <c r="U123" i="34" s="1"/>
  <c r="T72" i="42"/>
  <c r="T56" i="42"/>
  <c r="T83" i="42"/>
  <c r="T100" i="42"/>
  <c r="T111" i="42"/>
  <c r="T59" i="42"/>
  <c r="T96" i="42"/>
  <c r="T40" i="42"/>
  <c r="T79" i="42"/>
  <c r="T116" i="42"/>
  <c r="T60" i="42"/>
  <c r="T92" i="42"/>
  <c r="T124" i="42"/>
  <c r="T61" i="42"/>
  <c r="T85" i="42"/>
  <c r="T109" i="42"/>
  <c r="T133" i="42"/>
  <c r="S83" i="42"/>
  <c r="S95" i="42"/>
  <c r="S67" i="42"/>
  <c r="S110" i="42"/>
  <c r="S94" i="42"/>
  <c r="S109" i="42"/>
  <c r="S57" i="42"/>
  <c r="S73" i="42"/>
  <c r="S101" i="42"/>
  <c r="S58" i="42"/>
  <c r="S131" i="42"/>
  <c r="S85" i="42"/>
  <c r="S69" i="42"/>
  <c r="S116" i="42"/>
  <c r="S92" i="42"/>
  <c r="S68" i="42"/>
  <c r="S118" i="42"/>
  <c r="S86" i="42"/>
  <c r="S54" i="42"/>
  <c r="S115" i="42"/>
  <c r="S132" i="42"/>
  <c r="S108" i="42"/>
  <c r="S84" i="42"/>
  <c r="S52" i="42"/>
  <c r="S107" i="42"/>
  <c r="S75" i="42"/>
  <c r="T118" i="42"/>
  <c r="T62" i="42"/>
  <c r="T84" i="42"/>
  <c r="U35" i="42"/>
  <c r="T112" i="42"/>
  <c r="T67" i="42"/>
  <c r="T104" i="42"/>
  <c r="T45" i="42"/>
  <c r="T80" i="42"/>
  <c r="T134" i="42"/>
  <c r="T66" i="42"/>
  <c r="T98" i="42"/>
  <c r="T130" i="42"/>
  <c r="T65" i="42"/>
  <c r="T89" i="42"/>
  <c r="T113" i="42"/>
  <c r="T137" i="42"/>
  <c r="W99" i="42"/>
  <c r="W50" i="42"/>
  <c r="W126" i="42"/>
  <c r="W42" i="42"/>
  <c r="W61" i="42"/>
  <c r="W78" i="42"/>
  <c r="W105" i="42"/>
  <c r="W71" i="42"/>
  <c r="W70" i="42"/>
  <c r="W123" i="42"/>
  <c r="W98" i="42"/>
  <c r="W114" i="42"/>
  <c r="W97" i="42"/>
  <c r="W125" i="42"/>
  <c r="W51" i="42"/>
  <c r="W115" i="42"/>
  <c r="W134" i="42"/>
  <c r="W86" i="42"/>
  <c r="W120" i="42"/>
  <c r="W96" i="42"/>
  <c r="W72" i="42"/>
  <c r="W138" i="42"/>
  <c r="W106" i="42"/>
  <c r="W74" i="42"/>
  <c r="W39" i="42"/>
  <c r="W81" i="42"/>
  <c r="W91" i="42"/>
  <c r="W110" i="42"/>
  <c r="W135" i="42"/>
  <c r="W107" i="42"/>
  <c r="W40" i="42"/>
  <c r="W89" i="42"/>
  <c r="W136" i="42"/>
  <c r="W112" i="42"/>
  <c r="W88" i="42"/>
  <c r="W64" i="42"/>
  <c r="W127" i="42"/>
  <c r="W95" i="42"/>
  <c r="W63" i="42"/>
  <c r="W55" i="42"/>
  <c r="W73" i="42"/>
  <c r="W83" i="42"/>
  <c r="T126" i="42"/>
  <c r="T63" i="42"/>
  <c r="T90" i="42"/>
  <c r="T99" i="42"/>
  <c r="T120" i="42"/>
  <c r="T68" i="42"/>
  <c r="T122" i="42"/>
  <c r="T51" i="42"/>
  <c r="T88" i="42"/>
  <c r="T42" i="42"/>
  <c r="T71" i="42"/>
  <c r="T103" i="42"/>
  <c r="T135" i="42"/>
  <c r="T69" i="42"/>
  <c r="T93" i="42"/>
  <c r="T117" i="42"/>
  <c r="R30" i="42"/>
  <c r="O30" i="42"/>
  <c r="M30" i="42"/>
  <c r="O32" i="42"/>
  <c r="R32" i="42"/>
  <c r="AL4" i="44"/>
  <c r="AL3" i="44"/>
  <c r="AL2" i="44" s="1"/>
  <c r="L17" i="44" s="1"/>
  <c r="T44" i="42"/>
  <c r="T47" i="42"/>
  <c r="T74" i="42"/>
  <c r="T128" i="42"/>
  <c r="T102" i="42"/>
  <c r="T41" i="42"/>
  <c r="T94" i="42"/>
  <c r="T131" i="42"/>
  <c r="T70" i="42"/>
  <c r="T107" i="42"/>
  <c r="T50" i="42"/>
  <c r="T82" i="42"/>
  <c r="T114" i="42"/>
  <c r="T53" i="42"/>
  <c r="T77" i="42"/>
  <c r="T101" i="42"/>
  <c r="O35" i="44"/>
  <c r="AE57" i="23" s="1"/>
  <c r="G100" i="42"/>
  <c r="O100" i="42" s="1"/>
  <c r="G46" i="42"/>
  <c r="O46" i="42" s="1"/>
  <c r="G84" i="42"/>
  <c r="O84" i="42" s="1"/>
  <c r="G121" i="42"/>
  <c r="O121" i="42" s="1"/>
  <c r="G50" i="42"/>
  <c r="O50" i="42" s="1"/>
  <c r="G96" i="42"/>
  <c r="O96" i="42" s="1"/>
  <c r="G108" i="42"/>
  <c r="O108" i="42" s="1"/>
  <c r="G51" i="42"/>
  <c r="O51" i="42" s="1"/>
  <c r="G75" i="42"/>
  <c r="O75" i="42" s="1"/>
  <c r="G95" i="42"/>
  <c r="O95" i="42" s="1"/>
  <c r="G131" i="42"/>
  <c r="O131" i="42" s="1"/>
  <c r="L119" i="42"/>
  <c r="J119" i="42" s="1"/>
  <c r="AW88" i="44" s="1"/>
  <c r="AU88" i="44" s="1"/>
  <c r="S103" i="42"/>
  <c r="R77" i="42"/>
  <c r="L59" i="42"/>
  <c r="M125" i="42"/>
  <c r="G125" i="42" s="1"/>
  <c r="O125" i="42" s="1"/>
  <c r="L92" i="42"/>
  <c r="J92" i="42" s="1"/>
  <c r="AW61" i="44" s="1"/>
  <c r="AU61" i="44" s="1"/>
  <c r="R78" i="42"/>
  <c r="L66" i="42"/>
  <c r="J66" i="42" s="1"/>
  <c r="AW35" i="44" s="1"/>
  <c r="L48" i="42"/>
  <c r="S130" i="42"/>
  <c r="S122" i="42"/>
  <c r="L110" i="42"/>
  <c r="J110" i="42" s="1"/>
  <c r="AW79" i="44" s="1"/>
  <c r="S93" i="42"/>
  <c r="L82" i="42"/>
  <c r="J82" i="42" s="1"/>
  <c r="AW51" i="44" s="1"/>
  <c r="L67" i="42"/>
  <c r="J67" i="42" s="1"/>
  <c r="AW36" i="44" s="1"/>
  <c r="AU36" i="44" s="1"/>
  <c r="S47" i="42"/>
  <c r="M47" i="42"/>
  <c r="M73" i="42"/>
  <c r="G73" i="42" s="1"/>
  <c r="O73" i="42" s="1"/>
  <c r="L75" i="42"/>
  <c r="J75" i="42" s="1"/>
  <c r="R56" i="42"/>
  <c r="L80" i="42"/>
  <c r="J80" i="42" s="1"/>
  <c r="AW49" i="44" s="1"/>
  <c r="AU49" i="44" s="1"/>
  <c r="R93" i="42"/>
  <c r="W19" i="44"/>
  <c r="D19" i="44" s="1"/>
  <c r="J135" i="23"/>
  <c r="AA130" i="23" s="1"/>
  <c r="AI130" i="23" s="1"/>
  <c r="J120" i="23" s="1"/>
  <c r="AJ24" i="23" s="1"/>
  <c r="N28" i="44"/>
  <c r="G98" i="42"/>
  <c r="O98" i="42" s="1"/>
  <c r="G53" i="42"/>
  <c r="O53" i="42" s="1"/>
  <c r="G64" i="42"/>
  <c r="O64" i="42" s="1"/>
  <c r="G137" i="42"/>
  <c r="O137" i="42" s="1"/>
  <c r="G56" i="42"/>
  <c r="O56" i="42" s="1"/>
  <c r="G93" i="42"/>
  <c r="O93" i="42" s="1"/>
  <c r="G69" i="42"/>
  <c r="O69" i="42" s="1"/>
  <c r="G133" i="42"/>
  <c r="O133" i="42" s="1"/>
  <c r="G65" i="42"/>
  <c r="O65" i="42" s="1"/>
  <c r="G92" i="42"/>
  <c r="O92" i="42" s="1"/>
  <c r="G118" i="42"/>
  <c r="O118" i="42" s="1"/>
  <c r="G83" i="42"/>
  <c r="O83" i="42" s="1"/>
  <c r="G119" i="42"/>
  <c r="O119" i="42" s="1"/>
  <c r="R130" i="42"/>
  <c r="S111" i="42"/>
  <c r="L99" i="42"/>
  <c r="J99" i="42" s="1"/>
  <c r="AW68" i="44" s="1"/>
  <c r="AU68" i="44" s="1"/>
  <c r="R68" i="42"/>
  <c r="L50" i="42"/>
  <c r="L135" i="42"/>
  <c r="J135" i="42" s="1"/>
  <c r="AW104" i="44" s="1"/>
  <c r="BI104" i="44" s="1"/>
  <c r="L118" i="42"/>
  <c r="J118" i="42" s="1"/>
  <c r="AW87" i="44" s="1"/>
  <c r="L103" i="42"/>
  <c r="J103" i="42" s="1"/>
  <c r="AW72" i="44" s="1"/>
  <c r="M74" i="42"/>
  <c r="G74" i="42" s="1"/>
  <c r="O74" i="42" s="1"/>
  <c r="S43" i="42"/>
  <c r="M88" i="42"/>
  <c r="G88" i="42" s="1"/>
  <c r="O88" i="42" s="1"/>
  <c r="L76" i="42"/>
  <c r="J76" i="42" s="1"/>
  <c r="AW45" i="44" s="1"/>
  <c r="AU45" i="44" s="1"/>
  <c r="S119" i="42"/>
  <c r="L136" i="42"/>
  <c r="J136" i="42" s="1"/>
  <c r="AW105" i="44" s="1"/>
  <c r="AU105" i="44" s="1"/>
  <c r="L45" i="42"/>
  <c r="L62" i="42"/>
  <c r="J62" i="42" s="1"/>
  <c r="AW31" i="44" s="1"/>
  <c r="M28" i="42"/>
  <c r="L128" i="42"/>
  <c r="J128" i="42" s="1"/>
  <c r="AW97" i="44" s="1"/>
  <c r="AU97" i="44" s="1"/>
  <c r="W20" i="44"/>
  <c r="D20" i="44" s="1"/>
  <c r="W24" i="44"/>
  <c r="D24" i="44" s="1"/>
  <c r="D28" i="44"/>
  <c r="M8" i="44"/>
  <c r="M12" i="44" s="1"/>
  <c r="AA49" i="23" s="1"/>
  <c r="G126" i="42"/>
  <c r="O126" i="42" s="1"/>
  <c r="G72" i="42"/>
  <c r="O72" i="42" s="1"/>
  <c r="W22" i="44"/>
  <c r="D22" i="44" s="1"/>
  <c r="G134" i="42"/>
  <c r="O134" i="42" s="1"/>
  <c r="G71" i="42"/>
  <c r="O71" i="42" s="1"/>
  <c r="G111" i="42"/>
  <c r="O111" i="42" s="1"/>
  <c r="G82" i="42"/>
  <c r="O82" i="42" s="1"/>
  <c r="G90" i="42"/>
  <c r="O90" i="42" s="1"/>
  <c r="L88" i="42"/>
  <c r="J88" i="42" s="1"/>
  <c r="AW57" i="44" s="1"/>
  <c r="L71" i="42"/>
  <c r="J71" i="42" s="1"/>
  <c r="AW40" i="44" s="1"/>
  <c r="O29" i="42"/>
  <c r="W21" i="44"/>
  <c r="D21" i="44" s="1"/>
  <c r="AA97" i="23"/>
  <c r="AI3" i="23"/>
  <c r="L3" i="42" s="1"/>
  <c r="M17" i="44"/>
  <c r="O5" i="43"/>
  <c r="S6" i="43"/>
  <c r="AW107" i="44"/>
  <c r="AU107" i="44" s="1"/>
  <c r="AJ5" i="41"/>
  <c r="AJ6" i="41" s="1"/>
  <c r="AJ8" i="41"/>
  <c r="AE6" i="43"/>
  <c r="Y5" i="43"/>
  <c r="AF6" i="43"/>
  <c r="U6" i="43"/>
  <c r="V5" i="43"/>
  <c r="AF8" i="41"/>
  <c r="AI28" i="23"/>
  <c r="B28" i="23" s="1"/>
  <c r="AL112" i="23"/>
  <c r="AE112" i="23" s="1"/>
  <c r="X5" i="43"/>
  <c r="P6" i="43"/>
  <c r="AG5" i="43"/>
  <c r="M8" i="41"/>
  <c r="AC5" i="43"/>
  <c r="AC6" i="43"/>
  <c r="I64" i="44"/>
  <c r="BE3" i="44"/>
  <c r="H81" i="44"/>
  <c r="J83" i="44"/>
  <c r="W26" i="44"/>
  <c r="D26" i="44" s="1"/>
  <c r="W23" i="44"/>
  <c r="D23" i="44" s="1"/>
  <c r="BC3" i="44"/>
  <c r="L12" i="44"/>
  <c r="R31" i="42"/>
  <c r="F28" i="44"/>
  <c r="D86" i="44" s="1"/>
  <c r="R29" i="44"/>
  <c r="Q29" i="44" s="1"/>
  <c r="B8" i="44"/>
  <c r="B12" i="44" s="1"/>
  <c r="Q37" i="44"/>
  <c r="F81" i="44" s="1"/>
  <c r="AA57" i="23"/>
  <c r="AI57" i="23" s="1"/>
  <c r="R38" i="44"/>
  <c r="D85" i="44" s="1"/>
  <c r="AA86" i="23"/>
  <c r="AI86" i="23" s="1"/>
  <c r="J143" i="23"/>
  <c r="AJ27" i="23" s="1"/>
  <c r="AA54" i="23"/>
  <c r="AI54" i="23" s="1"/>
  <c r="AJ33" i="23"/>
  <c r="AA93" i="23"/>
  <c r="AI93" i="23" s="1"/>
  <c r="AI97" i="23"/>
  <c r="AW76" i="44"/>
  <c r="AU76" i="44" s="1"/>
  <c r="AW96" i="44"/>
  <c r="AU96" i="44" s="1"/>
  <c r="AW53" i="44"/>
  <c r="AU53" i="44" s="1"/>
  <c r="AW37" i="44"/>
  <c r="AU37" i="44" s="1"/>
  <c r="AW15" i="44"/>
  <c r="AU15" i="44" s="1"/>
  <c r="AW74" i="44"/>
  <c r="AU74" i="44" s="1"/>
  <c r="AW106" i="44"/>
  <c r="AU106" i="44" s="1"/>
  <c r="BL12" i="44"/>
  <c r="AW77" i="44"/>
  <c r="AU77" i="44" s="1"/>
  <c r="AW30" i="44"/>
  <c r="AU30" i="44" s="1"/>
  <c r="AW78" i="44"/>
  <c r="AU78" i="44" s="1"/>
  <c r="AW63" i="44"/>
  <c r="AU63" i="44" s="1"/>
  <c r="AW100" i="44"/>
  <c r="AU100" i="44" s="1"/>
  <c r="AW89" i="44"/>
  <c r="AU89" i="44" s="1"/>
  <c r="AW60" i="44"/>
  <c r="AU60" i="44" s="1"/>
  <c r="BL9" i="44"/>
  <c r="BL8" i="44"/>
  <c r="AW33" i="44"/>
  <c r="AU33" i="44" s="1"/>
  <c r="AW43" i="44"/>
  <c r="AU43" i="44" s="1"/>
  <c r="AW67" i="44"/>
  <c r="AU67" i="44" s="1"/>
  <c r="AW8" i="44"/>
  <c r="AY8" i="44" s="1"/>
  <c r="AW52" i="44"/>
  <c r="AU52" i="44" s="1"/>
  <c r="H6" i="43"/>
  <c r="AH4" i="43"/>
  <c r="AW48" i="44"/>
  <c r="AU48" i="44" s="1"/>
  <c r="AW65" i="44"/>
  <c r="AU65" i="44" s="1"/>
  <c r="AW56" i="44"/>
  <c r="AU56" i="44" s="1"/>
  <c r="AW86" i="44"/>
  <c r="AU86" i="44" s="1"/>
  <c r="AW41" i="44"/>
  <c r="AU41" i="44" s="1"/>
  <c r="AW11" i="44"/>
  <c r="AU11" i="44" s="1"/>
  <c r="AW91" i="44"/>
  <c r="AU91" i="44" s="1"/>
  <c r="AW90" i="44"/>
  <c r="AU90" i="44" s="1"/>
  <c r="AW102" i="44"/>
  <c r="AU102" i="44" s="1"/>
  <c r="AW38" i="44"/>
  <c r="AU38" i="44" s="1"/>
  <c r="AW93" i="44"/>
  <c r="AU93" i="44" s="1"/>
  <c r="AW54" i="44"/>
  <c r="AU54" i="44" s="1"/>
  <c r="AW58" i="44"/>
  <c r="AU58" i="44" s="1"/>
  <c r="AW59" i="44"/>
  <c r="AU59" i="44" s="1"/>
  <c r="AW92" i="44"/>
  <c r="AU92" i="44" s="1"/>
  <c r="AW42" i="44"/>
  <c r="AU42" i="44" s="1"/>
  <c r="AW71" i="44"/>
  <c r="AW55" i="44"/>
  <c r="BA55" i="44" s="1"/>
  <c r="AW83" i="44"/>
  <c r="AU83" i="44" s="1"/>
  <c r="S51" i="42"/>
  <c r="AW20" i="44"/>
  <c r="AU20" i="44" s="1"/>
  <c r="AK8" i="41"/>
  <c r="P8" i="41"/>
  <c r="AW81" i="44"/>
  <c r="AU81" i="44" s="1"/>
  <c r="AW75" i="44"/>
  <c r="AU75" i="44" s="1"/>
  <c r="AW101" i="44"/>
  <c r="AU101" i="44" s="1"/>
  <c r="AW80" i="44"/>
  <c r="AU80" i="44" s="1"/>
  <c r="AW70" i="44"/>
  <c r="AU70" i="44" s="1"/>
  <c r="AW69" i="44"/>
  <c r="AU69" i="44" s="1"/>
  <c r="AW32" i="44"/>
  <c r="AU32" i="44" s="1"/>
  <c r="AW46" i="44"/>
  <c r="AY46" i="44" s="1"/>
  <c r="AW62" i="44"/>
  <c r="AU62" i="44" s="1"/>
  <c r="AW94" i="44"/>
  <c r="AU94" i="44" s="1"/>
  <c r="S41" i="42"/>
  <c r="AW10" i="44"/>
  <c r="AU10" i="44" s="1"/>
  <c r="W5" i="41"/>
  <c r="W6" i="41" s="1"/>
  <c r="AD5" i="41"/>
  <c r="AD6" i="41" s="1"/>
  <c r="AW44" i="44"/>
  <c r="AU44" i="44" s="1"/>
  <c r="AW99" i="44"/>
  <c r="AU99" i="44" s="1"/>
  <c r="AW85" i="44"/>
  <c r="AU85" i="44" s="1"/>
  <c r="AW64" i="44"/>
  <c r="AU64" i="44" s="1"/>
  <c r="AW34" i="44"/>
  <c r="AU34" i="44" s="1"/>
  <c r="AW50" i="44"/>
  <c r="AU50" i="44" s="1"/>
  <c r="AW66" i="44"/>
  <c r="AU66" i="44" s="1"/>
  <c r="AW82" i="44"/>
  <c r="AU82" i="44" s="1"/>
  <c r="AW98" i="44"/>
  <c r="AU98" i="44" s="1"/>
  <c r="AW84" i="44"/>
  <c r="AU84" i="44" s="1"/>
  <c r="S56" i="42"/>
  <c r="AW25" i="44"/>
  <c r="AU25" i="44" s="1"/>
  <c r="AW24" i="44"/>
  <c r="AU24" i="44" s="1"/>
  <c r="AW73" i="44"/>
  <c r="AU73" i="44" s="1"/>
  <c r="AW95" i="44"/>
  <c r="AU95" i="44" s="1"/>
  <c r="AW47" i="44"/>
  <c r="AU47" i="44" s="1"/>
  <c r="AW39" i="44"/>
  <c r="AU39" i="44" s="1"/>
  <c r="AW103" i="44"/>
  <c r="AU103" i="44" s="1"/>
  <c r="C20" i="43"/>
  <c r="AA5" i="41"/>
  <c r="AL114" i="23"/>
  <c r="L8" i="41"/>
  <c r="AB5" i="41"/>
  <c r="U5" i="41"/>
  <c r="AA8" i="41"/>
  <c r="S5" i="41"/>
  <c r="S6" i="41" s="1"/>
  <c r="M5" i="43"/>
  <c r="P5" i="43"/>
  <c r="L6" i="43"/>
  <c r="I5" i="43"/>
  <c r="M5" i="41"/>
  <c r="AI8" i="41"/>
  <c r="W8" i="41"/>
  <c r="AH5" i="41"/>
  <c r="AG8" i="41"/>
  <c r="O8" i="41"/>
  <c r="AH8" i="41"/>
  <c r="V8" i="41"/>
  <c r="Y8" i="41"/>
  <c r="K5" i="41"/>
  <c r="K6" i="41" s="1"/>
  <c r="W5" i="43"/>
  <c r="O6" i="43"/>
  <c r="X6" i="43"/>
  <c r="F6" i="43"/>
  <c r="Q6" i="43"/>
  <c r="Y6" i="43"/>
  <c r="N58" i="42"/>
  <c r="N120" i="42"/>
  <c r="N109" i="42"/>
  <c r="N94" i="42"/>
  <c r="N73" i="42"/>
  <c r="N81" i="42"/>
  <c r="N68" i="42"/>
  <c r="N61" i="42"/>
  <c r="N62" i="42"/>
  <c r="N134" i="42"/>
  <c r="N64" i="42"/>
  <c r="N131" i="42"/>
  <c r="N110" i="42"/>
  <c r="N63" i="42"/>
  <c r="N92" i="42"/>
  <c r="N93" i="42"/>
  <c r="N49" i="42"/>
  <c r="N70" i="42"/>
  <c r="N72" i="42"/>
  <c r="N66" i="42"/>
  <c r="N129" i="42"/>
  <c r="N106" i="42"/>
  <c r="N116" i="42"/>
  <c r="N103" i="42"/>
  <c r="N86" i="42"/>
  <c r="N83" i="42"/>
  <c r="N107" i="42"/>
  <c r="N96" i="42"/>
  <c r="N98" i="42"/>
  <c r="N85" i="42"/>
  <c r="N118" i="42"/>
  <c r="N105" i="42"/>
  <c r="N53" i="42"/>
  <c r="J53" i="42" s="1"/>
  <c r="N135" i="42"/>
  <c r="N123" i="42"/>
  <c r="N102" i="42"/>
  <c r="N78" i="42"/>
  <c r="N88" i="42"/>
  <c r="N87" i="42"/>
  <c r="N59" i="42"/>
  <c r="N99" i="42"/>
  <c r="N132" i="42"/>
  <c r="N52" i="42"/>
  <c r="N121" i="42"/>
  <c r="N111" i="42"/>
  <c r="N89" i="42"/>
  <c r="N128" i="42"/>
  <c r="N119" i="42"/>
  <c r="N113" i="42"/>
  <c r="N75" i="42"/>
  <c r="N69" i="42"/>
  <c r="N54" i="42"/>
  <c r="N76" i="42"/>
  <c r="N50" i="42"/>
  <c r="N137" i="42"/>
  <c r="N117" i="42"/>
  <c r="N136" i="42"/>
  <c r="N56" i="42"/>
  <c r="N122" i="42"/>
  <c r="N101" i="42"/>
  <c r="N79" i="42"/>
  <c r="N84" i="42"/>
  <c r="N82" i="42"/>
  <c r="N40" i="42"/>
  <c r="J40" i="42" s="1"/>
  <c r="N65" i="42"/>
  <c r="N97" i="42"/>
  <c r="N80" i="42"/>
  <c r="N77" i="42"/>
  <c r="N138" i="42"/>
  <c r="N43" i="42"/>
  <c r="N39" i="42"/>
  <c r="N108" i="42"/>
  <c r="N114" i="42"/>
  <c r="N95" i="42"/>
  <c r="N42" i="42"/>
  <c r="N115" i="42"/>
  <c r="H26" i="42"/>
  <c r="N31" i="42" s="1"/>
  <c r="N8" i="41"/>
  <c r="O5" i="41"/>
  <c r="O6" i="41" s="1"/>
  <c r="S8" i="41"/>
  <c r="P5" i="41"/>
  <c r="P6" i="41" s="1"/>
  <c r="T8" i="41"/>
  <c r="C3" i="41"/>
  <c r="C13" i="41" s="1"/>
  <c r="M12" i="41"/>
  <c r="AI5" i="41"/>
  <c r="AF5" i="43"/>
  <c r="Z5" i="43"/>
  <c r="AB6" i="43"/>
  <c r="H5" i="43"/>
  <c r="V6" i="43"/>
  <c r="AD5" i="43"/>
  <c r="K6" i="43"/>
  <c r="AI33" i="23"/>
  <c r="AI29" i="23"/>
  <c r="AI20" i="23"/>
  <c r="AI19" i="23"/>
  <c r="B19" i="23" s="1"/>
  <c r="AL113" i="23"/>
  <c r="AI27" i="23"/>
  <c r="B27" i="23" s="1"/>
  <c r="AI31" i="23"/>
  <c r="B31" i="23" s="1"/>
  <c r="AY71" i="44"/>
  <c r="AL115" i="23"/>
  <c r="AI22" i="23"/>
  <c r="AI25" i="23"/>
  <c r="AI24" i="23"/>
  <c r="AL116" i="23"/>
  <c r="AI23" i="23"/>
  <c r="AI21" i="23"/>
  <c r="N91" i="42"/>
  <c r="N74" i="42"/>
  <c r="N67" i="42"/>
  <c r="N71" i="42"/>
  <c r="N60" i="42"/>
  <c r="J60" i="42" s="1"/>
  <c r="N124" i="42"/>
  <c r="N51" i="42"/>
  <c r="N90" i="42"/>
  <c r="N47" i="42"/>
  <c r="N57" i="42"/>
  <c r="N55" i="42"/>
  <c r="N48" i="42"/>
  <c r="J48" i="42" s="1"/>
  <c r="N112" i="42"/>
  <c r="N133" i="42"/>
  <c r="N126" i="42"/>
  <c r="N41" i="42"/>
  <c r="N125" i="42"/>
  <c r="N100" i="42"/>
  <c r="N44" i="42"/>
  <c r="J44" i="42" s="1"/>
  <c r="N127" i="42"/>
  <c r="N46" i="42"/>
  <c r="N45" i="42"/>
  <c r="N130" i="42"/>
  <c r="N104" i="42"/>
  <c r="U8" i="41"/>
  <c r="X5" i="41"/>
  <c r="AE8" i="41"/>
  <c r="L5" i="41"/>
  <c r="L6" i="41" s="1"/>
  <c r="Q5" i="41"/>
  <c r="AB8" i="41"/>
  <c r="AF5" i="41"/>
  <c r="AC8" i="41"/>
  <c r="T5" i="41"/>
  <c r="Y5" i="41"/>
  <c r="R5" i="41"/>
  <c r="G1" i="43"/>
  <c r="K5" i="43"/>
  <c r="N6" i="43"/>
  <c r="T6" i="43"/>
  <c r="Q5" i="43"/>
  <c r="J5" i="43"/>
  <c r="U5" i="43"/>
  <c r="L5" i="43"/>
  <c r="F5" i="43"/>
  <c r="Z6" i="43"/>
  <c r="AI44" i="44"/>
  <c r="L44" i="44" s="1"/>
  <c r="AI47" i="44"/>
  <c r="L47" i="44" s="1"/>
  <c r="AI49" i="44"/>
  <c r="AJ49" i="44" s="1"/>
  <c r="AI51" i="44"/>
  <c r="M51" i="44" s="1"/>
  <c r="AI53" i="44"/>
  <c r="AJ53" i="44" s="1"/>
  <c r="AI55" i="44"/>
  <c r="L55" i="44" s="1"/>
  <c r="AI57" i="44"/>
  <c r="AJ57" i="44" s="1"/>
  <c r="AI61" i="44"/>
  <c r="M61" i="44" s="1"/>
  <c r="AI19" i="44"/>
  <c r="L19" i="44" s="1"/>
  <c r="AI26" i="44"/>
  <c r="L26" i="44" s="1"/>
  <c r="AI27" i="44"/>
  <c r="L27" i="44" s="1"/>
  <c r="AI56" i="44"/>
  <c r="L56" i="44" s="1"/>
  <c r="AI60" i="44"/>
  <c r="L60" i="44" s="1"/>
  <c r="AI22" i="44"/>
  <c r="M22" i="44" s="1"/>
  <c r="AG22" i="44" s="1"/>
  <c r="AI42" i="44"/>
  <c r="M42" i="44" s="1"/>
  <c r="AI50" i="44"/>
  <c r="AJ50" i="44" s="1"/>
  <c r="AI52" i="44"/>
  <c r="AJ52" i="44" s="1"/>
  <c r="AI54" i="44"/>
  <c r="L54" i="44" s="1"/>
  <c r="AI59" i="44"/>
  <c r="L59" i="44" s="1"/>
  <c r="AI21" i="44"/>
  <c r="M21" i="44" s="1"/>
  <c r="AI20" i="44"/>
  <c r="AJ20" i="44" s="1"/>
  <c r="AI62" i="44"/>
  <c r="M62" i="44" s="1"/>
  <c r="BG69" i="44"/>
  <c r="BG41" i="44"/>
  <c r="BI101" i="44"/>
  <c r="C54" i="43"/>
  <c r="C75" i="43"/>
  <c r="C16" i="43"/>
  <c r="C42" i="43"/>
  <c r="AY20" i="44"/>
  <c r="C106" i="43"/>
  <c r="C87" i="43"/>
  <c r="C56" i="43"/>
  <c r="C64" i="43"/>
  <c r="C18" i="43"/>
  <c r="C86" i="43"/>
  <c r="C58" i="43"/>
  <c r="C35" i="43"/>
  <c r="C40" i="43"/>
  <c r="C80" i="43"/>
  <c r="C21" i="43"/>
  <c r="C8" i="43"/>
  <c r="C92" i="43"/>
  <c r="AY48" i="44"/>
  <c r="S42" i="42"/>
  <c r="C29" i="43"/>
  <c r="C26" i="43"/>
  <c r="C46" i="43"/>
  <c r="C74" i="43"/>
  <c r="C68" i="43"/>
  <c r="C15" i="43"/>
  <c r="C104" i="43"/>
  <c r="C36" i="43"/>
  <c r="C41" i="43"/>
  <c r="C45" i="43"/>
  <c r="C85" i="43"/>
  <c r="C57" i="43"/>
  <c r="C27" i="43"/>
  <c r="G48" i="42"/>
  <c r="O48" i="42" s="1"/>
  <c r="C9" i="43"/>
  <c r="C60" i="43"/>
  <c r="C47" i="43"/>
  <c r="C103" i="43"/>
  <c r="C65" i="43"/>
  <c r="C71" i="43"/>
  <c r="C11" i="43"/>
  <c r="C88" i="43"/>
  <c r="C77" i="43"/>
  <c r="C48" i="43"/>
  <c r="C49" i="43"/>
  <c r="C25" i="43"/>
  <c r="C43" i="43"/>
  <c r="C101" i="43"/>
  <c r="C72" i="43"/>
  <c r="C84" i="43"/>
  <c r="C63" i="43"/>
  <c r="C55" i="43"/>
  <c r="C89" i="43"/>
  <c r="C82" i="43"/>
  <c r="C50" i="43"/>
  <c r="C62" i="43"/>
  <c r="C70" i="43"/>
  <c r="C30" i="43"/>
  <c r="C14" i="43"/>
  <c r="C61" i="43"/>
  <c r="C32" i="43"/>
  <c r="C93" i="43"/>
  <c r="C34" i="43"/>
  <c r="C78" i="43"/>
  <c r="C90" i="43"/>
  <c r="C28" i="43"/>
  <c r="C76" i="43"/>
  <c r="C83" i="43"/>
  <c r="C52" i="43"/>
  <c r="C69" i="43"/>
  <c r="C12" i="43"/>
  <c r="C99" i="43"/>
  <c r="C39" i="43"/>
  <c r="C73" i="43"/>
  <c r="C17" i="43"/>
  <c r="C23" i="43"/>
  <c r="BC60" i="44"/>
  <c r="C96" i="43"/>
  <c r="G39" i="42"/>
  <c r="O39" i="42" s="1"/>
  <c r="C22" i="43"/>
  <c r="C38" i="43"/>
  <c r="C102" i="43"/>
  <c r="C94" i="43"/>
  <c r="C66" i="43"/>
  <c r="C98" i="43"/>
  <c r="C81" i="43"/>
  <c r="C100" i="43"/>
  <c r="C19" i="43"/>
  <c r="C44" i="43"/>
  <c r="C51" i="43"/>
  <c r="C37" i="43"/>
  <c r="C97" i="43"/>
  <c r="C105" i="43"/>
  <c r="C13" i="43"/>
  <c r="C24" i="43"/>
  <c r="C53" i="43"/>
  <c r="C31" i="43"/>
  <c r="C91" i="43"/>
  <c r="C67" i="43"/>
  <c r="C59" i="43"/>
  <c r="C79" i="43"/>
  <c r="C7" i="43"/>
  <c r="I63" i="44"/>
  <c r="AD63" i="44"/>
  <c r="M29" i="42"/>
  <c r="J31" i="42"/>
  <c r="B38" i="44"/>
  <c r="F36" i="44"/>
  <c r="N36" i="44"/>
  <c r="D81" i="44" s="1"/>
  <c r="W36" i="44"/>
  <c r="D36" i="44" s="1"/>
  <c r="BG101" i="44"/>
  <c r="AI23" i="44"/>
  <c r="M23" i="44" s="1"/>
  <c r="BG30" i="44"/>
  <c r="BE30" i="44"/>
  <c r="BG100" i="44"/>
  <c r="BG66" i="44"/>
  <c r="BA66" i="44"/>
  <c r="AY66" i="44"/>
  <c r="AI45" i="44"/>
  <c r="M45" i="44" s="1"/>
  <c r="AI48" i="44"/>
  <c r="M48" i="44" s="1"/>
  <c r="AI58" i="44"/>
  <c r="M58" i="44" s="1"/>
  <c r="Q8" i="41"/>
  <c r="X8" i="41"/>
  <c r="Z5" i="41"/>
  <c r="Z6" i="41" s="1"/>
  <c r="K12" i="41"/>
  <c r="K8" i="41"/>
  <c r="Z8" i="41"/>
  <c r="AE5" i="41"/>
  <c r="AE6" i="41" s="1"/>
  <c r="AK5" i="41"/>
  <c r="AK6" i="41" s="1"/>
  <c r="AL8" i="41"/>
  <c r="AM7" i="41"/>
  <c r="AG5" i="41"/>
  <c r="AG6" i="41" s="1"/>
  <c r="R8" i="41"/>
  <c r="AL5" i="41"/>
  <c r="AL6" i="41" s="1"/>
  <c r="AC5" i="41"/>
  <c r="AC6" i="41" s="1"/>
  <c r="AD8" i="41"/>
  <c r="N5" i="41"/>
  <c r="N6" i="41" s="1"/>
  <c r="AY47" i="44"/>
  <c r="W2" i="27"/>
  <c r="L2" i="42"/>
  <c r="Q2" i="44"/>
  <c r="J2" i="41"/>
  <c r="AM2" i="43"/>
  <c r="AB5" i="43"/>
  <c r="T5" i="43"/>
  <c r="J6" i="43"/>
  <c r="AA5" i="43"/>
  <c r="AE5" i="43"/>
  <c r="S5" i="43"/>
  <c r="AG6" i="43"/>
  <c r="M6" i="43"/>
  <c r="R6" i="43"/>
  <c r="G6" i="43"/>
  <c r="R5" i="43"/>
  <c r="AD6" i="43"/>
  <c r="W6" i="43"/>
  <c r="AA6" i="43"/>
  <c r="I6" i="43"/>
  <c r="N5" i="43"/>
  <c r="BI37" i="44"/>
  <c r="AI25" i="44"/>
  <c r="M25" i="44" s="1"/>
  <c r="BI106" i="44"/>
  <c r="BG89" i="44"/>
  <c r="AI46" i="44"/>
  <c r="M46" i="44" s="1"/>
  <c r="BC106" i="44"/>
  <c r="BI69" i="44"/>
  <c r="BI102" i="44"/>
  <c r="AF6" i="41" l="1"/>
  <c r="R6" i="41"/>
  <c r="BE33" i="44"/>
  <c r="BC74" i="44"/>
  <c r="Y6" i="41"/>
  <c r="U9" i="34"/>
  <c r="U6" i="34"/>
  <c r="BI73" i="44"/>
  <c r="BI54" i="44"/>
  <c r="BG43" i="44"/>
  <c r="BA82" i="44"/>
  <c r="BA101" i="44"/>
  <c r="BA32" i="44"/>
  <c r="R30" i="44"/>
  <c r="Q30" i="44" s="1"/>
  <c r="N30" i="44" s="1"/>
  <c r="BA67" i="44"/>
  <c r="BG107" i="44"/>
  <c r="BA107" i="44"/>
  <c r="AH5" i="43"/>
  <c r="BI98" i="44"/>
  <c r="AJ25" i="23"/>
  <c r="BG44" i="44"/>
  <c r="BI44" i="44"/>
  <c r="BE67" i="44"/>
  <c r="BA39" i="44"/>
  <c r="AY98" i="44"/>
  <c r="BA92" i="44"/>
  <c r="AY39" i="44"/>
  <c r="BE84" i="44"/>
  <c r="BE88" i="44"/>
  <c r="BA96" i="44"/>
  <c r="BA98" i="44"/>
  <c r="AY84" i="44"/>
  <c r="BC30" i="44"/>
  <c r="BG67" i="44"/>
  <c r="BI99" i="44"/>
  <c r="BG15" i="44"/>
  <c r="AY34" i="44"/>
  <c r="BE98" i="44"/>
  <c r="AY30" i="44"/>
  <c r="BA30" i="44"/>
  <c r="BA100" i="44"/>
  <c r="BI30" i="44"/>
  <c r="BE63" i="44"/>
  <c r="AY86" i="44"/>
  <c r="BA44" i="44"/>
  <c r="AY88" i="44"/>
  <c r="BI74" i="44"/>
  <c r="AU57" i="44"/>
  <c r="BE57" i="44"/>
  <c r="AU87" i="44"/>
  <c r="BG87" i="44"/>
  <c r="BI87" i="44"/>
  <c r="BA69" i="44"/>
  <c r="BI88" i="44"/>
  <c r="BE73" i="44"/>
  <c r="BG65" i="44"/>
  <c r="BG73" i="44"/>
  <c r="AY67" i="44"/>
  <c r="AY77" i="44"/>
  <c r="BA88" i="44"/>
  <c r="BA86" i="44"/>
  <c r="BE107" i="44"/>
  <c r="BE53" i="44"/>
  <c r="T143" i="42"/>
  <c r="D15" i="42" s="1"/>
  <c r="AY90" i="44"/>
  <c r="BA99" i="44"/>
  <c r="BG86" i="44"/>
  <c r="BA33" i="44"/>
  <c r="AY107" i="44"/>
  <c r="BI84" i="44"/>
  <c r="BE39" i="44"/>
  <c r="BG39" i="44"/>
  <c r="BI67" i="44"/>
  <c r="BE101" i="44"/>
  <c r="AY97" i="44"/>
  <c r="BI86" i="44"/>
  <c r="BE90" i="44"/>
  <c r="BI52" i="44"/>
  <c r="AY69" i="44"/>
  <c r="BA56" i="44"/>
  <c r="AY73" i="44"/>
  <c r="BA87" i="44"/>
  <c r="BE87" i="44"/>
  <c r="BI39" i="44"/>
  <c r="BA78" i="44"/>
  <c r="BA50" i="44"/>
  <c r="AY101" i="44"/>
  <c r="BE50" i="44"/>
  <c r="BC69" i="44"/>
  <c r="AY43" i="44"/>
  <c r="AY87" i="44"/>
  <c r="BC78" i="44"/>
  <c r="BI97" i="44"/>
  <c r="BE60" i="44"/>
  <c r="BI91" i="44"/>
  <c r="BG37" i="44"/>
  <c r="BG64" i="44"/>
  <c r="AY38" i="44"/>
  <c r="BA97" i="44"/>
  <c r="BC42" i="44"/>
  <c r="T142" i="42"/>
  <c r="D14" i="42" s="1"/>
  <c r="BE20" i="44"/>
  <c r="AU51" i="44"/>
  <c r="BE51" i="44"/>
  <c r="BA51" i="44"/>
  <c r="BG51" i="44"/>
  <c r="AY51" i="44"/>
  <c r="BI51" i="44"/>
  <c r="AU35" i="44"/>
  <c r="BI35" i="44"/>
  <c r="BA35" i="44"/>
  <c r="BE31" i="44"/>
  <c r="AY31" i="44"/>
  <c r="BG31" i="44"/>
  <c r="BI31" i="44"/>
  <c r="AU79" i="44"/>
  <c r="BE79" i="44"/>
  <c r="BI79" i="44"/>
  <c r="BC79" i="44"/>
  <c r="BG79" i="44"/>
  <c r="AY79" i="44"/>
  <c r="BA79" i="44"/>
  <c r="AU40" i="44"/>
  <c r="AY40" i="44"/>
  <c r="AU72" i="44"/>
  <c r="AY72" i="44"/>
  <c r="T139" i="42"/>
  <c r="D11" i="42" s="1"/>
  <c r="J84" i="44"/>
  <c r="L83" i="44" s="1"/>
  <c r="M83" i="44" s="1"/>
  <c r="BE41" i="44"/>
  <c r="BE99" i="44"/>
  <c r="AY32" i="44"/>
  <c r="BE97" i="44"/>
  <c r="BG56" i="44"/>
  <c r="BE44" i="44"/>
  <c r="BE66" i="44"/>
  <c r="BI75" i="44"/>
  <c r="BE77" i="44"/>
  <c r="F84" i="44"/>
  <c r="BG99" i="44"/>
  <c r="BG97" i="44"/>
  <c r="BA53" i="44"/>
  <c r="BI33" i="44"/>
  <c r="BE69" i="44"/>
  <c r="BG84" i="44"/>
  <c r="N30" i="42"/>
  <c r="C33" i="43"/>
  <c r="U8" i="34"/>
  <c r="U11" i="34"/>
  <c r="AE3" i="34" s="1"/>
  <c r="BC33" i="44"/>
  <c r="BE47" i="44"/>
  <c r="BI77" i="44"/>
  <c r="H84" i="44"/>
  <c r="BG53" i="44"/>
  <c r="BG47" i="44"/>
  <c r="T140" i="42"/>
  <c r="D12" i="42" s="1"/>
  <c r="AY44" i="44"/>
  <c r="BA59" i="44"/>
  <c r="BC76" i="44"/>
  <c r="BG88" i="44"/>
  <c r="BA25" i="44"/>
  <c r="AY33" i="44"/>
  <c r="AI24" i="44"/>
  <c r="M24" i="44" s="1"/>
  <c r="AG24" i="44" s="1"/>
  <c r="BI50" i="44"/>
  <c r="J50" i="42"/>
  <c r="AW19" i="44" s="1"/>
  <c r="AY50" i="44"/>
  <c r="C10" i="43"/>
  <c r="BA77" i="44"/>
  <c r="Y3" i="34"/>
  <c r="Z3" i="34"/>
  <c r="AA3" i="34"/>
  <c r="AB3" i="34"/>
  <c r="N37" i="44"/>
  <c r="D83" i="44" s="1"/>
  <c r="BA41" i="44"/>
  <c r="AY53" i="44"/>
  <c r="BI47" i="44"/>
  <c r="BG77" i="44"/>
  <c r="BI41" i="44"/>
  <c r="AY41" i="44"/>
  <c r="T144" i="42"/>
  <c r="D16" i="42" s="1"/>
  <c r="C95" i="43"/>
  <c r="U126" i="42"/>
  <c r="U102" i="42"/>
  <c r="U78" i="42"/>
  <c r="U54" i="42"/>
  <c r="U115" i="42"/>
  <c r="U83" i="42"/>
  <c r="U51" i="42"/>
  <c r="U123" i="42"/>
  <c r="U69" i="42"/>
  <c r="U121" i="42"/>
  <c r="U84" i="42"/>
  <c r="U47" i="42"/>
  <c r="U119" i="42"/>
  <c r="U117" i="42"/>
  <c r="U45" i="42"/>
  <c r="U44" i="42"/>
  <c r="U52" i="42"/>
  <c r="U122" i="42"/>
  <c r="U98" i="42"/>
  <c r="U74" i="42"/>
  <c r="U50" i="42"/>
  <c r="U109" i="42"/>
  <c r="U77" i="42"/>
  <c r="U43" i="42"/>
  <c r="U105" i="42"/>
  <c r="U68" i="42"/>
  <c r="U113" i="42"/>
  <c r="U76" i="42"/>
  <c r="U42" i="42"/>
  <c r="U101" i="42"/>
  <c r="U92" i="42"/>
  <c r="U108" i="42"/>
  <c r="U135" i="42"/>
  <c r="V35" i="42"/>
  <c r="U118" i="42"/>
  <c r="U94" i="42"/>
  <c r="U70" i="42"/>
  <c r="U136" i="42"/>
  <c r="U104" i="42"/>
  <c r="U72" i="42"/>
  <c r="U39" i="42"/>
  <c r="U97" i="42"/>
  <c r="U60" i="42"/>
  <c r="U112" i="42"/>
  <c r="U75" i="42"/>
  <c r="U137" i="42"/>
  <c r="U100" i="42"/>
  <c r="U91" i="42"/>
  <c r="U107" i="42"/>
  <c r="U116" i="42"/>
  <c r="U138" i="42"/>
  <c r="U114" i="42"/>
  <c r="U90" i="42"/>
  <c r="U66" i="42"/>
  <c r="U131" i="42"/>
  <c r="U99" i="42"/>
  <c r="U67" i="42"/>
  <c r="U133" i="42"/>
  <c r="U96" i="42"/>
  <c r="U59" i="42"/>
  <c r="U111" i="42"/>
  <c r="U57" i="42"/>
  <c r="U129" i="42"/>
  <c r="U79" i="42"/>
  <c r="U65" i="42"/>
  <c r="U89" i="42"/>
  <c r="U81" i="42"/>
  <c r="U134" i="42"/>
  <c r="U110" i="42"/>
  <c r="U86" i="42"/>
  <c r="U62" i="42"/>
  <c r="U125" i="42"/>
  <c r="U93" i="42"/>
  <c r="U61" i="42"/>
  <c r="U132" i="42"/>
  <c r="U95" i="42"/>
  <c r="U46" i="42"/>
  <c r="U103" i="42"/>
  <c r="U49" i="42"/>
  <c r="U128" i="42"/>
  <c r="U71" i="42"/>
  <c r="U64" i="42"/>
  <c r="U73" i="42"/>
  <c r="U80" i="42"/>
  <c r="U130" i="42"/>
  <c r="U106" i="42"/>
  <c r="U82" i="42"/>
  <c r="U58" i="42"/>
  <c r="U120" i="42"/>
  <c r="U88" i="42"/>
  <c r="U56" i="42"/>
  <c r="U124" i="42"/>
  <c r="U87" i="42"/>
  <c r="U41" i="42"/>
  <c r="U85" i="42"/>
  <c r="U48" i="42"/>
  <c r="U127" i="42"/>
  <c r="U40" i="42"/>
  <c r="U63" i="42"/>
  <c r="U55" i="42"/>
  <c r="U53" i="42"/>
  <c r="U13" i="34"/>
  <c r="U14" i="34"/>
  <c r="F37" i="44"/>
  <c r="W37" i="44"/>
  <c r="BG33" i="44"/>
  <c r="BA47" i="44"/>
  <c r="T141" i="42"/>
  <c r="D13" i="42" s="1"/>
  <c r="U10" i="34"/>
  <c r="AM3" i="43"/>
  <c r="X1" i="23"/>
  <c r="Q3" i="44"/>
  <c r="J1" i="44" s="1"/>
  <c r="W3" i="27"/>
  <c r="R1" i="27" s="1"/>
  <c r="J3" i="41"/>
  <c r="F1" i="41" s="1"/>
  <c r="BI34" i="44"/>
  <c r="BE80" i="44"/>
  <c r="BA106" i="44"/>
  <c r="BG8" i="44"/>
  <c r="AY80" i="44"/>
  <c r="BA76" i="44"/>
  <c r="BC34" i="44"/>
  <c r="BE8" i="44"/>
  <c r="BC8" i="44"/>
  <c r="AU8" i="44"/>
  <c r="AY76" i="44"/>
  <c r="BG106" i="44"/>
  <c r="BE34" i="44"/>
  <c r="BA8" i="44"/>
  <c r="BE56" i="44"/>
  <c r="AY94" i="44"/>
  <c r="BI8" i="44"/>
  <c r="BE106" i="44"/>
  <c r="BG34" i="44"/>
  <c r="AY56" i="44"/>
  <c r="BI61" i="44"/>
  <c r="BI76" i="44"/>
  <c r="AY106" i="44"/>
  <c r="BE76" i="44"/>
  <c r="BI56" i="44"/>
  <c r="BG76" i="44"/>
  <c r="H1" i="42"/>
  <c r="X6" i="41"/>
  <c r="Q6" i="41"/>
  <c r="BG50" i="44"/>
  <c r="BE86" i="44"/>
  <c r="AC1" i="43"/>
  <c r="BA89" i="44"/>
  <c r="BE43" i="44"/>
  <c r="BG36" i="44"/>
  <c r="BA48" i="44"/>
  <c r="AY83" i="44"/>
  <c r="AY55" i="44"/>
  <c r="BA15" i="44"/>
  <c r="BE94" i="44"/>
  <c r="AH6" i="43"/>
  <c r="BI48" i="44"/>
  <c r="BE55" i="44"/>
  <c r="BA95" i="44"/>
  <c r="BA105" i="44"/>
  <c r="BG48" i="44"/>
  <c r="BA43" i="44"/>
  <c r="BI82" i="44"/>
  <c r="AY70" i="44"/>
  <c r="BI85" i="44"/>
  <c r="AY24" i="44"/>
  <c r="BA91" i="44"/>
  <c r="BG24" i="44"/>
  <c r="BI89" i="44"/>
  <c r="BE37" i="44"/>
  <c r="BI100" i="44"/>
  <c r="BI53" i="44"/>
  <c r="BC82" i="44"/>
  <c r="BG85" i="44"/>
  <c r="AY58" i="44"/>
  <c r="BG49" i="44"/>
  <c r="BG38" i="44"/>
  <c r="BE38" i="44"/>
  <c r="BE40" i="44"/>
  <c r="BE36" i="44"/>
  <c r="BE95" i="44"/>
  <c r="BA72" i="44"/>
  <c r="BC105" i="44"/>
  <c r="BE48" i="44"/>
  <c r="BI94" i="44"/>
  <c r="AY100" i="44"/>
  <c r="BE85" i="44"/>
  <c r="BC91" i="44"/>
  <c r="BA24" i="44"/>
  <c r="BE93" i="44"/>
  <c r="AY105" i="44"/>
  <c r="BC95" i="44"/>
  <c r="BG55" i="44"/>
  <c r="BC46" i="44"/>
  <c r="BI105" i="44"/>
  <c r="AY95" i="44"/>
  <c r="BG40" i="44"/>
  <c r="BG83" i="44"/>
  <c r="BG82" i="44"/>
  <c r="BA94" i="44"/>
  <c r="BI40" i="44"/>
  <c r="AY15" i="44"/>
  <c r="BG35" i="44"/>
  <c r="BG80" i="44"/>
  <c r="AY37" i="44"/>
  <c r="BI43" i="44"/>
  <c r="BE89" i="44"/>
  <c r="BE91" i="44"/>
  <c r="BA37" i="44"/>
  <c r="BG105" i="44"/>
  <c r="BC48" i="44"/>
  <c r="BI38" i="44"/>
  <c r="AY103" i="44"/>
  <c r="BE82" i="44"/>
  <c r="BE100" i="44"/>
  <c r="AY85" i="44"/>
  <c r="BI80" i="44"/>
  <c r="BG91" i="44"/>
  <c r="AY35" i="44"/>
  <c r="BE105" i="44"/>
  <c r="BI95" i="44"/>
  <c r="AY89" i="44"/>
  <c r="BC57" i="44"/>
  <c r="BG81" i="44"/>
  <c r="BA42" i="44"/>
  <c r="BG52" i="44"/>
  <c r="BI72" i="44"/>
  <c r="BC56" i="44"/>
  <c r="BI64" i="44"/>
  <c r="BE58" i="44"/>
  <c r="BC107" i="44"/>
  <c r="BI103" i="44"/>
  <c r="BI65" i="44"/>
  <c r="BC58" i="44"/>
  <c r="BA64" i="44"/>
  <c r="AY49" i="44"/>
  <c r="BC94" i="44"/>
  <c r="BA65" i="44"/>
  <c r="BI78" i="44"/>
  <c r="BE46" i="44"/>
  <c r="BE96" i="44"/>
  <c r="BA11" i="44"/>
  <c r="BA104" i="44"/>
  <c r="BC55" i="44"/>
  <c r="BC81" i="44"/>
  <c r="AY60" i="44"/>
  <c r="BC41" i="44"/>
  <c r="BG42" i="44"/>
  <c r="BC37" i="44"/>
  <c r="BI81" i="44"/>
  <c r="BC53" i="44"/>
  <c r="BC24" i="44"/>
  <c r="BC72" i="44"/>
  <c r="BA60" i="44"/>
  <c r="BG60" i="44"/>
  <c r="BG74" i="44"/>
  <c r="BG104" i="44"/>
  <c r="BC31" i="44"/>
  <c r="BG45" i="44"/>
  <c r="BG72" i="44"/>
  <c r="V38" i="44"/>
  <c r="Q38" i="44"/>
  <c r="L85" i="44" s="1"/>
  <c r="BE42" i="44"/>
  <c r="BC96" i="44"/>
  <c r="BC43" i="44"/>
  <c r="BI58" i="44"/>
  <c r="BE103" i="44"/>
  <c r="BC44" i="44"/>
  <c r="BC64" i="44"/>
  <c r="BC66" i="44"/>
  <c r="BG58" i="44"/>
  <c r="BA49" i="44"/>
  <c r="BE49" i="44"/>
  <c r="BC73" i="44"/>
  <c r="BC38" i="44"/>
  <c r="BC65" i="44"/>
  <c r="BC40" i="44"/>
  <c r="BC101" i="44"/>
  <c r="BG78" i="44"/>
  <c r="BG46" i="44"/>
  <c r="BC47" i="44"/>
  <c r="AY96" i="44"/>
  <c r="BA52" i="44"/>
  <c r="BE104" i="44"/>
  <c r="BC89" i="44"/>
  <c r="BI45" i="44"/>
  <c r="BC51" i="44"/>
  <c r="AY104" i="44"/>
  <c r="BC98" i="44"/>
  <c r="AY74" i="44"/>
  <c r="BE81" i="44"/>
  <c r="BE74" i="44"/>
  <c r="BA45" i="44"/>
  <c r="BC35" i="44"/>
  <c r="BC52" i="44"/>
  <c r="BE72" i="44"/>
  <c r="AY81" i="44"/>
  <c r="BA74" i="44"/>
  <c r="BE45" i="44"/>
  <c r="BC97" i="44"/>
  <c r="BC88" i="44"/>
  <c r="BC86" i="44"/>
  <c r="BG96" i="44"/>
  <c r="BC84" i="44"/>
  <c r="BC103" i="44"/>
  <c r="BA103" i="44"/>
  <c r="BC100" i="44"/>
  <c r="BE64" i="44"/>
  <c r="BC49" i="44"/>
  <c r="BC85" i="44"/>
  <c r="BC87" i="44"/>
  <c r="BE65" i="44"/>
  <c r="AY65" i="44"/>
  <c r="BC67" i="44"/>
  <c r="BC77" i="44"/>
  <c r="BE78" i="44"/>
  <c r="AY78" i="44"/>
  <c r="BC45" i="44"/>
  <c r="BI60" i="44"/>
  <c r="AY42" i="44"/>
  <c r="BC50" i="44"/>
  <c r="AY52" i="44"/>
  <c r="BC80" i="44"/>
  <c r="AY45" i="44"/>
  <c r="BE52" i="44"/>
  <c r="BI96" i="44"/>
  <c r="BC71" i="44"/>
  <c r="J81" i="44"/>
  <c r="L81" i="44" s="1"/>
  <c r="M81" i="44" s="1"/>
  <c r="F83" i="44"/>
  <c r="W30" i="44"/>
  <c r="E30" i="44" s="1"/>
  <c r="B24" i="23"/>
  <c r="G18" i="46" s="1"/>
  <c r="H18" i="46" s="1"/>
  <c r="I18" i="46" s="1"/>
  <c r="B25" i="23"/>
  <c r="G19" i="46" s="1"/>
  <c r="H19" i="46" s="1"/>
  <c r="I19" i="46" s="1"/>
  <c r="B33" i="23"/>
  <c r="G20" i="46" s="1"/>
  <c r="H20" i="46" s="1"/>
  <c r="I20" i="46" s="1"/>
  <c r="BI66" i="44"/>
  <c r="AA85" i="23"/>
  <c r="AI85" i="23" s="1"/>
  <c r="J82" i="23" s="1"/>
  <c r="AJ22" i="23" s="1"/>
  <c r="B22" i="23" s="1"/>
  <c r="N29" i="44"/>
  <c r="W29" i="44"/>
  <c r="E29" i="44" s="1"/>
  <c r="BE35" i="44"/>
  <c r="BA40" i="44"/>
  <c r="BC39" i="44"/>
  <c r="BI49" i="44"/>
  <c r="BA84" i="44"/>
  <c r="AI4" i="43"/>
  <c r="AH107" i="43"/>
  <c r="AY64" i="44"/>
  <c r="BG94" i="44"/>
  <c r="BL10" i="44"/>
  <c r="BA85" i="44"/>
  <c r="BA80" i="44"/>
  <c r="AW13" i="44"/>
  <c r="AU13" i="44" s="1"/>
  <c r="AW9" i="44"/>
  <c r="AU9" i="44" s="1"/>
  <c r="AY91" i="44"/>
  <c r="BC10" i="44"/>
  <c r="BE102" i="44"/>
  <c r="BI90" i="44"/>
  <c r="AY36" i="44"/>
  <c r="BG75" i="44"/>
  <c r="BE70" i="44"/>
  <c r="BG92" i="44"/>
  <c r="BE83" i="44"/>
  <c r="AY57" i="44"/>
  <c r="BE92" i="44"/>
  <c r="BI36" i="44"/>
  <c r="BA68" i="44"/>
  <c r="AY54" i="44"/>
  <c r="BG93" i="44"/>
  <c r="BC54" i="44"/>
  <c r="BA90" i="44"/>
  <c r="BI57" i="44"/>
  <c r="BC68" i="44"/>
  <c r="BG68" i="44"/>
  <c r="BI32" i="44"/>
  <c r="BC90" i="44"/>
  <c r="BE32" i="44"/>
  <c r="BG70" i="44"/>
  <c r="BC32" i="44"/>
  <c r="BA73" i="44"/>
  <c r="BA93" i="44"/>
  <c r="BA36" i="44"/>
  <c r="BG103" i="44"/>
  <c r="AU71" i="44"/>
  <c r="BG71" i="44"/>
  <c r="BG54" i="44"/>
  <c r="BA70" i="44"/>
  <c r="BA83" i="44"/>
  <c r="BE75" i="44"/>
  <c r="BI93" i="44"/>
  <c r="BC93" i="44"/>
  <c r="BA102" i="44"/>
  <c r="AY92" i="44"/>
  <c r="BG90" i="44"/>
  <c r="BA57" i="44"/>
  <c r="S60" i="42"/>
  <c r="AW29" i="44"/>
  <c r="AU29" i="44" s="1"/>
  <c r="AY99" i="44"/>
  <c r="S50" i="42"/>
  <c r="BG98" i="44"/>
  <c r="BC75" i="44"/>
  <c r="BE24" i="44"/>
  <c r="BC99" i="44"/>
  <c r="BE68" i="44"/>
  <c r="BA34" i="44"/>
  <c r="AU46" i="44"/>
  <c r="BI46" i="44"/>
  <c r="BA46" i="44"/>
  <c r="AU55" i="44"/>
  <c r="BI55" i="44"/>
  <c r="AU104" i="44"/>
  <c r="BC104" i="44"/>
  <c r="BI68" i="44"/>
  <c r="BA54" i="44"/>
  <c r="AY75" i="44"/>
  <c r="BE71" i="44"/>
  <c r="AY68" i="44"/>
  <c r="BC83" i="44"/>
  <c r="BI71" i="44"/>
  <c r="BI92" i="44"/>
  <c r="BC70" i="44"/>
  <c r="BI83" i="44"/>
  <c r="BA75" i="44"/>
  <c r="BC102" i="44"/>
  <c r="BG102" i="44"/>
  <c r="BG32" i="44"/>
  <c r="BC62" i="44"/>
  <c r="BI70" i="44"/>
  <c r="S48" i="42"/>
  <c r="AW17" i="44"/>
  <c r="AU17" i="44" s="1"/>
  <c r="BC36" i="44"/>
  <c r="S53" i="42"/>
  <c r="AW22" i="44"/>
  <c r="AU22" i="44" s="1"/>
  <c r="AY93" i="44"/>
  <c r="AU31" i="44"/>
  <c r="BA31" i="44"/>
  <c r="BG95" i="44"/>
  <c r="BA71" i="44"/>
  <c r="BA81" i="44"/>
  <c r="AY102" i="44"/>
  <c r="AY82" i="44"/>
  <c r="BE54" i="44"/>
  <c r="BI42" i="44"/>
  <c r="BA58" i="44"/>
  <c r="BG57" i="44"/>
  <c r="BA38" i="44"/>
  <c r="BC92" i="44"/>
  <c r="AJ22" i="44"/>
  <c r="AJ55" i="44"/>
  <c r="L57" i="44"/>
  <c r="S40" i="42"/>
  <c r="BA63" i="44"/>
  <c r="BC63" i="44"/>
  <c r="BE62" i="44"/>
  <c r="AY63" i="44"/>
  <c r="BI63" i="44"/>
  <c r="BA62" i="44"/>
  <c r="BG63" i="44"/>
  <c r="AA6" i="41"/>
  <c r="L22" i="44"/>
  <c r="BE59" i="44"/>
  <c r="AJ44" i="44"/>
  <c r="AJ21" i="44"/>
  <c r="AJ61" i="44"/>
  <c r="BC20" i="44"/>
  <c r="N28" i="42"/>
  <c r="J28" i="42" s="1"/>
  <c r="N32" i="42"/>
  <c r="J32" i="42" s="1"/>
  <c r="N29" i="42"/>
  <c r="N33" i="42"/>
  <c r="L50" i="44"/>
  <c r="AJ27" i="44"/>
  <c r="BE25" i="44"/>
  <c r="T6" i="41"/>
  <c r="AH6" i="41"/>
  <c r="M6" i="41"/>
  <c r="L21" i="44"/>
  <c r="AJ26" i="44"/>
  <c r="AJ60" i="44"/>
  <c r="BE61" i="44"/>
  <c r="AY62" i="44"/>
  <c r="S44" i="42"/>
  <c r="BA20" i="44"/>
  <c r="AJ47" i="44"/>
  <c r="BC61" i="44"/>
  <c r="BG61" i="44"/>
  <c r="M26" i="44"/>
  <c r="L62" i="44"/>
  <c r="AJ62" i="44"/>
  <c r="AG62" i="44" s="1"/>
  <c r="L51" i="44"/>
  <c r="L61" i="44"/>
  <c r="AJ51" i="44"/>
  <c r="AJ42" i="44"/>
  <c r="AG51" i="44"/>
  <c r="L42" i="44"/>
  <c r="M52" i="44"/>
  <c r="AG52" i="44" s="1"/>
  <c r="M47" i="44"/>
  <c r="AG47" i="44" s="1"/>
  <c r="AJ56" i="44"/>
  <c r="AJ19" i="44"/>
  <c r="L49" i="44"/>
  <c r="L53" i="44"/>
  <c r="AJ54" i="44"/>
  <c r="M49" i="44"/>
  <c r="AG49" i="44" s="1"/>
  <c r="AG61" i="44"/>
  <c r="M20" i="44"/>
  <c r="AG20" i="44" s="1"/>
  <c r="M56" i="44"/>
  <c r="AG56" i="44" s="1"/>
  <c r="M55" i="44"/>
  <c r="AG55" i="44" s="1"/>
  <c r="M59" i="44"/>
  <c r="AG42" i="44"/>
  <c r="M54" i="44"/>
  <c r="AG54" i="44" s="1"/>
  <c r="M50" i="44"/>
  <c r="AG50" i="44" s="1"/>
  <c r="M60" i="44"/>
  <c r="AG60" i="44" s="1"/>
  <c r="M27" i="44"/>
  <c r="AG27" i="44" s="1"/>
  <c r="M19" i="44"/>
  <c r="AG19" i="44" s="1"/>
  <c r="M57" i="44"/>
  <c r="AG57" i="44" s="1"/>
  <c r="M53" i="44"/>
  <c r="AG53" i="44" s="1"/>
  <c r="M44" i="44"/>
  <c r="AG44" i="44" s="1"/>
  <c r="L52" i="44"/>
  <c r="AJ59" i="44"/>
  <c r="AG21" i="44"/>
  <c r="L20" i="44"/>
  <c r="BI10" i="44"/>
  <c r="BG62" i="44"/>
  <c r="AY25" i="44"/>
  <c r="BC25" i="44"/>
  <c r="BG25" i="44"/>
  <c r="BI62" i="44"/>
  <c r="BG59" i="44"/>
  <c r="AY59" i="44"/>
  <c r="BI59" i="44"/>
  <c r="BC59" i="44"/>
  <c r="BE10" i="44"/>
  <c r="AY61" i="44"/>
  <c r="BA61" i="44"/>
  <c r="BG10" i="44"/>
  <c r="AY10" i="44"/>
  <c r="BA10" i="44"/>
  <c r="BE11" i="44"/>
  <c r="BI11" i="44"/>
  <c r="AY11" i="44"/>
  <c r="BG11" i="44"/>
  <c r="BC11" i="44"/>
  <c r="R37" i="44"/>
  <c r="AN7" i="41"/>
  <c r="AO7" i="41" s="1"/>
  <c r="AM5" i="41"/>
  <c r="AM6" i="41" s="1"/>
  <c r="AM8" i="41"/>
  <c r="AI6" i="41"/>
  <c r="R45" i="42"/>
  <c r="AB6" i="41"/>
  <c r="R59" i="42"/>
  <c r="L48" i="44"/>
  <c r="AJ48" i="44"/>
  <c r="R49" i="42"/>
  <c r="G43" i="42"/>
  <c r="R52" i="42"/>
  <c r="R57" i="42"/>
  <c r="R47" i="42"/>
  <c r="AJ16" i="41"/>
  <c r="S16" i="41"/>
  <c r="AD16" i="41"/>
  <c r="AK16" i="41"/>
  <c r="AB13" i="41"/>
  <c r="AB16" i="41"/>
  <c r="AI16" i="41"/>
  <c r="V16" i="41"/>
  <c r="Y13" i="41"/>
  <c r="Y14" i="41" s="1"/>
  <c r="AH16" i="41"/>
  <c r="V13" i="41"/>
  <c r="V14" i="41" s="1"/>
  <c r="AE16" i="41"/>
  <c r="W13" i="41"/>
  <c r="AH13" i="41"/>
  <c r="AH14" i="41" s="1"/>
  <c r="AK13" i="41"/>
  <c r="AI13" i="41"/>
  <c r="Q16" i="41"/>
  <c r="O16" i="41"/>
  <c r="AJ13" i="41"/>
  <c r="AJ14" i="41" s="1"/>
  <c r="AM15" i="41"/>
  <c r="M16" i="41"/>
  <c r="AF16" i="41"/>
  <c r="U13" i="41"/>
  <c r="AA13" i="41"/>
  <c r="AA14" i="41" s="1"/>
  <c r="AL13" i="41"/>
  <c r="AL14" i="41" s="1"/>
  <c r="X13" i="41"/>
  <c r="X14" i="41" s="1"/>
  <c r="AG13" i="41"/>
  <c r="N16" i="41"/>
  <c r="AF13" i="41"/>
  <c r="AF14" i="41" s="1"/>
  <c r="Z16" i="41"/>
  <c r="N13" i="41"/>
  <c r="M13" i="41"/>
  <c r="M14" i="41" s="1"/>
  <c r="AC16" i="41"/>
  <c r="R16" i="41"/>
  <c r="AC13" i="41"/>
  <c r="AC14" i="41" s="1"/>
  <c r="U16" i="41"/>
  <c r="AA16" i="41"/>
  <c r="AG16" i="41"/>
  <c r="X16" i="41"/>
  <c r="AE13" i="41"/>
  <c r="AE14" i="41" s="1"/>
  <c r="P13" i="41"/>
  <c r="K16" i="41"/>
  <c r="Y16" i="41"/>
  <c r="T16" i="41"/>
  <c r="R13" i="41"/>
  <c r="R14" i="41" s="1"/>
  <c r="AD13" i="41"/>
  <c r="O13" i="41"/>
  <c r="O14" i="41" s="1"/>
  <c r="W16" i="41"/>
  <c r="L16" i="41"/>
  <c r="S13" i="41"/>
  <c r="L13" i="41"/>
  <c r="T13" i="41"/>
  <c r="T14" i="41" s="1"/>
  <c r="Q13" i="41"/>
  <c r="Q14" i="41" s="1"/>
  <c r="K13" i="41"/>
  <c r="K14" i="41" s="1"/>
  <c r="AL16" i="41"/>
  <c r="P16" i="41"/>
  <c r="Z13" i="41"/>
  <c r="AJ45" i="44"/>
  <c r="AG45" i="44" s="1"/>
  <c r="L45" i="44"/>
  <c r="AJ23" i="44"/>
  <c r="AG23" i="44" s="1"/>
  <c r="L23" i="44"/>
  <c r="U6" i="41"/>
  <c r="AJ46" i="44"/>
  <c r="AG46" i="44" s="1"/>
  <c r="L46" i="44"/>
  <c r="L25" i="44"/>
  <c r="AJ25" i="44"/>
  <c r="AG25" i="44" s="1"/>
  <c r="AJ58" i="44"/>
  <c r="L58" i="44"/>
  <c r="R58" i="42"/>
  <c r="R54" i="42"/>
  <c r="AI14" i="41" l="1"/>
  <c r="L24" i="44"/>
  <c r="N14" i="41"/>
  <c r="U14" i="41"/>
  <c r="AB14" i="41"/>
  <c r="AG3" i="34"/>
  <c r="AG29" i="34" s="1"/>
  <c r="AF3" i="34"/>
  <c r="W38" i="44"/>
  <c r="AY9" i="44"/>
  <c r="AJ24" i="44"/>
  <c r="BE9" i="44"/>
  <c r="AG54" i="34"/>
  <c r="AG44" i="34"/>
  <c r="AG11" i="34"/>
  <c r="AG30" i="34"/>
  <c r="AG53" i="34"/>
  <c r="AG59" i="34"/>
  <c r="AG38" i="34"/>
  <c r="AG34" i="34"/>
  <c r="AE47" i="34"/>
  <c r="AE43" i="34"/>
  <c r="AE41" i="34"/>
  <c r="AE50" i="34"/>
  <c r="AE18" i="34"/>
  <c r="AE42" i="34"/>
  <c r="AE64" i="34"/>
  <c r="AE13" i="34"/>
  <c r="AE25" i="34"/>
  <c r="AE10" i="34"/>
  <c r="AE59" i="34"/>
  <c r="AE35" i="34"/>
  <c r="AE37" i="34"/>
  <c r="AE49" i="34"/>
  <c r="AE29" i="34"/>
  <c r="AE63" i="34"/>
  <c r="AE7" i="34"/>
  <c r="AE36" i="34"/>
  <c r="AE26" i="34"/>
  <c r="AE45" i="34"/>
  <c r="AE32" i="34"/>
  <c r="AE54" i="34"/>
  <c r="AE17" i="34"/>
  <c r="AE20" i="34"/>
  <c r="AE12" i="34"/>
  <c r="AE8" i="34"/>
  <c r="AE60" i="34"/>
  <c r="AE16" i="34"/>
  <c r="AE34" i="34"/>
  <c r="AE22" i="34"/>
  <c r="AE6" i="34"/>
  <c r="AE57" i="34"/>
  <c r="AE33" i="34"/>
  <c r="AE51" i="34"/>
  <c r="AE24" i="34"/>
  <c r="AE5" i="34"/>
  <c r="AE56" i="34"/>
  <c r="AE21" i="34"/>
  <c r="AE31" i="34"/>
  <c r="AE14" i="34"/>
  <c r="AE53" i="34"/>
  <c r="AE61" i="34"/>
  <c r="AE44" i="34"/>
  <c r="AE52" i="34"/>
  <c r="AE40" i="34"/>
  <c r="AE27" i="34"/>
  <c r="AE11" i="34"/>
  <c r="AE38" i="34"/>
  <c r="AE55" i="34"/>
  <c r="AE39" i="34"/>
  <c r="AE58" i="34"/>
  <c r="AE19" i="34"/>
  <c r="AE62" i="34"/>
  <c r="AE9" i="34"/>
  <c r="AE46" i="34"/>
  <c r="AE28" i="34"/>
  <c r="AE48" i="34"/>
  <c r="AE15" i="34"/>
  <c r="AE30" i="34"/>
  <c r="AE23" i="34"/>
  <c r="AU19" i="44"/>
  <c r="BC19" i="44"/>
  <c r="AY19" i="44"/>
  <c r="BA19" i="44"/>
  <c r="AF58" i="34"/>
  <c r="AF20" i="34"/>
  <c r="AF8" i="34"/>
  <c r="AF43" i="34"/>
  <c r="AF13" i="34"/>
  <c r="AF49" i="34"/>
  <c r="AF64" i="34"/>
  <c r="AF19" i="34"/>
  <c r="AF41" i="34"/>
  <c r="AF39" i="34"/>
  <c r="AF53" i="34"/>
  <c r="AF42" i="34"/>
  <c r="AF57" i="34"/>
  <c r="AF37" i="34"/>
  <c r="AF62" i="34"/>
  <c r="AF48" i="34"/>
  <c r="AF60" i="34"/>
  <c r="AF12" i="34"/>
  <c r="AF34" i="34"/>
  <c r="AF36" i="34"/>
  <c r="AF9" i="34"/>
  <c r="AF32" i="34"/>
  <c r="AF29" i="34"/>
  <c r="AF26" i="34"/>
  <c r="AF25" i="34"/>
  <c r="AF21" i="34"/>
  <c r="AF28" i="34"/>
  <c r="AF56" i="34"/>
  <c r="AF38" i="34"/>
  <c r="AF52" i="34"/>
  <c r="AF16" i="34"/>
  <c r="AF7" i="34"/>
  <c r="AF18" i="34"/>
  <c r="AF14" i="34"/>
  <c r="AF5" i="34"/>
  <c r="AF63" i="34"/>
  <c r="AF31" i="34"/>
  <c r="AF27" i="34"/>
  <c r="AF33" i="34"/>
  <c r="AF40" i="34"/>
  <c r="AF17" i="34"/>
  <c r="AF30" i="34"/>
  <c r="AF50" i="34"/>
  <c r="AF55" i="34"/>
  <c r="AF45" i="34"/>
  <c r="AF23" i="34"/>
  <c r="AF22" i="34"/>
  <c r="AF54" i="34"/>
  <c r="AF10" i="34"/>
  <c r="AF11" i="34"/>
  <c r="AF61" i="34"/>
  <c r="AF44" i="34"/>
  <c r="AF6" i="34"/>
  <c r="AF59" i="34"/>
  <c r="AF35" i="34"/>
  <c r="AF46" i="34"/>
  <c r="AF51" i="34"/>
  <c r="AF24" i="34"/>
  <c r="AF47" i="34"/>
  <c r="AF15" i="34"/>
  <c r="BC22" i="44"/>
  <c r="BE22" i="44"/>
  <c r="AC3" i="34"/>
  <c r="Y58" i="34"/>
  <c r="Y8" i="34"/>
  <c r="Y57" i="34"/>
  <c r="Y17" i="34"/>
  <c r="Y19" i="34"/>
  <c r="Y18" i="34"/>
  <c r="Y33" i="34"/>
  <c r="Y31" i="34"/>
  <c r="Y46" i="34"/>
  <c r="Y55" i="34"/>
  <c r="Y41" i="34"/>
  <c r="Y20" i="34"/>
  <c r="Y50" i="34"/>
  <c r="Y56" i="34"/>
  <c r="Y40" i="34"/>
  <c r="Y63" i="34"/>
  <c r="Y61" i="34"/>
  <c r="Y52" i="34"/>
  <c r="Y5" i="34"/>
  <c r="Y44" i="34"/>
  <c r="Y36" i="34"/>
  <c r="Y60" i="34"/>
  <c r="Y54" i="34"/>
  <c r="Y62" i="34"/>
  <c r="Y43" i="34"/>
  <c r="Y48" i="34"/>
  <c r="Y51" i="34"/>
  <c r="Y15" i="34"/>
  <c r="Y27" i="34"/>
  <c r="Y16" i="34"/>
  <c r="Y11" i="34"/>
  <c r="Y13" i="34"/>
  <c r="Y26" i="34"/>
  <c r="Y6" i="34"/>
  <c r="Y53" i="34"/>
  <c r="Y30" i="34"/>
  <c r="Y35" i="34"/>
  <c r="Y12" i="34"/>
  <c r="Y25" i="34"/>
  <c r="Y22" i="34"/>
  <c r="Y21" i="34"/>
  <c r="Y59" i="34"/>
  <c r="Y49" i="34"/>
  <c r="Y24" i="34"/>
  <c r="Y9" i="34"/>
  <c r="Y42" i="34"/>
  <c r="Y38" i="34"/>
  <c r="Y32" i="34"/>
  <c r="Y7" i="34"/>
  <c r="Y47" i="34"/>
  <c r="Y14" i="34"/>
  <c r="Y45" i="34"/>
  <c r="Y34" i="34"/>
  <c r="Y37" i="34"/>
  <c r="Y23" i="34"/>
  <c r="Y28" i="34"/>
  <c r="Y29" i="34"/>
  <c r="Y10" i="34"/>
  <c r="Y39" i="34"/>
  <c r="Y64" i="34"/>
  <c r="V119" i="42"/>
  <c r="V95" i="42"/>
  <c r="V71" i="42"/>
  <c r="V47" i="42"/>
  <c r="V110" i="42"/>
  <c r="V78" i="42"/>
  <c r="V44" i="42"/>
  <c r="V104" i="42"/>
  <c r="V50" i="42"/>
  <c r="V129" i="42"/>
  <c r="V92" i="42"/>
  <c r="V43" i="42"/>
  <c r="V98" i="42"/>
  <c r="V41" i="42"/>
  <c r="V80" i="42"/>
  <c r="V134" i="42"/>
  <c r="V115" i="42"/>
  <c r="V91" i="42"/>
  <c r="V67" i="42"/>
  <c r="V137" i="42"/>
  <c r="V105" i="42"/>
  <c r="V73" i="42"/>
  <c r="V40" i="42"/>
  <c r="V86" i="42"/>
  <c r="V49" i="42"/>
  <c r="V128" i="42"/>
  <c r="V74" i="42"/>
  <c r="V136" i="42"/>
  <c r="V69" i="42"/>
  <c r="V133" i="42"/>
  <c r="V72" i="42"/>
  <c r="V125" i="42"/>
  <c r="V135" i="42"/>
  <c r="V111" i="42"/>
  <c r="V87" i="42"/>
  <c r="V63" i="42"/>
  <c r="V132" i="42"/>
  <c r="V100" i="42"/>
  <c r="V68" i="42"/>
  <c r="V122" i="42"/>
  <c r="V85" i="42"/>
  <c r="V48" i="42"/>
  <c r="V120" i="42"/>
  <c r="V66" i="42"/>
  <c r="V118" i="42"/>
  <c r="V45" i="42"/>
  <c r="V106" i="42"/>
  <c r="V70" i="42"/>
  <c r="V96" i="42"/>
  <c r="V131" i="42"/>
  <c r="V107" i="42"/>
  <c r="V83" i="42"/>
  <c r="V59" i="42"/>
  <c r="V126" i="42"/>
  <c r="V94" i="42"/>
  <c r="V62" i="42"/>
  <c r="V114" i="42"/>
  <c r="V77" i="42"/>
  <c r="V42" i="42"/>
  <c r="V102" i="42"/>
  <c r="V65" i="42"/>
  <c r="V117" i="42"/>
  <c r="V124" i="42"/>
  <c r="V88" i="42"/>
  <c r="V54" i="42"/>
  <c r="V61" i="42"/>
  <c r="V127" i="42"/>
  <c r="V103" i="42"/>
  <c r="V79" i="42"/>
  <c r="V55" i="42"/>
  <c r="V121" i="42"/>
  <c r="V89" i="42"/>
  <c r="V57" i="42"/>
  <c r="V113" i="42"/>
  <c r="V76" i="42"/>
  <c r="V138" i="42"/>
  <c r="V101" i="42"/>
  <c r="V64" i="42"/>
  <c r="V109" i="42"/>
  <c r="V97" i="42"/>
  <c r="V82" i="42"/>
  <c r="V53" i="42"/>
  <c r="V60" i="42"/>
  <c r="V123" i="42"/>
  <c r="V99" i="42"/>
  <c r="V75" i="42"/>
  <c r="V51" i="42"/>
  <c r="V116" i="42"/>
  <c r="V84" i="42"/>
  <c r="V52" i="42"/>
  <c r="V112" i="42"/>
  <c r="V58" i="42"/>
  <c r="V130" i="42"/>
  <c r="V93" i="42"/>
  <c r="V56" i="42"/>
  <c r="V108" i="42"/>
  <c r="V90" i="42"/>
  <c r="V81" i="42"/>
  <c r="V39" i="42"/>
  <c r="V46" i="42"/>
  <c r="AD3" i="34"/>
  <c r="AA48" i="34"/>
  <c r="AA33" i="34"/>
  <c r="AA55" i="34"/>
  <c r="AA51" i="34"/>
  <c r="AA24" i="34"/>
  <c r="AA47" i="34"/>
  <c r="AA15" i="34"/>
  <c r="AA12" i="34"/>
  <c r="AA25" i="34"/>
  <c r="AA39" i="34"/>
  <c r="AA57" i="34"/>
  <c r="AA26" i="34"/>
  <c r="AA9" i="34"/>
  <c r="AA59" i="34"/>
  <c r="AA36" i="34"/>
  <c r="AA7" i="34"/>
  <c r="AA43" i="34"/>
  <c r="AA22" i="34"/>
  <c r="AA53" i="34"/>
  <c r="AA62" i="34"/>
  <c r="AA6" i="34"/>
  <c r="AA21" i="34"/>
  <c r="AA31" i="34"/>
  <c r="AA56" i="34"/>
  <c r="AA19" i="34"/>
  <c r="AA58" i="34"/>
  <c r="AA32" i="34"/>
  <c r="AA14" i="34"/>
  <c r="AA23" i="34"/>
  <c r="AA42" i="34"/>
  <c r="AA60" i="34"/>
  <c r="AA8" i="34"/>
  <c r="AA52" i="34"/>
  <c r="AA18" i="34"/>
  <c r="AA13" i="34"/>
  <c r="AA64" i="34"/>
  <c r="AA37" i="34"/>
  <c r="AA50" i="34"/>
  <c r="AA44" i="34"/>
  <c r="AA63" i="34"/>
  <c r="AA41" i="34"/>
  <c r="AA11" i="34"/>
  <c r="AA34" i="34"/>
  <c r="AA46" i="34"/>
  <c r="AA54" i="34"/>
  <c r="AA16" i="34"/>
  <c r="AA28" i="34"/>
  <c r="AA30" i="34"/>
  <c r="AA10" i="34"/>
  <c r="AA17" i="34"/>
  <c r="AA35" i="34"/>
  <c r="AA29" i="34"/>
  <c r="AA38" i="34"/>
  <c r="AA61" i="34"/>
  <c r="AA27" i="34"/>
  <c r="AA20" i="34"/>
  <c r="AA5" i="34"/>
  <c r="AA40" i="34"/>
  <c r="AA45" i="34"/>
  <c r="AA49" i="34"/>
  <c r="U142" i="42"/>
  <c r="U144" i="42"/>
  <c r="U140" i="42"/>
  <c r="U143" i="42"/>
  <c r="U141" i="42"/>
  <c r="U139" i="42"/>
  <c r="AB28" i="34"/>
  <c r="AB38" i="34"/>
  <c r="AB63" i="34"/>
  <c r="AB46" i="34"/>
  <c r="AB6" i="34"/>
  <c r="AB35" i="34"/>
  <c r="AB39" i="34"/>
  <c r="AB33" i="34"/>
  <c r="AB62" i="34"/>
  <c r="AB30" i="34"/>
  <c r="AB19" i="34"/>
  <c r="AB26" i="34"/>
  <c r="AB29" i="34"/>
  <c r="AB21" i="34"/>
  <c r="AB34" i="34"/>
  <c r="AB31" i="34"/>
  <c r="AB7" i="34"/>
  <c r="AB10" i="34"/>
  <c r="AB20" i="34"/>
  <c r="AB48" i="34"/>
  <c r="AB52" i="34"/>
  <c r="AB13" i="34"/>
  <c r="AB25" i="34"/>
  <c r="AB5" i="34"/>
  <c r="AB64" i="34"/>
  <c r="AB23" i="34"/>
  <c r="AB41" i="34"/>
  <c r="AB47" i="34"/>
  <c r="AB15" i="34"/>
  <c r="AB9" i="34"/>
  <c r="AB42" i="34"/>
  <c r="AB61" i="34"/>
  <c r="AB24" i="34"/>
  <c r="AB17" i="34"/>
  <c r="AB44" i="34"/>
  <c r="AB49" i="34"/>
  <c r="AB40" i="34"/>
  <c r="AB37" i="34"/>
  <c r="AB32" i="34"/>
  <c r="AB58" i="34"/>
  <c r="AB45" i="34"/>
  <c r="AB36" i="34"/>
  <c r="AB57" i="34"/>
  <c r="AB53" i="34"/>
  <c r="AB56" i="34"/>
  <c r="AB59" i="34"/>
  <c r="AB14" i="34"/>
  <c r="AB60" i="34"/>
  <c r="AB11" i="34"/>
  <c r="AB22" i="34"/>
  <c r="AB16" i="34"/>
  <c r="AB12" i="34"/>
  <c r="AB50" i="34"/>
  <c r="AB43" i="34"/>
  <c r="AB8" i="34"/>
  <c r="AB55" i="34"/>
  <c r="AB54" i="34"/>
  <c r="AB27" i="34"/>
  <c r="AB18" i="34"/>
  <c r="AB51" i="34"/>
  <c r="Z58" i="34"/>
  <c r="Z64" i="34"/>
  <c r="Z10" i="34"/>
  <c r="Z51" i="34"/>
  <c r="Z34" i="34"/>
  <c r="Z59" i="34"/>
  <c r="Z6" i="34"/>
  <c r="Z13" i="34"/>
  <c r="Z60" i="34"/>
  <c r="Z26" i="34"/>
  <c r="Z57" i="34"/>
  <c r="Z27" i="34"/>
  <c r="Z44" i="34"/>
  <c r="Z54" i="34"/>
  <c r="Z22" i="34"/>
  <c r="Z9" i="34"/>
  <c r="Z61" i="34"/>
  <c r="Z62" i="34"/>
  <c r="Z17" i="34"/>
  <c r="Z16" i="34"/>
  <c r="Z45" i="34"/>
  <c r="Z32" i="34"/>
  <c r="Z25" i="34"/>
  <c r="Z8" i="34"/>
  <c r="Z38" i="34"/>
  <c r="Z28" i="34"/>
  <c r="Z37" i="34"/>
  <c r="Z53" i="34"/>
  <c r="Z29" i="34"/>
  <c r="Z11" i="34"/>
  <c r="Z39" i="34"/>
  <c r="Z30" i="34"/>
  <c r="Z12" i="34"/>
  <c r="Z19" i="34"/>
  <c r="Z40" i="34"/>
  <c r="Z35" i="34"/>
  <c r="Z23" i="34"/>
  <c r="Z21" i="34"/>
  <c r="Z18" i="34"/>
  <c r="Z15" i="34"/>
  <c r="Z63" i="34"/>
  <c r="Z43" i="34"/>
  <c r="Z47" i="34"/>
  <c r="Z5" i="34"/>
  <c r="Z50" i="34"/>
  <c r="Z46" i="34"/>
  <c r="Z33" i="34"/>
  <c r="Z14" i="34"/>
  <c r="Z41" i="34"/>
  <c r="Z31" i="34"/>
  <c r="Z7" i="34"/>
  <c r="Z36" i="34"/>
  <c r="Z56" i="34"/>
  <c r="Z42" i="34"/>
  <c r="Z49" i="34"/>
  <c r="Z24" i="34"/>
  <c r="Z20" i="34"/>
  <c r="Z55" i="34"/>
  <c r="Z48" i="34"/>
  <c r="Z52" i="34"/>
  <c r="BG22" i="44"/>
  <c r="BA22" i="44"/>
  <c r="Z14" i="41"/>
  <c r="L14" i="41"/>
  <c r="AG14" i="41"/>
  <c r="S14" i="41"/>
  <c r="AO8" i="41"/>
  <c r="AO5" i="41"/>
  <c r="AO6" i="41" s="1"/>
  <c r="BC29" i="44"/>
  <c r="BG29" i="44"/>
  <c r="BL11" i="44"/>
  <c r="AY29" i="44"/>
  <c r="BA29" i="44"/>
  <c r="BE19" i="44"/>
  <c r="O38" i="44"/>
  <c r="N38" i="44"/>
  <c r="I30" i="44"/>
  <c r="D37" i="44"/>
  <c r="F30" i="44"/>
  <c r="BI9" i="44"/>
  <c r="BA9" i="44"/>
  <c r="BG9" i="44"/>
  <c r="BC9" i="44"/>
  <c r="AI6" i="43"/>
  <c r="AI5" i="43"/>
  <c r="AI107" i="43"/>
  <c r="AJ4" i="43"/>
  <c r="AK20" i="43" s="1"/>
  <c r="BL7" i="44"/>
  <c r="BG17" i="44"/>
  <c r="S139" i="42"/>
  <c r="C11" i="42" s="1"/>
  <c r="BC17" i="44"/>
  <c r="BA17" i="44"/>
  <c r="AY17" i="44"/>
  <c r="S142" i="42"/>
  <c r="C14" i="42" s="1"/>
  <c r="S140" i="42"/>
  <c r="C12" i="42" s="1"/>
  <c r="AG26" i="44"/>
  <c r="S141" i="42"/>
  <c r="C13" i="42" s="1"/>
  <c r="S143" i="42"/>
  <c r="C15" i="42" s="1"/>
  <c r="S144" i="42"/>
  <c r="C16" i="42" s="1"/>
  <c r="BC13" i="44"/>
  <c r="BG13" i="44"/>
  <c r="BE13" i="44"/>
  <c r="AY13" i="44"/>
  <c r="AG59" i="44"/>
  <c r="N50" i="44"/>
  <c r="D38" i="44"/>
  <c r="AI38" i="44"/>
  <c r="N47" i="44"/>
  <c r="AG48" i="44"/>
  <c r="W54" i="42"/>
  <c r="AG58" i="44"/>
  <c r="N53" i="44"/>
  <c r="AD14" i="41"/>
  <c r="W58" i="42"/>
  <c r="AK14" i="41"/>
  <c r="W47" i="42"/>
  <c r="W52" i="42"/>
  <c r="W49" i="42"/>
  <c r="W57" i="42"/>
  <c r="AN8" i="41"/>
  <c r="AN5" i="41"/>
  <c r="AN6" i="41" s="1"/>
  <c r="P14" i="41"/>
  <c r="W14" i="41"/>
  <c r="W59" i="42"/>
  <c r="AM16" i="41"/>
  <c r="AM13" i="41"/>
  <c r="AM14" i="41" s="1"/>
  <c r="AN15" i="41"/>
  <c r="AO15" i="41" s="1"/>
  <c r="R43" i="42"/>
  <c r="O43" i="42"/>
  <c r="J43" i="42" s="1"/>
  <c r="W45" i="42"/>
  <c r="X30" i="44"/>
  <c r="X63" i="44"/>
  <c r="X64" i="44"/>
  <c r="AG19" i="34" l="1"/>
  <c r="AG31" i="34"/>
  <c r="AG24" i="34"/>
  <c r="AG16" i="34"/>
  <c r="AG8" i="34"/>
  <c r="AG51" i="34"/>
  <c r="AG63" i="34"/>
  <c r="AG25" i="34"/>
  <c r="AG50" i="34"/>
  <c r="AG15" i="34"/>
  <c r="AG46" i="34"/>
  <c r="AG40" i="34"/>
  <c r="AG36" i="34"/>
  <c r="AG23" i="34"/>
  <c r="AG62" i="34"/>
  <c r="AG7" i="34"/>
  <c r="AG35" i="34"/>
  <c r="AG20" i="34"/>
  <c r="AG6" i="34"/>
  <c r="AG10" i="34"/>
  <c r="AG57" i="34"/>
  <c r="AG18" i="34"/>
  <c r="AG52" i="34"/>
  <c r="AG55" i="34"/>
  <c r="AG41" i="34"/>
  <c r="AG12" i="34"/>
  <c r="AG39" i="34"/>
  <c r="AG27" i="34"/>
  <c r="AG37" i="34"/>
  <c r="AG60" i="34"/>
  <c r="AG49" i="34"/>
  <c r="AG32" i="34"/>
  <c r="AG42" i="34"/>
  <c r="AG43" i="34"/>
  <c r="AG33" i="34"/>
  <c r="AG28" i="34"/>
  <c r="AG22" i="34"/>
  <c r="AG58" i="34"/>
  <c r="AG56" i="34"/>
  <c r="AG13" i="34"/>
  <c r="AG14" i="34"/>
  <c r="AG9" i="34"/>
  <c r="AG21" i="34"/>
  <c r="AG17" i="34"/>
  <c r="AG5" i="34"/>
  <c r="AG47" i="34"/>
  <c r="AG26" i="34"/>
  <c r="AG45" i="34"/>
  <c r="AG64" i="34"/>
  <c r="AG48" i="34"/>
  <c r="AG61" i="34"/>
  <c r="AK93" i="43"/>
  <c r="AK36" i="43"/>
  <c r="AK26" i="43"/>
  <c r="AK100" i="43"/>
  <c r="AK29" i="43"/>
  <c r="AK90" i="43"/>
  <c r="AK72" i="43"/>
  <c r="AK65" i="43"/>
  <c r="AK63" i="43"/>
  <c r="AK53" i="43"/>
  <c r="AK8" i="43"/>
  <c r="AK91" i="43"/>
  <c r="AK83" i="43"/>
  <c r="AK62" i="43"/>
  <c r="AK60" i="43"/>
  <c r="AK55" i="43"/>
  <c r="AK47" i="43"/>
  <c r="AK50" i="43"/>
  <c r="AK27" i="43"/>
  <c r="AK48" i="43"/>
  <c r="AK23" i="43"/>
  <c r="AK41" i="43"/>
  <c r="AK105" i="43"/>
  <c r="AK38" i="43"/>
  <c r="AK102" i="43"/>
  <c r="AK52" i="43"/>
  <c r="AK31" i="43"/>
  <c r="AK45" i="43"/>
  <c r="AK19" i="43"/>
  <c r="AK42" i="43"/>
  <c r="AK106" i="43"/>
  <c r="AK24" i="43"/>
  <c r="AK88" i="43"/>
  <c r="AK17" i="43"/>
  <c r="AK81" i="43"/>
  <c r="AK14" i="43"/>
  <c r="AK78" i="43"/>
  <c r="AK12" i="43"/>
  <c r="AK76" i="43"/>
  <c r="AK103" i="43"/>
  <c r="AK69" i="43"/>
  <c r="AK95" i="43"/>
  <c r="AK66" i="43"/>
  <c r="AK75" i="43"/>
  <c r="AK64" i="43"/>
  <c r="AK67" i="43"/>
  <c r="AK57" i="43"/>
  <c r="AK59" i="43"/>
  <c r="AK54" i="43"/>
  <c r="AK39" i="43"/>
  <c r="AK68" i="43"/>
  <c r="AK79" i="43"/>
  <c r="AK61" i="43"/>
  <c r="AK71" i="43"/>
  <c r="AK58" i="43"/>
  <c r="AK51" i="43"/>
  <c r="AK40" i="43"/>
  <c r="AK104" i="43"/>
  <c r="AK33" i="43"/>
  <c r="AK97" i="43"/>
  <c r="AK30" i="43"/>
  <c r="AK94" i="43"/>
  <c r="AK28" i="43"/>
  <c r="AK92" i="43"/>
  <c r="AK21" i="43"/>
  <c r="AK85" i="43"/>
  <c r="AK18" i="43"/>
  <c r="AK82" i="43"/>
  <c r="AK16" i="43"/>
  <c r="AK80" i="43"/>
  <c r="AK9" i="43"/>
  <c r="AK73" i="43"/>
  <c r="AK7" i="43"/>
  <c r="AK70" i="43"/>
  <c r="AK87" i="43"/>
  <c r="AK84" i="43"/>
  <c r="AK13" i="43"/>
  <c r="AK77" i="43"/>
  <c r="AK10" i="43"/>
  <c r="AK74" i="43"/>
  <c r="AK99" i="43"/>
  <c r="AK56" i="43"/>
  <c r="AK43" i="43"/>
  <c r="AK49" i="43"/>
  <c r="AK35" i="43"/>
  <c r="AK46" i="43"/>
  <c r="AK15" i="43"/>
  <c r="AK44" i="43"/>
  <c r="AK11" i="43"/>
  <c r="AK37" i="43"/>
  <c r="AK101" i="43"/>
  <c r="AK34" i="43"/>
  <c r="AK98" i="43"/>
  <c r="AK32" i="43"/>
  <c r="AK96" i="43"/>
  <c r="AK25" i="43"/>
  <c r="AK89" i="43"/>
  <c r="AK22" i="43"/>
  <c r="AK86" i="43"/>
  <c r="AD52" i="34"/>
  <c r="AD30" i="34"/>
  <c r="AD5" i="34"/>
  <c r="AD49" i="34"/>
  <c r="AD23" i="34"/>
  <c r="AD37" i="34"/>
  <c r="AD56" i="34"/>
  <c r="AD28" i="34"/>
  <c r="AD51" i="34"/>
  <c r="AD62" i="34"/>
  <c r="AD54" i="34"/>
  <c r="AD22" i="34"/>
  <c r="AD11" i="34"/>
  <c r="AD44" i="34"/>
  <c r="AD20" i="34"/>
  <c r="AD58" i="34"/>
  <c r="AD8" i="34"/>
  <c r="AD38" i="34"/>
  <c r="AD39" i="34"/>
  <c r="AD47" i="34"/>
  <c r="AD60" i="34"/>
  <c r="AD35" i="34"/>
  <c r="AD17" i="34"/>
  <c r="AD29" i="34"/>
  <c r="AD26" i="34"/>
  <c r="AD12" i="34"/>
  <c r="AD42" i="34"/>
  <c r="AD14" i="34"/>
  <c r="AD21" i="34"/>
  <c r="AD36" i="34"/>
  <c r="AD48" i="34"/>
  <c r="AD61" i="34"/>
  <c r="AD9" i="34"/>
  <c r="AD32" i="34"/>
  <c r="AD6" i="34"/>
  <c r="AD41" i="34"/>
  <c r="AD57" i="34"/>
  <c r="AD33" i="34"/>
  <c r="AD53" i="34"/>
  <c r="AD40" i="34"/>
  <c r="AD15" i="34"/>
  <c r="AD64" i="34"/>
  <c r="AD19" i="34"/>
  <c r="AD10" i="34"/>
  <c r="AD13" i="34"/>
  <c r="AD24" i="34"/>
  <c r="AD63" i="34"/>
  <c r="AD43" i="34"/>
  <c r="AD18" i="34"/>
  <c r="AD34" i="34"/>
  <c r="AD59" i="34"/>
  <c r="AD45" i="34"/>
  <c r="AD7" i="34"/>
  <c r="AD27" i="34"/>
  <c r="AD46" i="34"/>
  <c r="AD25" i="34"/>
  <c r="AD31" i="34"/>
  <c r="AD50" i="34"/>
  <c r="AD16" i="34"/>
  <c r="AD55" i="34"/>
  <c r="V144" i="42"/>
  <c r="E16" i="42" s="1"/>
  <c r="V141" i="42"/>
  <c r="E13" i="42" s="1"/>
  <c r="V142" i="42"/>
  <c r="E14" i="42" s="1"/>
  <c r="V139" i="42"/>
  <c r="E11" i="42" s="1"/>
  <c r="V140" i="42"/>
  <c r="E12" i="42" s="1"/>
  <c r="V143" i="42"/>
  <c r="E15" i="42" s="1"/>
  <c r="AC52" i="34"/>
  <c r="AC23" i="34"/>
  <c r="AC20" i="34"/>
  <c r="AC32" i="34"/>
  <c r="AC14" i="34"/>
  <c r="AC40" i="34"/>
  <c r="AC47" i="34"/>
  <c r="AC61" i="34"/>
  <c r="AC9" i="34"/>
  <c r="AC63" i="34"/>
  <c r="AC57" i="34"/>
  <c r="AC38" i="34"/>
  <c r="AC6" i="34"/>
  <c r="AC50" i="34"/>
  <c r="AC29" i="34"/>
  <c r="AC62" i="34"/>
  <c r="AC16" i="34"/>
  <c r="AC12" i="34"/>
  <c r="AC26" i="34"/>
  <c r="AC44" i="34"/>
  <c r="AC51" i="34"/>
  <c r="AC25" i="34"/>
  <c r="AC37" i="34"/>
  <c r="AC8" i="34"/>
  <c r="AC28" i="34"/>
  <c r="AC41" i="34"/>
  <c r="AC19" i="34"/>
  <c r="AC42" i="34"/>
  <c r="AC5" i="34"/>
  <c r="AC13" i="34"/>
  <c r="AC60" i="34"/>
  <c r="AC34" i="34"/>
  <c r="AC45" i="34"/>
  <c r="AC43" i="34"/>
  <c r="AC64" i="34"/>
  <c r="AC11" i="34"/>
  <c r="AC17" i="34"/>
  <c r="AC31" i="34"/>
  <c r="AC36" i="34"/>
  <c r="AC53" i="34"/>
  <c r="AC22" i="34"/>
  <c r="AC21" i="34"/>
  <c r="AC27" i="34"/>
  <c r="AC24" i="34"/>
  <c r="AC30" i="34"/>
  <c r="AC49" i="34"/>
  <c r="AC35" i="34"/>
  <c r="AC7" i="34"/>
  <c r="AC33" i="34"/>
  <c r="AC15" i="34"/>
  <c r="AC55" i="34"/>
  <c r="AC59" i="34"/>
  <c r="AC48" i="34"/>
  <c r="AC54" i="34"/>
  <c r="AC39" i="34"/>
  <c r="AC56" i="34"/>
  <c r="AC46" i="34"/>
  <c r="AC10" i="34"/>
  <c r="AC58" i="34"/>
  <c r="AC18" i="34"/>
  <c r="C9" i="41"/>
  <c r="D9" i="41" s="1"/>
  <c r="F9" i="41" s="1"/>
  <c r="AJ6" i="43"/>
  <c r="G45" i="42"/>
  <c r="O45" i="42" s="1"/>
  <c r="J45" i="42" s="1"/>
  <c r="AJ107" i="43"/>
  <c r="AJ5" i="43"/>
  <c r="G57" i="42"/>
  <c r="O57" i="42" s="1"/>
  <c r="J57" i="42" s="1"/>
  <c r="G54" i="42"/>
  <c r="O54" i="42" s="1"/>
  <c r="J54" i="42" s="1"/>
  <c r="G58" i="42"/>
  <c r="O58" i="42" s="1"/>
  <c r="J58" i="42" s="1"/>
  <c r="G52" i="42"/>
  <c r="O52" i="42" s="1"/>
  <c r="J52" i="42" s="1"/>
  <c r="G47" i="42"/>
  <c r="O47" i="42" s="1"/>
  <c r="J47" i="42" s="1"/>
  <c r="G59" i="42"/>
  <c r="O59" i="42" s="1"/>
  <c r="J59" i="42" s="1"/>
  <c r="G49" i="42"/>
  <c r="O49" i="42" s="1"/>
  <c r="J49" i="42" s="1"/>
  <c r="AW12" i="44"/>
  <c r="AU12" i="44" s="1"/>
  <c r="C8" i="41"/>
  <c r="D8" i="41" s="1"/>
  <c r="F8" i="41" s="1"/>
  <c r="C6" i="41"/>
  <c r="D6" i="41" s="1"/>
  <c r="F6" i="41" s="1"/>
  <c r="C7" i="41"/>
  <c r="D7" i="41" s="1"/>
  <c r="F7" i="41" s="1"/>
  <c r="C5" i="41"/>
  <c r="D5" i="41" s="1"/>
  <c r="F5" i="41" s="1"/>
  <c r="AO16" i="41"/>
  <c r="AO13" i="41"/>
  <c r="AO14" i="41" s="1"/>
  <c r="L38" i="44"/>
  <c r="M38" i="44"/>
  <c r="W43" i="42"/>
  <c r="AN13" i="41"/>
  <c r="AN14" i="41" s="1"/>
  <c r="AN16" i="41"/>
  <c r="R141" i="42" l="1"/>
  <c r="H13" i="42" s="1"/>
  <c r="I13" i="42" s="1"/>
  <c r="Q143" i="42"/>
  <c r="G15" i="42" s="1"/>
  <c r="R144" i="42"/>
  <c r="H16" i="42" s="1"/>
  <c r="I16" i="42" s="1"/>
  <c r="R139" i="42"/>
  <c r="H11" i="42" s="1"/>
  <c r="I11" i="42" s="1"/>
  <c r="Q144" i="42"/>
  <c r="G16" i="42" s="1"/>
  <c r="R142" i="42"/>
  <c r="H14" i="42" s="1"/>
  <c r="I14" i="42" s="1"/>
  <c r="R140" i="42"/>
  <c r="H12" i="42" s="1"/>
  <c r="I12" i="42" s="1"/>
  <c r="R143" i="42"/>
  <c r="H15" i="42" s="1"/>
  <c r="I15" i="42" s="1"/>
  <c r="Q141" i="42"/>
  <c r="G13" i="42" s="1"/>
  <c r="J13" i="42" s="1"/>
  <c r="C19" i="41"/>
  <c r="D19" i="41" s="1"/>
  <c r="H19" i="41" s="1"/>
  <c r="Q139" i="42"/>
  <c r="G11" i="42" s="1"/>
  <c r="Q140" i="42"/>
  <c r="G12" i="42" s="1"/>
  <c r="Q142" i="42"/>
  <c r="G14" i="42" s="1"/>
  <c r="AW27" i="44"/>
  <c r="BI27" i="44" s="1"/>
  <c r="AW26" i="44"/>
  <c r="AW14" i="44"/>
  <c r="AW28" i="44"/>
  <c r="AW16" i="44"/>
  <c r="AW18" i="44"/>
  <c r="AW21" i="44"/>
  <c r="AW23" i="44"/>
  <c r="BI23" i="44" s="1"/>
  <c r="AK107" i="43"/>
  <c r="G37" i="42" s="1"/>
  <c r="C16" i="41"/>
  <c r="D16" i="41" s="1"/>
  <c r="H16" i="41" s="1"/>
  <c r="F10" i="41"/>
  <c r="AA168" i="23" s="1"/>
  <c r="AI168" i="23" s="1"/>
  <c r="C17" i="41"/>
  <c r="D17" i="41" s="1"/>
  <c r="C18" i="41"/>
  <c r="D18" i="41" s="1"/>
  <c r="F18" i="41" s="1"/>
  <c r="C15" i="41"/>
  <c r="D15" i="41" s="1"/>
  <c r="F15" i="41" s="1"/>
  <c r="D10" i="41"/>
  <c r="BG12" i="44"/>
  <c r="BI12" i="44"/>
  <c r="AY12" i="44"/>
  <c r="BE15" i="44"/>
  <c r="BI20" i="44"/>
  <c r="BI25" i="44"/>
  <c r="BA12" i="44"/>
  <c r="BE17" i="44"/>
  <c r="BI17" i="44"/>
  <c r="BI22" i="44"/>
  <c r="BG20" i="44"/>
  <c r="BE12" i="44"/>
  <c r="BC12" i="44"/>
  <c r="BI24" i="44"/>
  <c r="BI15" i="44"/>
  <c r="BC15" i="44"/>
  <c r="AY22" i="44"/>
  <c r="BI13" i="44"/>
  <c r="BA13" i="44"/>
  <c r="BG19" i="44"/>
  <c r="BI29" i="44"/>
  <c r="BI19" i="44"/>
  <c r="BE29" i="44"/>
  <c r="W141" i="42"/>
  <c r="F13" i="42" s="1"/>
  <c r="W143" i="42"/>
  <c r="F15" i="42" s="1"/>
  <c r="W139" i="42"/>
  <c r="F11" i="42" s="1"/>
  <c r="W142" i="42"/>
  <c r="F14" i="42" s="1"/>
  <c r="W144" i="42"/>
  <c r="F16" i="42" s="1"/>
  <c r="W140" i="42"/>
  <c r="F12" i="42" s="1"/>
  <c r="J15" i="42" l="1"/>
  <c r="J12" i="42"/>
  <c r="B72" i="44" s="1"/>
  <c r="J11" i="42"/>
  <c r="H15" i="41"/>
  <c r="J16" i="42"/>
  <c r="B76" i="44" s="1"/>
  <c r="J14" i="42"/>
  <c r="B74" i="44" s="1"/>
  <c r="F19" i="41"/>
  <c r="H17" i="41"/>
  <c r="F17" i="41"/>
  <c r="C11" i="41"/>
  <c r="AA169" i="23" s="1"/>
  <c r="J165" i="23" s="1"/>
  <c r="AJ29" i="23" s="1"/>
  <c r="B29" i="23" s="1"/>
  <c r="F16" i="41"/>
  <c r="F20" i="41" s="1"/>
  <c r="H18" i="41"/>
  <c r="D20" i="41"/>
  <c r="AU23" i="44"/>
  <c r="BA23" i="44"/>
  <c r="BE23" i="44"/>
  <c r="BC23" i="44"/>
  <c r="AY23" i="44"/>
  <c r="BG23" i="44"/>
  <c r="AU18" i="44"/>
  <c r="BG18" i="44"/>
  <c r="BC18" i="44"/>
  <c r="BA18" i="44"/>
  <c r="BE18" i="44"/>
  <c r="AY18" i="44"/>
  <c r="BI18" i="44"/>
  <c r="AU28" i="44"/>
  <c r="BC28" i="44"/>
  <c r="AY28" i="44"/>
  <c r="BG28" i="44"/>
  <c r="BE28" i="44"/>
  <c r="BA28" i="44"/>
  <c r="BI28" i="44"/>
  <c r="AU26" i="44"/>
  <c r="BI26" i="44"/>
  <c r="BE26" i="44"/>
  <c r="BC26" i="44"/>
  <c r="AY26" i="44"/>
  <c r="BA26" i="44"/>
  <c r="BG26" i="44"/>
  <c r="AU21" i="44"/>
  <c r="AY21" i="44"/>
  <c r="BI21" i="44"/>
  <c r="BA21" i="44"/>
  <c r="BE21" i="44"/>
  <c r="BG21" i="44"/>
  <c r="BC21" i="44"/>
  <c r="AU16" i="44"/>
  <c r="BC16" i="44"/>
  <c r="BI16" i="44"/>
  <c r="BA16" i="44"/>
  <c r="BG16" i="44"/>
  <c r="BE16" i="44"/>
  <c r="AY16" i="44"/>
  <c r="AU14" i="44"/>
  <c r="BC14" i="44"/>
  <c r="BE14" i="44"/>
  <c r="AY14" i="44"/>
  <c r="BI14" i="44"/>
  <c r="BI107" i="44"/>
  <c r="BA14" i="44"/>
  <c r="BG14" i="44"/>
  <c r="AU27" i="44"/>
  <c r="BA27" i="44"/>
  <c r="BG27" i="44"/>
  <c r="BC27" i="44"/>
  <c r="BE27" i="44"/>
  <c r="AY27" i="44"/>
  <c r="B75" i="44"/>
  <c r="B71" i="44"/>
  <c r="B73" i="44"/>
  <c r="AZ91" i="44" l="1"/>
  <c r="BF38" i="44"/>
  <c r="AZ97" i="44"/>
  <c r="H20" i="41"/>
  <c r="BF92" i="44"/>
  <c r="AZ59" i="44"/>
  <c r="AZ86" i="44"/>
  <c r="BH107" i="44"/>
  <c r="BF62" i="44"/>
  <c r="AZ12" i="44"/>
  <c r="AZ98" i="44"/>
  <c r="AZ22" i="44"/>
  <c r="U19" i="44"/>
  <c r="BJ34" i="44"/>
  <c r="BH59" i="44"/>
  <c r="AZ30" i="44"/>
  <c r="BF91" i="44"/>
  <c r="BB75" i="44"/>
  <c r="BD74" i="44"/>
  <c r="AZ15" i="44"/>
  <c r="AZ100" i="44"/>
  <c r="BB44" i="44"/>
  <c r="AZ62" i="44"/>
  <c r="AZ55" i="44"/>
  <c r="AZ31" i="44"/>
  <c r="AZ38" i="44"/>
  <c r="AZ87" i="44"/>
  <c r="BB22" i="44"/>
  <c r="BB47" i="44"/>
  <c r="BF64" i="44"/>
  <c r="AZ46" i="44"/>
  <c r="AZ63" i="44"/>
  <c r="AZ35" i="44"/>
  <c r="BB49" i="44"/>
  <c r="AF54" i="44"/>
  <c r="BF77" i="44"/>
  <c r="AZ106" i="44"/>
  <c r="AZ10" i="44"/>
  <c r="AZ17" i="44"/>
  <c r="AZ56" i="44"/>
  <c r="AZ88" i="44"/>
  <c r="AZ25" i="44"/>
  <c r="AZ23" i="44"/>
  <c r="AZ90" i="44"/>
  <c r="BB39" i="44"/>
  <c r="AZ32" i="44"/>
  <c r="AZ47" i="44"/>
  <c r="AZ105" i="44"/>
  <c r="AZ21" i="44"/>
  <c r="AZ19" i="44"/>
  <c r="AZ101" i="44"/>
  <c r="AZ42" i="44"/>
  <c r="AZ14" i="44"/>
  <c r="BB26" i="44"/>
  <c r="BB89" i="44"/>
  <c r="AC38" i="44"/>
  <c r="BH47" i="44"/>
  <c r="BD107" i="44"/>
  <c r="AZ9" i="44"/>
  <c r="AZ39" i="44"/>
  <c r="AZ74" i="44"/>
  <c r="AZ80" i="44"/>
  <c r="AZ92" i="44"/>
  <c r="AZ95" i="44"/>
  <c r="AZ33" i="44"/>
  <c r="AZ58" i="44"/>
  <c r="AZ11" i="44"/>
  <c r="BB65" i="44"/>
  <c r="BJ105" i="44"/>
  <c r="AZ69" i="44"/>
  <c r="AZ48" i="44"/>
  <c r="AZ29" i="44"/>
  <c r="AZ71" i="44"/>
  <c r="AZ78" i="44"/>
  <c r="AZ41" i="44"/>
  <c r="AZ44" i="44"/>
  <c r="AZ70" i="44"/>
  <c r="AZ50" i="44"/>
  <c r="BB74" i="44"/>
  <c r="F22" i="41"/>
  <c r="C22" i="41"/>
  <c r="BJ107" i="44"/>
  <c r="AZ82" i="44"/>
  <c r="AZ51" i="44"/>
  <c r="AZ72" i="44"/>
  <c r="AZ81" i="44"/>
  <c r="AZ28" i="44"/>
  <c r="AZ36" i="44"/>
  <c r="AZ43" i="44"/>
  <c r="AZ76" i="44"/>
  <c r="AZ104" i="44"/>
  <c r="AZ40" i="44"/>
  <c r="AZ65" i="44"/>
  <c r="BB34" i="44"/>
  <c r="BB86" i="44"/>
  <c r="BB95" i="44"/>
  <c r="BB102" i="44"/>
  <c r="BF82" i="44"/>
  <c r="AE48" i="44"/>
  <c r="BD78" i="44"/>
  <c r="AZ102" i="44"/>
  <c r="AZ24" i="44"/>
  <c r="AZ60" i="44"/>
  <c r="AZ73" i="44"/>
  <c r="AZ20" i="44"/>
  <c r="AZ61" i="44"/>
  <c r="AZ84" i="44"/>
  <c r="AZ96" i="44"/>
  <c r="AZ52" i="44"/>
  <c r="AZ27" i="44"/>
  <c r="AZ54" i="44"/>
  <c r="AZ26" i="44"/>
  <c r="AZ99" i="44"/>
  <c r="AZ85" i="44"/>
  <c r="BB56" i="44"/>
  <c r="BB61" i="44"/>
  <c r="BB98" i="44"/>
  <c r="BB78" i="44"/>
  <c r="BF94" i="44"/>
  <c r="AF44" i="44"/>
  <c r="BH79" i="44"/>
  <c r="BD15" i="44"/>
  <c r="AZ8" i="44"/>
  <c r="AZ107" i="44"/>
  <c r="AZ94" i="44"/>
  <c r="AZ77" i="44"/>
  <c r="AZ66" i="44"/>
  <c r="AZ68" i="44"/>
  <c r="AZ57" i="44"/>
  <c r="AZ37" i="44"/>
  <c r="AZ53" i="44"/>
  <c r="AZ18" i="44"/>
  <c r="AZ75" i="44"/>
  <c r="AZ89" i="44"/>
  <c r="AZ93" i="44"/>
  <c r="AZ45" i="44"/>
  <c r="AZ16" i="44"/>
  <c r="AZ83" i="44"/>
  <c r="AZ79" i="44"/>
  <c r="AZ13" i="44"/>
  <c r="BB92" i="44"/>
  <c r="BB73" i="44"/>
  <c r="BB62" i="44"/>
  <c r="BB107" i="44"/>
  <c r="BF24" i="44"/>
  <c r="BF107" i="44"/>
  <c r="AE57" i="44"/>
  <c r="BB35" i="44"/>
  <c r="BB93" i="44"/>
  <c r="BB38" i="44"/>
  <c r="BB80" i="44"/>
  <c r="BF96" i="44"/>
  <c r="BF55" i="44"/>
  <c r="AE51" i="44"/>
  <c r="BH11" i="44"/>
  <c r="AZ103" i="44"/>
  <c r="AZ34" i="44"/>
  <c r="AZ64" i="44"/>
  <c r="AZ67" i="44"/>
  <c r="AC45" i="44"/>
  <c r="AZ49" i="44"/>
  <c r="BJ9" i="44"/>
  <c r="BJ66" i="44"/>
  <c r="BJ79" i="44"/>
  <c r="BJ22" i="44"/>
  <c r="BJ56" i="44"/>
  <c r="BJ27" i="44"/>
  <c r="BJ31" i="44"/>
  <c r="BJ14" i="44"/>
  <c r="BJ40" i="44"/>
  <c r="BJ63" i="44"/>
  <c r="BJ92" i="44"/>
  <c r="BJ53" i="44"/>
  <c r="BJ50" i="44"/>
  <c r="BJ44" i="44"/>
  <c r="BJ43" i="44"/>
  <c r="BJ74" i="44"/>
  <c r="BJ88" i="44"/>
  <c r="BJ72" i="44"/>
  <c r="BJ104" i="44"/>
  <c r="BJ87" i="44"/>
  <c r="BJ21" i="44"/>
  <c r="BJ45" i="44"/>
  <c r="BJ12" i="44"/>
  <c r="BJ46" i="44"/>
  <c r="BJ35" i="44"/>
  <c r="BJ11" i="44"/>
  <c r="BJ65" i="44"/>
  <c r="BJ28" i="44"/>
  <c r="BJ51" i="44"/>
  <c r="BJ100" i="44"/>
  <c r="BJ32" i="44"/>
  <c r="BJ17" i="44"/>
  <c r="BJ81" i="44"/>
  <c r="BJ97" i="44"/>
  <c r="BJ16" i="44"/>
  <c r="BJ23" i="44"/>
  <c r="BJ42" i="44"/>
  <c r="BJ49" i="44"/>
  <c r="BJ57" i="44"/>
  <c r="BJ18" i="44"/>
  <c r="BJ103" i="44"/>
  <c r="BJ86" i="44"/>
  <c r="BJ70" i="44"/>
  <c r="BJ78" i="44"/>
  <c r="BJ13" i="44"/>
  <c r="BJ99" i="44"/>
  <c r="BJ68" i="44"/>
  <c r="BJ101" i="44"/>
  <c r="BJ64" i="44"/>
  <c r="BJ10" i="44"/>
  <c r="BJ48" i="44"/>
  <c r="BJ95" i="44"/>
  <c r="BJ85" i="44"/>
  <c r="BJ83" i="44"/>
  <c r="BJ62" i="44"/>
  <c r="BJ59" i="44"/>
  <c r="BJ47" i="44"/>
  <c r="BJ82" i="44"/>
  <c r="BJ24" i="44"/>
  <c r="BJ30" i="44"/>
  <c r="BJ67" i="44"/>
  <c r="BJ60" i="44"/>
  <c r="BJ52" i="44"/>
  <c r="BJ58" i="44"/>
  <c r="BJ93" i="44"/>
  <c r="BJ90" i="44"/>
  <c r="BJ25" i="44"/>
  <c r="BJ20" i="44"/>
  <c r="BJ39" i="44"/>
  <c r="BJ41" i="44"/>
  <c r="BJ55" i="44"/>
  <c r="BJ96" i="44"/>
  <c r="BJ19" i="44"/>
  <c r="BJ26" i="44"/>
  <c r="BJ98" i="44"/>
  <c r="BJ76" i="44"/>
  <c r="BJ102" i="44"/>
  <c r="BJ80" i="44"/>
  <c r="BJ75" i="44"/>
  <c r="BJ29" i="44"/>
  <c r="BJ8" i="44"/>
  <c r="BJ73" i="44"/>
  <c r="BJ106" i="44"/>
  <c r="BJ15" i="44"/>
  <c r="BJ94" i="44"/>
  <c r="BJ33" i="44"/>
  <c r="BJ37" i="44"/>
  <c r="BJ71" i="44"/>
  <c r="BJ84" i="44"/>
  <c r="BJ61" i="44"/>
  <c r="BJ54" i="44"/>
  <c r="BJ77" i="44"/>
  <c r="BD17" i="44"/>
  <c r="BD87" i="44"/>
  <c r="BD61" i="44"/>
  <c r="BD73" i="44"/>
  <c r="BD71" i="44"/>
  <c r="BD75" i="44"/>
  <c r="BD82" i="44"/>
  <c r="BD64" i="44"/>
  <c r="BD34" i="44"/>
  <c r="BD10" i="44"/>
  <c r="BD91" i="44"/>
  <c r="BD97" i="44"/>
  <c r="BD18" i="44"/>
  <c r="BD50" i="44"/>
  <c r="BD13" i="44"/>
  <c r="BD77" i="44"/>
  <c r="BD9" i="44"/>
  <c r="BD12" i="44"/>
  <c r="BD49" i="44"/>
  <c r="BD35" i="44"/>
  <c r="BD33" i="44"/>
  <c r="BD41" i="44"/>
  <c r="BD106" i="44"/>
  <c r="BD47" i="44"/>
  <c r="BD65" i="44"/>
  <c r="BD20" i="44"/>
  <c r="BD79" i="44"/>
  <c r="BD81" i="44"/>
  <c r="BD53" i="44"/>
  <c r="BD72" i="44"/>
  <c r="BD104" i="44"/>
  <c r="BD94" i="44"/>
  <c r="BD44" i="44"/>
  <c r="BD57" i="44"/>
  <c r="BD39" i="44"/>
  <c r="BD68" i="44"/>
  <c r="BD36" i="44"/>
  <c r="BD31" i="44"/>
  <c r="BD22" i="44"/>
  <c r="BD21" i="44"/>
  <c r="BD45" i="44"/>
  <c r="BD14" i="44"/>
  <c r="BD54" i="44"/>
  <c r="BD62" i="44"/>
  <c r="BD59" i="44"/>
  <c r="BD69" i="44"/>
  <c r="BD88" i="44"/>
  <c r="BD24" i="44"/>
  <c r="BD25" i="44"/>
  <c r="BD63" i="44"/>
  <c r="BD11" i="44"/>
  <c r="BD32" i="44"/>
  <c r="BD37" i="44"/>
  <c r="BD51" i="44"/>
  <c r="BD23" i="44"/>
  <c r="BD105" i="44"/>
  <c r="BD92" i="44"/>
  <c r="BD76" i="44"/>
  <c r="BD90" i="44"/>
  <c r="BD16" i="44"/>
  <c r="BD84" i="44"/>
  <c r="BD89" i="44"/>
  <c r="BD8" i="44"/>
  <c r="BD43" i="44"/>
  <c r="BD26" i="44"/>
  <c r="BD93" i="44"/>
  <c r="BD19" i="44"/>
  <c r="BD96" i="44"/>
  <c r="BD42" i="44"/>
  <c r="BD100" i="44"/>
  <c r="BD103" i="44"/>
  <c r="BD99" i="44"/>
  <c r="BD48" i="44"/>
  <c r="BD85" i="44"/>
  <c r="BD40" i="44"/>
  <c r="BD86" i="44"/>
  <c r="BD30" i="44"/>
  <c r="BD55" i="44"/>
  <c r="BD56" i="44"/>
  <c r="BD28" i="44"/>
  <c r="BD38" i="44"/>
  <c r="BD101" i="44"/>
  <c r="BD102" i="44"/>
  <c r="BD98" i="44"/>
  <c r="BD60" i="44"/>
  <c r="BD58" i="44"/>
  <c r="BD83" i="44"/>
  <c r="BD27" i="44"/>
  <c r="BB81" i="44"/>
  <c r="BB82" i="44"/>
  <c r="BB36" i="44"/>
  <c r="BB14" i="44"/>
  <c r="BB76" i="44"/>
  <c r="BB43" i="44"/>
  <c r="BB24" i="44"/>
  <c r="BB88" i="44"/>
  <c r="BB16" i="44"/>
  <c r="BB91" i="44"/>
  <c r="BB55" i="44"/>
  <c r="BB25" i="44"/>
  <c r="BB77" i="44"/>
  <c r="BB84" i="44"/>
  <c r="BB66" i="44"/>
  <c r="BB41" i="44"/>
  <c r="BB97" i="44"/>
  <c r="BB69" i="44"/>
  <c r="BB90" i="44"/>
  <c r="BB20" i="44"/>
  <c r="BB70" i="44"/>
  <c r="BB33" i="44"/>
  <c r="BF17" i="44"/>
  <c r="BF73" i="44"/>
  <c r="BF32" i="44"/>
  <c r="BF58" i="44"/>
  <c r="BF90" i="44"/>
  <c r="BF9" i="44"/>
  <c r="BF69" i="44"/>
  <c r="BF78" i="44"/>
  <c r="BF105" i="44"/>
  <c r="AC59" i="44"/>
  <c r="AE52" i="44"/>
  <c r="AE26" i="44"/>
  <c r="AE30" i="44"/>
  <c r="U52" i="44"/>
  <c r="I52" i="44" s="1"/>
  <c r="AC61" i="44"/>
  <c r="BH33" i="44"/>
  <c r="BH94" i="44"/>
  <c r="BH65" i="44"/>
  <c r="BH68" i="44"/>
  <c r="BD29" i="44"/>
  <c r="BD70" i="44"/>
  <c r="BD67" i="44"/>
  <c r="BJ89" i="44"/>
  <c r="U43" i="44"/>
  <c r="I43" i="44" s="1"/>
  <c r="BF68" i="44"/>
  <c r="BF101" i="44"/>
  <c r="BF27" i="44"/>
  <c r="BF56" i="44"/>
  <c r="BF84" i="44"/>
  <c r="BF100" i="44"/>
  <c r="BF46" i="44"/>
  <c r="BF98" i="44"/>
  <c r="BF41" i="44"/>
  <c r="BF47" i="44"/>
  <c r="BF99" i="44"/>
  <c r="BF87" i="44"/>
  <c r="BF8" i="44"/>
  <c r="BF104" i="44"/>
  <c r="BF19" i="44"/>
  <c r="BF21" i="44"/>
  <c r="BF29" i="44"/>
  <c r="BF34" i="44"/>
  <c r="BF28" i="44"/>
  <c r="BF50" i="44"/>
  <c r="BF103" i="44"/>
  <c r="BF75" i="44"/>
  <c r="BF53" i="44"/>
  <c r="BF59" i="44"/>
  <c r="BF67" i="44"/>
  <c r="BF83" i="44"/>
  <c r="BF106" i="44"/>
  <c r="BF70" i="44"/>
  <c r="BF33" i="44"/>
  <c r="BF15" i="44"/>
  <c r="BF76" i="44"/>
  <c r="BF88" i="44"/>
  <c r="BF39" i="44"/>
  <c r="BF93" i="44"/>
  <c r="BF10" i="44"/>
  <c r="BF44" i="44"/>
  <c r="BF36" i="44"/>
  <c r="BF14" i="44"/>
  <c r="BF43" i="44"/>
  <c r="BF35" i="44"/>
  <c r="BF60" i="44"/>
  <c r="BF89" i="44"/>
  <c r="BF95" i="44"/>
  <c r="BF65" i="44"/>
  <c r="BF16" i="44"/>
  <c r="BF86" i="44"/>
  <c r="BF51" i="44"/>
  <c r="BF79" i="44"/>
  <c r="BF45" i="44"/>
  <c r="BF37" i="44"/>
  <c r="BF49" i="44"/>
  <c r="BF72" i="44"/>
  <c r="BF23" i="44"/>
  <c r="BF20" i="44"/>
  <c r="BF61" i="44"/>
  <c r="BF80" i="44"/>
  <c r="BF54" i="44"/>
  <c r="BF66" i="44"/>
  <c r="BF74" i="44"/>
  <c r="BF31" i="44"/>
  <c r="BF52" i="44"/>
  <c r="BF25" i="44"/>
  <c r="BB9" i="44"/>
  <c r="BB8" i="44"/>
  <c r="BB99" i="44"/>
  <c r="BB10" i="44"/>
  <c r="BB94" i="44"/>
  <c r="BB58" i="44"/>
  <c r="BB17" i="44"/>
  <c r="BB46" i="44"/>
  <c r="BB68" i="44"/>
  <c r="BB31" i="44"/>
  <c r="BB53" i="44"/>
  <c r="BB21" i="44"/>
  <c r="BB40" i="44"/>
  <c r="BB29" i="44"/>
  <c r="BB37" i="44"/>
  <c r="BB11" i="44"/>
  <c r="BB63" i="44"/>
  <c r="BB54" i="44"/>
  <c r="BB59" i="44"/>
  <c r="BB60" i="44"/>
  <c r="BB103" i="44"/>
  <c r="BB27" i="44"/>
  <c r="BB19" i="44"/>
  <c r="BB64" i="44"/>
  <c r="BB79" i="44"/>
  <c r="BB87" i="44"/>
  <c r="BB100" i="44"/>
  <c r="BB45" i="44"/>
  <c r="BF48" i="44"/>
  <c r="BF22" i="44"/>
  <c r="BF97" i="44"/>
  <c r="BF71" i="44"/>
  <c r="BF12" i="44"/>
  <c r="BF11" i="44"/>
  <c r="BF18" i="44"/>
  <c r="BF40" i="44"/>
  <c r="BF57" i="44"/>
  <c r="U21" i="44"/>
  <c r="AF48" i="44"/>
  <c r="AC44" i="44"/>
  <c r="AE47" i="44"/>
  <c r="AC22" i="44"/>
  <c r="AE42" i="44"/>
  <c r="BH50" i="44"/>
  <c r="BH92" i="44"/>
  <c r="BD95" i="44"/>
  <c r="BD66" i="44"/>
  <c r="BJ36" i="44"/>
  <c r="BJ38" i="44"/>
  <c r="AC43" i="44"/>
  <c r="AE33" i="44"/>
  <c r="AC18" i="44"/>
  <c r="AF43" i="44"/>
  <c r="AF33" i="44"/>
  <c r="C76" i="44" s="1"/>
  <c r="AE43" i="44"/>
  <c r="U18" i="44"/>
  <c r="I18" i="44" s="1"/>
  <c r="U59" i="44"/>
  <c r="I59" i="44" s="1"/>
  <c r="U20" i="44"/>
  <c r="I20" i="44" s="1"/>
  <c r="U53" i="44"/>
  <c r="I53" i="44" s="1"/>
  <c r="AE50" i="44"/>
  <c r="AF57" i="44"/>
  <c r="U25" i="44"/>
  <c r="AD25" i="44" s="1"/>
  <c r="U42" i="44"/>
  <c r="I42" i="44" s="1"/>
  <c r="U62" i="44"/>
  <c r="I62" i="44" s="1"/>
  <c r="AE18" i="44"/>
  <c r="U60" i="44"/>
  <c r="I60" i="44" s="1"/>
  <c r="U44" i="44"/>
  <c r="AD44" i="44" s="1"/>
  <c r="U56" i="44"/>
  <c r="I56" i="44" s="1"/>
  <c r="U22" i="44"/>
  <c r="I22" i="44" s="1"/>
  <c r="AC23" i="44"/>
  <c r="AF49" i="44"/>
  <c r="AC55" i="44"/>
  <c r="U23" i="44"/>
  <c r="I23" i="44" s="1"/>
  <c r="U27" i="44"/>
  <c r="I27" i="44" s="1"/>
  <c r="AF61" i="44"/>
  <c r="AE44" i="44"/>
  <c r="AC56" i="44"/>
  <c r="AE19" i="44"/>
  <c r="AE29" i="44"/>
  <c r="AE22" i="44"/>
  <c r="AE55" i="44"/>
  <c r="AC19" i="44"/>
  <c r="U46" i="44"/>
  <c r="AD46" i="44" s="1"/>
  <c r="AE60" i="44"/>
  <c r="AC49" i="44"/>
  <c r="AF52" i="44"/>
  <c r="U58" i="44"/>
  <c r="AD58" i="44" s="1"/>
  <c r="AE24" i="44"/>
  <c r="AE46" i="44"/>
  <c r="AF53" i="44"/>
  <c r="AE27" i="44"/>
  <c r="AE56" i="44"/>
  <c r="U45" i="44"/>
  <c r="I45" i="44" s="1"/>
  <c r="AE58" i="44"/>
  <c r="AE53" i="44"/>
  <c r="AE25" i="44"/>
  <c r="AE21" i="44"/>
  <c r="AC42" i="44"/>
  <c r="U32" i="44"/>
  <c r="AD32" i="44" s="1"/>
  <c r="AF46" i="44"/>
  <c r="AF60" i="44"/>
  <c r="AC58" i="44"/>
  <c r="AE62" i="44"/>
  <c r="AF45" i="44"/>
  <c r="AC57" i="44"/>
  <c r="U47" i="44"/>
  <c r="I47" i="44" s="1"/>
  <c r="AE59" i="44"/>
  <c r="AC21" i="44"/>
  <c r="AC52" i="44"/>
  <c r="AC62" i="44"/>
  <c r="AF59" i="44"/>
  <c r="U50" i="44"/>
  <c r="I50" i="44" s="1"/>
  <c r="AF55" i="44"/>
  <c r="AE61" i="44"/>
  <c r="AE45" i="44"/>
  <c r="AF58" i="44"/>
  <c r="AC20" i="44"/>
  <c r="AF47" i="44"/>
  <c r="AE49" i="44"/>
  <c r="AE23" i="44"/>
  <c r="U38" i="44"/>
  <c r="I38" i="44" s="1"/>
  <c r="U49" i="44"/>
  <c r="AD49" i="44" s="1"/>
  <c r="AC29" i="44"/>
  <c r="AC24" i="44"/>
  <c r="AC47" i="44"/>
  <c r="AC60" i="44"/>
  <c r="AF50" i="44"/>
  <c r="AC51" i="44"/>
  <c r="AC25" i="44"/>
  <c r="AC32" i="44"/>
  <c r="U48" i="44"/>
  <c r="AD48" i="44" s="1"/>
  <c r="U51" i="44"/>
  <c r="I51" i="44" s="1"/>
  <c r="AC46" i="44"/>
  <c r="AC27" i="44"/>
  <c r="AE32" i="44"/>
  <c r="AF56" i="44"/>
  <c r="AE38" i="44"/>
  <c r="U54" i="44"/>
  <c r="AD54" i="44" s="1"/>
  <c r="U57" i="44"/>
  <c r="AD57" i="44" s="1"/>
  <c r="AC26" i="44"/>
  <c r="AC54" i="44"/>
  <c r="AF51" i="44"/>
  <c r="U55" i="44"/>
  <c r="AD55" i="44" s="1"/>
  <c r="AE54" i="44"/>
  <c r="U26" i="44"/>
  <c r="AD26" i="44" s="1"/>
  <c r="AC50" i="44"/>
  <c r="AC53" i="44"/>
  <c r="BH104" i="44"/>
  <c r="BH83" i="44"/>
  <c r="BH16" i="44"/>
  <c r="BH35" i="44"/>
  <c r="BH105" i="44"/>
  <c r="BH77" i="44"/>
  <c r="BH22" i="44"/>
  <c r="BH15" i="44"/>
  <c r="BH43" i="44"/>
  <c r="BH41" i="44"/>
  <c r="BH100" i="44"/>
  <c r="BH21" i="44"/>
  <c r="BH58" i="44"/>
  <c r="BH44" i="44"/>
  <c r="BH60" i="44"/>
  <c r="BH31" i="44"/>
  <c r="BH87" i="44"/>
  <c r="BH75" i="44"/>
  <c r="BH85" i="44"/>
  <c r="BH82" i="44"/>
  <c r="BH25" i="44"/>
  <c r="BH84" i="44"/>
  <c r="BH99" i="44"/>
  <c r="BH74" i="44"/>
  <c r="BH39" i="44"/>
  <c r="BH78" i="44"/>
  <c r="BH69" i="44"/>
  <c r="BH101" i="44"/>
  <c r="BH97" i="44"/>
  <c r="BH73" i="44"/>
  <c r="BH13" i="44"/>
  <c r="BH19" i="44"/>
  <c r="BH54" i="44"/>
  <c r="BH48" i="44"/>
  <c r="BH72" i="44"/>
  <c r="BH106" i="44"/>
  <c r="BH64" i="44"/>
  <c r="BH29" i="44"/>
  <c r="BH55" i="44"/>
  <c r="BH30" i="44"/>
  <c r="BH20" i="44"/>
  <c r="BH96" i="44"/>
  <c r="BH12" i="44"/>
  <c r="BH36" i="44"/>
  <c r="BH81" i="44"/>
  <c r="BH23" i="44"/>
  <c r="BH66" i="44"/>
  <c r="BH52" i="44"/>
  <c r="BH34" i="44"/>
  <c r="BH61" i="44"/>
  <c r="BH49" i="44"/>
  <c r="BH8" i="44"/>
  <c r="BH9" i="44"/>
  <c r="BH10" i="44"/>
  <c r="BH90" i="44"/>
  <c r="BH18" i="44"/>
  <c r="BH103" i="44"/>
  <c r="BH80" i="44"/>
  <c r="BH42" i="44"/>
  <c r="BH86" i="44"/>
  <c r="BH32" i="44"/>
  <c r="BH37" i="44"/>
  <c r="BH95" i="44"/>
  <c r="BH71" i="44"/>
  <c r="BH40" i="44"/>
  <c r="BH91" i="44"/>
  <c r="BH70" i="44"/>
  <c r="BH24" i="44"/>
  <c r="BH46" i="44"/>
  <c r="BH76" i="44"/>
  <c r="BH102" i="44"/>
  <c r="BH28" i="44"/>
  <c r="BH93" i="44"/>
  <c r="BH63" i="44"/>
  <c r="BH26" i="44"/>
  <c r="BH89" i="44"/>
  <c r="BH56" i="44"/>
  <c r="BH14" i="44"/>
  <c r="BH51" i="44"/>
  <c r="BH88" i="44"/>
  <c r="BH62" i="44"/>
  <c r="BH38" i="44"/>
  <c r="BH17" i="44"/>
  <c r="BH45" i="44"/>
  <c r="BH53" i="44"/>
  <c r="BB71" i="44"/>
  <c r="BB96" i="44"/>
  <c r="BB67" i="44"/>
  <c r="BB106" i="44"/>
  <c r="BB18" i="44"/>
  <c r="BB105" i="44"/>
  <c r="BB57" i="44"/>
  <c r="BB51" i="44"/>
  <c r="BB101" i="44"/>
  <c r="BB85" i="44"/>
  <c r="BB23" i="44"/>
  <c r="BB104" i="44"/>
  <c r="BB28" i="44"/>
  <c r="BB72" i="44"/>
  <c r="BB32" i="44"/>
  <c r="BB12" i="44"/>
  <c r="BB48" i="44"/>
  <c r="BB50" i="44"/>
  <c r="BB15" i="44"/>
  <c r="BB30" i="44"/>
  <c r="BB83" i="44"/>
  <c r="BB13" i="44"/>
  <c r="BB42" i="44"/>
  <c r="BB52" i="44"/>
  <c r="BF26" i="44"/>
  <c r="BF30" i="44"/>
  <c r="BF102" i="44"/>
  <c r="BF42" i="44"/>
  <c r="BF85" i="44"/>
  <c r="BF81" i="44"/>
  <c r="BF63" i="44"/>
  <c r="BF13" i="44"/>
  <c r="U29" i="44"/>
  <c r="AD29" i="44" s="1"/>
  <c r="AE20" i="44"/>
  <c r="AF62" i="44"/>
  <c r="AF42" i="44"/>
  <c r="U61" i="44"/>
  <c r="AD61" i="44" s="1"/>
  <c r="U24" i="44"/>
  <c r="AD24" i="44" s="1"/>
  <c r="AC48" i="44"/>
  <c r="BH27" i="44"/>
  <c r="BH57" i="44"/>
  <c r="BH67" i="44"/>
  <c r="BH98" i="44"/>
  <c r="BD52" i="44"/>
  <c r="BD80" i="44"/>
  <c r="BD46" i="44"/>
  <c r="BJ91" i="44"/>
  <c r="BJ69" i="44"/>
  <c r="U33" i="44"/>
  <c r="AD33" i="44" s="1"/>
  <c r="C74" i="44"/>
  <c r="I19" i="44"/>
  <c r="AD19" i="44"/>
  <c r="J18" i="44"/>
  <c r="J64" i="44"/>
  <c r="J63" i="44"/>
  <c r="J43" i="44"/>
  <c r="J29" i="44"/>
  <c r="I21" i="44"/>
  <c r="AD21" i="44"/>
  <c r="I25" i="44"/>
  <c r="I49" i="44"/>
  <c r="X20" i="44"/>
  <c r="X38" i="44"/>
  <c r="X52" i="44"/>
  <c r="X29" i="44"/>
  <c r="X55" i="44"/>
  <c r="X62" i="44"/>
  <c r="X57" i="44"/>
  <c r="X58" i="44"/>
  <c r="X21" i="44"/>
  <c r="X27" i="44"/>
  <c r="X33" i="44"/>
  <c r="X45" i="44"/>
  <c r="X50" i="44"/>
  <c r="X43" i="44"/>
  <c r="X56" i="44"/>
  <c r="X19" i="44"/>
  <c r="X25" i="44"/>
  <c r="X26" i="44"/>
  <c r="X22" i="44"/>
  <c r="X48" i="44"/>
  <c r="X42" i="44"/>
  <c r="X44" i="44"/>
  <c r="X59" i="44"/>
  <c r="X18" i="44"/>
  <c r="X47" i="44"/>
  <c r="X61" i="44"/>
  <c r="X53" i="44"/>
  <c r="X54" i="44"/>
  <c r="X60" i="44"/>
  <c r="X51" i="44"/>
  <c r="X24" i="44"/>
  <c r="X49" i="44"/>
  <c r="X23" i="44"/>
  <c r="X46" i="44"/>
  <c r="X32" i="44"/>
  <c r="AD27" i="44" l="1"/>
  <c r="C75" i="44"/>
  <c r="AD60" i="44"/>
  <c r="I54" i="44"/>
  <c r="C73" i="44"/>
  <c r="J22" i="41"/>
  <c r="G22" i="41" s="1"/>
  <c r="F170" i="23" s="1"/>
  <c r="Z29" i="23" s="1"/>
  <c r="I58" i="44"/>
  <c r="I24" i="44"/>
  <c r="AD45" i="44"/>
  <c r="AD59" i="44"/>
  <c r="AD42" i="44"/>
  <c r="AD22" i="44"/>
  <c r="I29" i="44"/>
  <c r="Y44" i="44"/>
  <c r="AD38" i="44"/>
  <c r="Y58" i="44"/>
  <c r="I46" i="44"/>
  <c r="AD20" i="44"/>
  <c r="I26" i="44"/>
  <c r="AD47" i="44"/>
  <c r="AD43" i="44"/>
  <c r="AD53" i="44"/>
  <c r="D75" i="44"/>
  <c r="I57" i="44"/>
  <c r="I48" i="44"/>
  <c r="I55" i="44"/>
  <c r="I61" i="44"/>
  <c r="I44" i="44"/>
  <c r="AD23" i="44"/>
  <c r="AJ38" i="44"/>
  <c r="Y24" i="44"/>
  <c r="Y26" i="44"/>
  <c r="Y55" i="44"/>
  <c r="Y21" i="44"/>
  <c r="Y52" i="44"/>
  <c r="D73" i="44"/>
  <c r="AD56" i="44"/>
  <c r="Y18" i="44"/>
  <c r="Y19" i="44"/>
  <c r="Y51" i="44"/>
  <c r="AD52" i="44"/>
  <c r="AD18" i="44"/>
  <c r="Y29" i="44"/>
  <c r="Y57" i="44"/>
  <c r="Y59" i="44"/>
  <c r="AD51" i="44"/>
  <c r="Y47" i="44"/>
  <c r="D74" i="44"/>
  <c r="I74" i="44" s="1"/>
  <c r="AD50" i="44"/>
  <c r="Y32" i="44"/>
  <c r="Y38" i="44"/>
  <c r="Y30" i="44"/>
  <c r="J30" i="44" s="1"/>
  <c r="AI30" i="44" s="1"/>
  <c r="AJ30" i="44" s="1"/>
  <c r="Y42" i="44"/>
  <c r="Y34" i="44"/>
  <c r="Y54" i="44"/>
  <c r="Y22" i="44"/>
  <c r="Y25" i="44"/>
  <c r="Y20" i="44"/>
  <c r="D76" i="44"/>
  <c r="I76" i="44" s="1"/>
  <c r="Y56" i="44"/>
  <c r="Y49" i="44"/>
  <c r="Y60" i="44"/>
  <c r="Y27" i="44"/>
  <c r="Y45" i="44"/>
  <c r="Y48" i="44"/>
  <c r="Y23" i="44"/>
  <c r="Y62" i="44"/>
  <c r="AD62" i="44"/>
  <c r="Y61" i="44"/>
  <c r="Y46" i="44"/>
  <c r="Y50" i="44"/>
  <c r="Y43" i="44"/>
  <c r="Y53" i="44"/>
  <c r="Y63" i="44"/>
  <c r="Y64" i="44"/>
  <c r="Y33" i="44"/>
  <c r="J33" i="44"/>
  <c r="AI18" i="44"/>
  <c r="AJ18" i="44" s="1"/>
  <c r="AI63" i="44"/>
  <c r="M63" i="44" s="1"/>
  <c r="AI64" i="44"/>
  <c r="AJ64" i="44" s="1"/>
  <c r="AI29" i="44"/>
  <c r="M29" i="44" s="1"/>
  <c r="AI43" i="44"/>
  <c r="M43" i="44" s="1"/>
  <c r="I73" i="44" l="1"/>
  <c r="N88" i="44"/>
  <c r="O88" i="44" s="1"/>
  <c r="L63" i="44"/>
  <c r="AJ63" i="44"/>
  <c r="M64" i="44"/>
  <c r="AG64" i="44" s="1"/>
  <c r="D72" i="44" s="1"/>
  <c r="L64" i="44"/>
  <c r="M18" i="44"/>
  <c r="L18" i="44"/>
  <c r="N85" i="44"/>
  <c r="N63" i="44"/>
  <c r="AG63" i="44"/>
  <c r="L43" i="44"/>
  <c r="AJ43" i="44"/>
  <c r="L29" i="44"/>
  <c r="AJ29" i="44"/>
  <c r="L86" i="44" s="1"/>
  <c r="M85" i="44" s="1"/>
  <c r="O85" i="44" l="1"/>
  <c r="S29" i="44" s="1"/>
  <c r="AG18" i="44"/>
  <c r="N18" i="44"/>
  <c r="G71" i="44" s="1"/>
  <c r="N64" i="44"/>
  <c r="AA190" i="23"/>
  <c r="AI190" i="23" s="1"/>
  <c r="AG43" i="44"/>
  <c r="D71" i="44" s="1"/>
  <c r="N42" i="44"/>
  <c r="S30" i="44" l="1"/>
  <c r="S28" i="44" s="1"/>
  <c r="O28" i="44" s="1"/>
  <c r="AE54" i="23" s="1"/>
  <c r="AJ54" i="23" s="1"/>
  <c r="S38" i="44"/>
  <c r="AA187" i="23"/>
  <c r="AI187" i="23" s="1"/>
  <c r="AA186" i="23"/>
  <c r="AI186" i="23" s="1"/>
  <c r="C72" i="44"/>
  <c r="I72" i="44" s="1"/>
  <c r="C71" i="44"/>
  <c r="I71" i="44" s="1"/>
  <c r="N83" i="44" l="1"/>
  <c r="O83" i="44" s="1"/>
  <c r="N81" i="44"/>
  <c r="O81" i="44" s="1"/>
  <c r="S18" i="44" l="1"/>
  <c r="O18" i="44" s="1"/>
  <c r="AA69" i="23"/>
  <c r="AI69" i="23" s="1"/>
  <c r="J66" i="23" s="1"/>
  <c r="AJ20" i="23" s="1"/>
  <c r="B20" i="23" s="1"/>
  <c r="G16" i="46" s="1"/>
  <c r="H16" i="46" s="1"/>
  <c r="I16" i="46" s="1"/>
  <c r="S36" i="44"/>
  <c r="O36" i="44"/>
  <c r="S37" i="44" s="1"/>
  <c r="AA77" i="23" l="1"/>
  <c r="AI77" i="23" s="1"/>
  <c r="J74" i="23" s="1"/>
  <c r="O37" i="44"/>
  <c r="AA50" i="23" l="1"/>
  <c r="AA48" i="23" s="1"/>
  <c r="AI48" i="23" s="1"/>
  <c r="AA109" i="23"/>
  <c r="AI109" i="23" s="1"/>
  <c r="AA110" i="23"/>
  <c r="AI110" i="23" s="1"/>
  <c r="AJ21" i="23"/>
  <c r="B21" i="23" s="1"/>
  <c r="J106" i="23" l="1"/>
  <c r="AJ23" i="23" s="1"/>
  <c r="R31" i="44"/>
  <c r="R34" i="44" s="1"/>
  <c r="Q34" i="44" s="1"/>
  <c r="AA47" i="23"/>
  <c r="AI47" i="23" s="1"/>
  <c r="B23" i="23" l="1"/>
  <c r="G17" i="46" s="1"/>
  <c r="W34" i="44"/>
  <c r="N34" i="44"/>
  <c r="D32" i="44"/>
  <c r="R33" i="44"/>
  <c r="R32" i="44"/>
  <c r="F31" i="44"/>
  <c r="D87" i="44" s="1"/>
  <c r="L87" i="44"/>
  <c r="M87" i="44" s="1"/>
  <c r="H17" i="46" l="1"/>
  <c r="I17" i="46" s="1"/>
  <c r="E34" i="44"/>
  <c r="I34" i="44"/>
  <c r="F34" i="44"/>
  <c r="Q32" i="44"/>
  <c r="W32" i="44"/>
  <c r="Q33" i="44"/>
  <c r="N33" i="44" s="1"/>
  <c r="W33" i="44"/>
  <c r="B27" i="46" a="1"/>
  <c r="X34" i="44"/>
  <c r="B30" i="46" a="1"/>
  <c r="B15" i="46" a="1"/>
  <c r="B18" i="46" a="1"/>
  <c r="B21" i="46" a="1"/>
  <c r="B36" i="46" a="1"/>
  <c r="B33" i="46" a="1"/>
  <c r="B39" i="46" a="1"/>
  <c r="B24" i="46" a="1"/>
  <c r="B21" i="46" l="1"/>
  <c r="D22" i="46" s="1"/>
  <c r="D24" i="46" s="1"/>
  <c r="B33" i="46"/>
  <c r="D34" i="46" s="1"/>
  <c r="D35" i="46" s="1"/>
  <c r="B24" i="46"/>
  <c r="D25" i="46" s="1"/>
  <c r="D26" i="46" s="1"/>
  <c r="B18" i="46"/>
  <c r="D19" i="46" s="1"/>
  <c r="D20" i="46" s="1"/>
  <c r="B30" i="46"/>
  <c r="D31" i="46" s="1"/>
  <c r="D32" i="46" s="1"/>
  <c r="B36" i="46"/>
  <c r="D37" i="46" s="1"/>
  <c r="D38" i="46" s="1"/>
  <c r="B39" i="46"/>
  <c r="D40" i="46" s="1"/>
  <c r="D42" i="46" s="1"/>
  <c r="B15" i="46"/>
  <c r="C15" i="46" s="1"/>
  <c r="B27" i="46"/>
  <c r="D28" i="46" s="1"/>
  <c r="D30" i="46" s="1"/>
  <c r="AE34" i="44"/>
  <c r="J34" i="44" s="1"/>
  <c r="AI34" i="44" s="1"/>
  <c r="AJ34" i="44" s="1"/>
  <c r="E33" i="44"/>
  <c r="I33" i="44"/>
  <c r="AI33" i="44"/>
  <c r="AI32" i="44"/>
  <c r="E32" i="44"/>
  <c r="I32" i="44"/>
  <c r="N32" i="44"/>
  <c r="O32" i="44"/>
  <c r="C34" i="46" l="1"/>
  <c r="C37" i="46"/>
  <c r="C33" i="46"/>
  <c r="D41" i="46"/>
  <c r="C21" i="46"/>
  <c r="D23" i="46"/>
  <c r="C23" i="46"/>
  <c r="C19" i="46"/>
  <c r="C41" i="46"/>
  <c r="C20" i="46"/>
  <c r="D36" i="46"/>
  <c r="C22" i="46"/>
  <c r="C36" i="46"/>
  <c r="C25" i="46"/>
  <c r="D27" i="46"/>
  <c r="C24" i="46"/>
  <c r="D39" i="46"/>
  <c r="C17" i="46"/>
  <c r="C29" i="46"/>
  <c r="C31" i="46"/>
  <c r="C30" i="46"/>
  <c r="C32" i="46"/>
  <c r="C26" i="46"/>
  <c r="D21" i="46"/>
  <c r="C38" i="46"/>
  <c r="C16" i="46"/>
  <c r="D33" i="46"/>
  <c r="C18" i="46"/>
  <c r="C39" i="46"/>
  <c r="D29" i="46"/>
  <c r="C28" i="46"/>
  <c r="C27" i="46"/>
  <c r="C40" i="46"/>
  <c r="C35" i="46"/>
  <c r="D16" i="46"/>
  <c r="D18" i="46" s="1"/>
  <c r="L32" i="44"/>
  <c r="M32" i="44"/>
  <c r="AJ32" i="44"/>
  <c r="L33" i="44"/>
  <c r="AJ33" i="44"/>
  <c r="M33" i="44" s="1"/>
  <c r="H75" i="44" s="1"/>
  <c r="I75" i="44" s="1"/>
  <c r="D17" i="46" l="1"/>
  <c r="N87" i="44"/>
  <c r="O87" i="44" s="1"/>
  <c r="AG33" i="44"/>
  <c r="S32" i="44" l="1"/>
  <c r="S34" i="44"/>
  <c r="O34" i="44" s="1"/>
  <c r="S33" i="44"/>
  <c r="O33" i="44" s="1"/>
  <c r="S31" i="44" l="1"/>
  <c r="O31" i="44" s="1"/>
  <c r="AE47" i="23" s="1"/>
  <c r="AJ47" i="23" s="1"/>
  <c r="J45" i="23" s="1"/>
  <c r="AI17" i="23" s="1"/>
  <c r="B17"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<sst xmlns="http://schemas.openxmlformats.org/spreadsheetml/2006/main" count="1413" uniqueCount="744">
  <si>
    <t>利用定員</t>
    <rPh sb="0" eb="2">
      <t>リヨウ</t>
    </rPh>
    <rPh sb="2" eb="4">
      <t>テイイン</t>
    </rPh>
    <phoneticPr fontId="1"/>
  </si>
  <si>
    <t>合計</t>
    <rPh sb="0" eb="2">
      <t>ゴウケイ</t>
    </rPh>
    <phoneticPr fontId="1"/>
  </si>
  <si>
    <t>施設名</t>
    <rPh sb="0" eb="2">
      <t>シセツ</t>
    </rPh>
    <rPh sb="2" eb="3">
      <t>メイ</t>
    </rPh>
    <phoneticPr fontId="1"/>
  </si>
  <si>
    <t>施設名</t>
    <rPh sb="0" eb="2">
      <t>シセツ</t>
    </rPh>
    <rPh sb="2" eb="3">
      <t>メイ</t>
    </rPh>
    <phoneticPr fontId="3"/>
  </si>
  <si>
    <t>2号</t>
    <rPh sb="1" eb="2">
      <t>ゴウ</t>
    </rPh>
    <phoneticPr fontId="1"/>
  </si>
  <si>
    <t>3号</t>
    <rPh sb="1" eb="2">
      <t>ゴウ</t>
    </rPh>
    <phoneticPr fontId="1"/>
  </si>
  <si>
    <t>栄養士</t>
    <rPh sb="0" eb="3">
      <t>エイヨウシ</t>
    </rPh>
    <phoneticPr fontId="1"/>
  </si>
  <si>
    <t>その他</t>
    <rPh sb="2" eb="3">
      <t>タ</t>
    </rPh>
    <phoneticPr fontId="1"/>
  </si>
  <si>
    <t>常勤</t>
    <rPh sb="0" eb="2">
      <t>ジョウキン</t>
    </rPh>
    <phoneticPr fontId="1"/>
  </si>
  <si>
    <t>非常勤</t>
    <rPh sb="0" eb="3">
      <t>ヒジョウキン</t>
    </rPh>
    <phoneticPr fontId="1"/>
  </si>
  <si>
    <t>職員名簿</t>
  </si>
  <si>
    <t>年</t>
    <rPh sb="0" eb="1">
      <t>ネン</t>
    </rPh>
    <phoneticPr fontId="1"/>
  </si>
  <si>
    <t>施設・事業所名</t>
    <rPh sb="0" eb="2">
      <t>シセツ</t>
    </rPh>
    <rPh sb="3" eb="6">
      <t>ジギョウショ</t>
    </rPh>
    <rPh sb="6" eb="7">
      <t>メイ</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</si>
  <si>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</si>
  <si>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</si>
  <si>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</si>
  <si>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</si>
  <si>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</si>
  <si>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</si>
  <si>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</si>
  <si>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</si>
  <si>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</si>
  <si>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処遇改善等加算Ⅰ</t>
    <rPh sb="0" eb="2">
      <t>ショグウ</t>
    </rPh>
    <rPh sb="2" eb="4">
      <t>カイゼン</t>
    </rPh>
    <rPh sb="4" eb="5">
      <t>トウ</t>
    </rPh>
    <rPh sb="5" eb="7">
      <t>カサン</t>
    </rPh>
    <phoneticPr fontId="1"/>
  </si>
  <si>
    <t>加減調整部分</t>
    <rPh sb="0" eb="2">
      <t>カゲン</t>
    </rPh>
    <rPh sb="2" eb="4">
      <t>チョウセイ</t>
    </rPh>
    <rPh sb="4" eb="6">
      <t>ブブン</t>
    </rPh>
    <phoneticPr fontId="1"/>
  </si>
  <si>
    <t>特定加算部分</t>
    <rPh sb="0" eb="2">
      <t>トクテイ</t>
    </rPh>
    <rPh sb="2" eb="4">
      <t>カサン</t>
    </rPh>
    <rPh sb="4" eb="6">
      <t>ブブン</t>
    </rPh>
    <phoneticPr fontId="1"/>
  </si>
  <si>
    <t>処遇改善等加算Ⅱ</t>
    <rPh sb="0" eb="2">
      <t>ショグウ</t>
    </rPh>
    <rPh sb="2" eb="4">
      <t>カイゼン</t>
    </rPh>
    <rPh sb="4" eb="5">
      <t>トウ</t>
    </rPh>
    <rPh sb="5" eb="7">
      <t>カサン</t>
    </rPh>
    <phoneticPr fontId="1"/>
  </si>
  <si>
    <t>冷暖房費加算</t>
    <rPh sb="0" eb="3">
      <t>レイダンボウ</t>
    </rPh>
    <rPh sb="3" eb="4">
      <t>ヒ</t>
    </rPh>
    <rPh sb="4" eb="6">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</si>
  <si>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</si>
  <si>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</si>
  <si>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</si>
  <si>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栄養管理加算</t>
    <rPh sb="0" eb="2">
      <t>エイヨウ</t>
    </rPh>
    <rPh sb="2" eb="4">
      <t>カンリ</t>
    </rPh>
    <rPh sb="4" eb="6">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</si>
  <si>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</si>
  <si>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</si>
  <si>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1　処遇改善等加算Ⅰ</t>
    <rPh sb="2" eb="4">
      <t>ショグウ</t>
    </rPh>
    <rPh sb="4" eb="6">
      <t>カイゼン</t>
    </rPh>
    <rPh sb="6" eb="7">
      <t>トウ</t>
    </rPh>
    <rPh sb="7" eb="9">
      <t>カサン</t>
    </rPh>
    <phoneticPr fontId="1"/>
  </si>
  <si>
    <t>添付書類</t>
    <rPh sb="0" eb="2">
      <t>テンプ</t>
    </rPh>
    <rPh sb="2" eb="4">
      <t>ショルイ</t>
    </rPh>
    <phoneticPr fontId="1"/>
  </si>
  <si>
    <t>○</t>
    <phoneticPr fontId="1"/>
  </si>
  <si>
    <t>（あて先）札幌市長</t>
    <rPh sb="3" eb="4">
      <t>サキ</t>
    </rPh>
    <rPh sb="5" eb="9">
      <t>サッポロシチョウ</t>
    </rPh>
    <phoneticPr fontId="1"/>
  </si>
  <si>
    <t>月現在</t>
    <rPh sb="0" eb="1">
      <t>ガツ</t>
    </rPh>
    <rPh sb="1" eb="3">
      <t>ゲンザイ</t>
    </rPh>
    <phoneticPr fontId="1"/>
  </si>
  <si>
    <t>○</t>
  </si>
  <si>
    <t>札幌市審査用</t>
    <rPh sb="0" eb="3">
      <t>サッポロシ</t>
    </rPh>
    <rPh sb="3" eb="6">
      <t>シンサヨウ</t>
    </rPh>
    <phoneticPr fontId="1"/>
  </si>
  <si>
    <t>別途、所定の様式により申請する。</t>
    <rPh sb="0" eb="2">
      <t>ベット</t>
    </rPh>
    <rPh sb="3" eb="5">
      <t>ショテイ</t>
    </rPh>
    <rPh sb="6" eb="8">
      <t>ヨウシキ</t>
    </rPh>
    <rPh sb="11" eb="13">
      <t>シンセイ</t>
    </rPh>
    <phoneticPr fontId="1"/>
  </si>
  <si>
    <t>3月加算</t>
    <rPh sb="1" eb="2">
      <t>ガツ</t>
    </rPh>
    <rPh sb="2" eb="4">
      <t>カサン</t>
    </rPh>
    <phoneticPr fontId="1"/>
  </si>
  <si>
    <t>2級地</t>
    <rPh sb="1" eb="2">
      <t>キュウ</t>
    </rPh>
    <rPh sb="2" eb="3">
      <t>チ</t>
    </rPh>
    <phoneticPr fontId="1"/>
  </si>
  <si>
    <t>西暦</t>
    <rPh sb="0" eb="2">
      <t>セイレキ</t>
    </rPh>
    <phoneticPr fontId="1"/>
  </si>
  <si>
    <t>札幌市は対象外です。</t>
    <rPh sb="0" eb="3">
      <t>サッポロシ</t>
    </rPh>
    <rPh sb="4" eb="7">
      <t>タイショウガイ</t>
    </rPh>
    <phoneticPr fontId="1"/>
  </si>
  <si>
    <t>特児</t>
    <rPh sb="0" eb="2">
      <t>トクジ</t>
    </rPh>
    <phoneticPr fontId="1"/>
  </si>
  <si>
    <t>療育</t>
    <rPh sb="0" eb="2">
      <t>リョウイク</t>
    </rPh>
    <phoneticPr fontId="1"/>
  </si>
  <si>
    <t>選択</t>
    <rPh sb="0" eb="2">
      <t>センタク</t>
    </rPh>
    <phoneticPr fontId="1"/>
  </si>
  <si>
    <t>月</t>
    <rPh sb="0" eb="1">
      <t>ツキ</t>
    </rPh>
    <phoneticPr fontId="1"/>
  </si>
  <si>
    <t>チーム</t>
    <phoneticPr fontId="1"/>
  </si>
  <si>
    <t>②</t>
    <phoneticPr fontId="1"/>
  </si>
  <si>
    <t>③</t>
    <phoneticPr fontId="1"/>
  </si>
  <si>
    <t>④</t>
    <phoneticPr fontId="1"/>
  </si>
  <si>
    <t>⑤</t>
    <phoneticPr fontId="1"/>
  </si>
  <si>
    <t>基準日</t>
    <rPh sb="0" eb="3">
      <t>キジュンビ</t>
    </rPh>
    <phoneticPr fontId="1"/>
  </si>
  <si>
    <t>②職員状況</t>
    <rPh sb="1" eb="3">
      <t>ショクイン</t>
    </rPh>
    <rPh sb="3" eb="5">
      <t>ジョウキョウ</t>
    </rPh>
    <phoneticPr fontId="1"/>
  </si>
  <si>
    <t>判定</t>
    <rPh sb="0" eb="2">
      <t>ハンテイ</t>
    </rPh>
    <phoneticPr fontId="1"/>
  </si>
  <si>
    <t>有給</t>
    <rPh sb="0" eb="2">
      <t>ユウキュウ</t>
    </rPh>
    <phoneticPr fontId="1"/>
  </si>
  <si>
    <t>無給</t>
    <rPh sb="0" eb="2">
      <t>ムキュウ</t>
    </rPh>
    <phoneticPr fontId="1"/>
  </si>
  <si>
    <t>初日時点の給与状況</t>
    <rPh sb="0" eb="2">
      <t>ショニチ</t>
    </rPh>
    <rPh sb="2" eb="4">
      <t>ジテン</t>
    </rPh>
    <rPh sb="5" eb="7">
      <t>キュウヨ</t>
    </rPh>
    <rPh sb="7" eb="9">
      <t>ジョウキョウ</t>
    </rPh>
    <phoneticPr fontId="1"/>
  </si>
  <si>
    <t>×</t>
    <phoneticPr fontId="1"/>
  </si>
  <si>
    <t>項目</t>
    <rPh sb="0" eb="2">
      <t>コウモク</t>
    </rPh>
    <phoneticPr fontId="1"/>
  </si>
  <si>
    <t>チーム保育加配加算</t>
    <rPh sb="3" eb="9">
      <t>ホイクカハイカサン</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</si>
  <si>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</si>
  <si>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</si>
  <si>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</si>
  <si>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</si>
  <si>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</si>
  <si>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</si>
  <si>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</si>
  <si>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</si>
  <si>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</si>
  <si>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</si>
  <si>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</si>
  <si>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月時点</t>
    <rPh sb="0" eb="1">
      <t>ガツ</t>
    </rPh>
    <rPh sb="1" eb="3">
      <t>ジテン</t>
    </rPh>
    <phoneticPr fontId="1"/>
  </si>
  <si>
    <t>申請届出状況</t>
    <rPh sb="0" eb="2">
      <t>シンセイ</t>
    </rPh>
    <rPh sb="2" eb="4">
      <t>トドケデ</t>
    </rPh>
    <rPh sb="4" eb="6">
      <t>ジョウキョウ</t>
    </rPh>
    <phoneticPr fontId="1"/>
  </si>
  <si>
    <t>≪作成にあたって≫</t>
    <rPh sb="1" eb="3">
      <t>サクセイ</t>
    </rPh>
    <phoneticPr fontId="1"/>
  </si>
  <si>
    <t>≪施設状況の記載≫</t>
    <rPh sb="1" eb="3">
      <t>シセツ</t>
    </rPh>
    <rPh sb="3" eb="5">
      <t>ジョウキョウ</t>
    </rPh>
    <rPh sb="6" eb="8">
      <t>キサイ</t>
    </rPh>
    <phoneticPr fontId="1"/>
  </si>
  <si>
    <t>申請の有無</t>
    <rPh sb="0" eb="2">
      <t>シンセイ</t>
    </rPh>
    <rPh sb="3" eb="5">
      <t>ウム</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</si>
  <si>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</si>
  <si>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A</t>
    <phoneticPr fontId="1"/>
  </si>
  <si>
    <t>B</t>
    <phoneticPr fontId="1"/>
  </si>
  <si>
    <t>基礎</t>
    <rPh sb="0" eb="2">
      <t>キソ</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</si>
  <si>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</si>
  <si>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</si>
  <si>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</si>
  <si>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</si>
  <si>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本園</t>
    <rPh sb="0" eb="1">
      <t>ホン</t>
    </rPh>
    <rPh sb="1" eb="2">
      <t>エン</t>
    </rPh>
    <phoneticPr fontId="1"/>
  </si>
  <si>
    <t>減価償却費加算</t>
    <rPh sb="0" eb="2">
      <t>ゲンカ</t>
    </rPh>
    <rPh sb="2" eb="4">
      <t>ショウキャク</t>
    </rPh>
    <rPh sb="4" eb="5">
      <t>ヒ</t>
    </rPh>
    <rPh sb="5" eb="7">
      <t>カサン</t>
    </rPh>
    <phoneticPr fontId="1"/>
  </si>
  <si>
    <t>賃借料加算</t>
    <rPh sb="0" eb="3">
      <t>チンシャクリョウ</t>
    </rPh>
    <rPh sb="3" eb="5">
      <t>カサン</t>
    </rPh>
    <phoneticPr fontId="1"/>
  </si>
  <si>
    <t>上記「3」に該当しなくても、右欄の要件全てに該当する改修等を行った場合は「3」に該当する。</t>
    <rPh sb="0" eb="2">
      <t>ジョウキ</t>
    </rPh>
    <rPh sb="6" eb="8">
      <t>ガイトウ</t>
    </rPh>
    <rPh sb="14" eb="15">
      <t>ミギ</t>
    </rPh>
    <rPh sb="15" eb="16">
      <t>ラン</t>
    </rPh>
    <rPh sb="17" eb="19">
      <t>ヨウケン</t>
    </rPh>
    <rPh sb="19" eb="20">
      <t>スベ</t>
    </rPh>
    <rPh sb="22" eb="24">
      <t>ガイトウ</t>
    </rPh>
    <rPh sb="26" eb="28">
      <t>カイシュウ</t>
    </rPh>
    <rPh sb="28" eb="29">
      <t>トウ</t>
    </rPh>
    <rPh sb="30" eb="31">
      <t>オコナ</t>
    </rPh>
    <rPh sb="33" eb="35">
      <t>バアイ</t>
    </rPh>
    <rPh sb="40" eb="42">
      <t>ガイトウ</t>
    </rPh>
    <phoneticPr fontId="1"/>
  </si>
  <si>
    <t>①</t>
    <phoneticPr fontId="1"/>
  </si>
  <si>
    <t>　当該改修等に当たって、国庫補助の交付を受けていない</t>
    <phoneticPr fontId="1"/>
  </si>
  <si>
    <t>入所</t>
    <rPh sb="0" eb="2">
      <t>ニュウショ</t>
    </rPh>
    <phoneticPr fontId="1"/>
  </si>
  <si>
    <t>400-800</t>
    <phoneticPr fontId="1"/>
  </si>
  <si>
    <t>800-1200</t>
    <phoneticPr fontId="1"/>
  </si>
  <si>
    <t>1200-</t>
    <phoneticPr fontId="1"/>
  </si>
  <si>
    <t>①</t>
    <phoneticPr fontId="1"/>
  </si>
  <si>
    <t>調理員</t>
    <rPh sb="0" eb="3">
      <t>チョウリイン</t>
    </rPh>
    <phoneticPr fontId="1"/>
  </si>
  <si>
    <t>正職</t>
    <rPh sb="0" eb="2">
      <t>セイショク</t>
    </rPh>
    <phoneticPr fontId="1"/>
  </si>
  <si>
    <t>臨職</t>
    <rPh sb="0" eb="2">
      <t>リンショク</t>
    </rPh>
    <phoneticPr fontId="1"/>
  </si>
  <si>
    <t>区分</t>
    <rPh sb="0" eb="2">
      <t>クブン</t>
    </rPh>
    <phoneticPr fontId="1"/>
  </si>
  <si>
    <t>障がい児保育加算</t>
    <rPh sb="0" eb="1">
      <t>ショウ</t>
    </rPh>
    <rPh sb="3" eb="4">
      <t>ジ</t>
    </rPh>
    <rPh sb="4" eb="6">
      <t>ホイク</t>
    </rPh>
    <rPh sb="6" eb="8">
      <t>カサン</t>
    </rPh>
    <phoneticPr fontId="1"/>
  </si>
  <si>
    <t>障害児保育加算</t>
    <rPh sb="0" eb="2">
      <t>ショウガイ</t>
    </rPh>
    <rPh sb="2" eb="3">
      <t>ジ</t>
    </rPh>
    <rPh sb="3" eb="5">
      <t>ホイク</t>
    </rPh>
    <rPh sb="5" eb="7">
      <t>カサン</t>
    </rPh>
    <phoneticPr fontId="1"/>
  </si>
  <si>
    <t>3月加算については、11月頃（締切は12月末）に3月加算用申請書を依頼いたします。</t>
    <phoneticPr fontId="1"/>
  </si>
  <si>
    <t>障がい児氏名</t>
    <rPh sb="0" eb="1">
      <t>ショウ</t>
    </rPh>
    <rPh sb="3" eb="4">
      <t>ジ</t>
    </rPh>
    <rPh sb="4" eb="6">
      <t>シメイ</t>
    </rPh>
    <phoneticPr fontId="1"/>
  </si>
  <si>
    <t>生年月日</t>
    <rPh sb="0" eb="2">
      <t>セイネン</t>
    </rPh>
    <rPh sb="2" eb="4">
      <t>ガッピ</t>
    </rPh>
    <phoneticPr fontId="1"/>
  </si>
  <si>
    <t>障がい認定日</t>
    <rPh sb="0" eb="1">
      <t>ショウ</t>
    </rPh>
    <rPh sb="3" eb="5">
      <t>ニンテイ</t>
    </rPh>
    <rPh sb="5" eb="6">
      <t>ビ</t>
    </rPh>
    <phoneticPr fontId="1"/>
  </si>
  <si>
    <t>入所日</t>
    <rPh sb="0" eb="2">
      <t>ニュウショ</t>
    </rPh>
    <rPh sb="2" eb="3">
      <t>ビ</t>
    </rPh>
    <phoneticPr fontId="1"/>
  </si>
  <si>
    <t>加算認定月</t>
    <rPh sb="0" eb="2">
      <t>カサン</t>
    </rPh>
    <rPh sb="2" eb="4">
      <t>ニンテイ</t>
    </rPh>
    <rPh sb="4" eb="5">
      <t>ツキ</t>
    </rPh>
    <phoneticPr fontId="1"/>
  </si>
  <si>
    <t>通常</t>
    <rPh sb="0" eb="2">
      <t>ツウジョウ</t>
    </rPh>
    <phoneticPr fontId="1"/>
  </si>
  <si>
    <t>障がい児</t>
    <rPh sb="0" eb="1">
      <t>ショウ</t>
    </rPh>
    <rPh sb="3" eb="4">
      <t>ジ</t>
    </rPh>
    <phoneticPr fontId="1"/>
  </si>
  <si>
    <t>dー都市部</t>
    <rPh sb="2" eb="5">
      <t>トシブ</t>
    </rPh>
    <phoneticPr fontId="1"/>
  </si>
  <si>
    <t>資格保有者加算</t>
    <rPh sb="0" eb="2">
      <t>シカク</t>
    </rPh>
    <rPh sb="2" eb="5">
      <t>ホユウシャ</t>
    </rPh>
    <rPh sb="5" eb="7">
      <t>カサン</t>
    </rPh>
    <phoneticPr fontId="1"/>
  </si>
  <si>
    <t>家庭的保育補助者加算</t>
    <rPh sb="0" eb="3">
      <t>カテイテキ</t>
    </rPh>
    <rPh sb="3" eb="5">
      <t>ホイク</t>
    </rPh>
    <rPh sb="5" eb="8">
      <t>ホジョシャ</t>
    </rPh>
    <rPh sb="8" eb="10">
      <t>カサン</t>
    </rPh>
    <phoneticPr fontId="1"/>
  </si>
  <si>
    <t>家庭的保育支援加算</t>
    <rPh sb="0" eb="3">
      <t>カテイテキ</t>
    </rPh>
    <rPh sb="3" eb="5">
      <t>ホイク</t>
    </rPh>
    <rPh sb="5" eb="7">
      <t>シエン</t>
    </rPh>
    <rPh sb="7" eb="9">
      <t>カサン</t>
    </rPh>
    <phoneticPr fontId="1"/>
  </si>
  <si>
    <t>障がい</t>
    <rPh sb="0" eb="1">
      <t>ショウ</t>
    </rPh>
    <phoneticPr fontId="1"/>
  </si>
  <si>
    <t>2　資格保有者加算</t>
    <rPh sb="2" eb="4">
      <t>シカク</t>
    </rPh>
    <rPh sb="4" eb="7">
      <t>ホユウシャ</t>
    </rPh>
    <rPh sb="7" eb="9">
      <t>カサン</t>
    </rPh>
    <phoneticPr fontId="1"/>
  </si>
  <si>
    <t>3　家庭的保育補助者加算</t>
    <rPh sb="2" eb="5">
      <t>カテイテキ</t>
    </rPh>
    <rPh sb="5" eb="7">
      <t>ホイク</t>
    </rPh>
    <rPh sb="7" eb="10">
      <t>ホジョシャ</t>
    </rPh>
    <rPh sb="10" eb="12">
      <t>カサン</t>
    </rPh>
    <phoneticPr fontId="1"/>
  </si>
  <si>
    <t>4　家庭的保育支援加算</t>
    <rPh sb="2" eb="5">
      <t>カテイテキ</t>
    </rPh>
    <rPh sb="5" eb="7">
      <t>ホイク</t>
    </rPh>
    <rPh sb="7" eb="9">
      <t>シエン</t>
    </rPh>
    <rPh sb="9" eb="11">
      <t>カサン</t>
    </rPh>
    <phoneticPr fontId="1"/>
  </si>
  <si>
    <t>5　障害児保育加算</t>
    <rPh sb="2" eb="4">
      <t>ショウガイ</t>
    </rPh>
    <rPh sb="4" eb="5">
      <t>ジ</t>
    </rPh>
    <rPh sb="5" eb="7">
      <t>ホイク</t>
    </rPh>
    <phoneticPr fontId="1"/>
  </si>
  <si>
    <t>6　減価償却費加算</t>
    <rPh sb="2" eb="4">
      <t>ゲンカ</t>
    </rPh>
    <rPh sb="4" eb="6">
      <t>ショウキャク</t>
    </rPh>
    <rPh sb="6" eb="7">
      <t>ヒ</t>
    </rPh>
    <rPh sb="7" eb="9">
      <t>カサン</t>
    </rPh>
    <phoneticPr fontId="1"/>
  </si>
  <si>
    <t>7　賃借料加算</t>
    <rPh sb="2" eb="5">
      <t>チンシャクリョウ</t>
    </rPh>
    <rPh sb="5" eb="7">
      <t>カサン</t>
    </rPh>
    <phoneticPr fontId="1"/>
  </si>
  <si>
    <t>8　連携施設を設定しない場合</t>
    <rPh sb="2" eb="4">
      <t>レンケイ</t>
    </rPh>
    <rPh sb="4" eb="6">
      <t>シセツ</t>
    </rPh>
    <rPh sb="7" eb="9">
      <t>セッテイ</t>
    </rPh>
    <rPh sb="12" eb="14">
      <t>バアイ</t>
    </rPh>
    <phoneticPr fontId="1"/>
  </si>
  <si>
    <t>9　食事の提供について自園調理又は連携施設等からの搬入以外の方法による場合</t>
    <phoneticPr fontId="1"/>
  </si>
  <si>
    <t>11　処遇改善等加算Ⅱ</t>
    <phoneticPr fontId="1"/>
  </si>
  <si>
    <t>エラー</t>
    <phoneticPr fontId="1"/>
  </si>
  <si>
    <t>【家庭的保育事業者】</t>
    <rPh sb="1" eb="4">
      <t>カテイテキ</t>
    </rPh>
    <rPh sb="4" eb="6">
      <t>ホイク</t>
    </rPh>
    <rPh sb="6" eb="8">
      <t>ジギョウ</t>
    </rPh>
    <rPh sb="8" eb="9">
      <t>シャ</t>
    </rPh>
    <phoneticPr fontId="1"/>
  </si>
  <si>
    <t>減算</t>
    <rPh sb="0" eb="2">
      <t>ゲンサン</t>
    </rPh>
    <phoneticPr fontId="1"/>
  </si>
  <si>
    <t>２級地</t>
    <rPh sb="1" eb="2">
      <t>キュウ</t>
    </rPh>
    <rPh sb="2" eb="3">
      <t>チ</t>
    </rPh>
    <phoneticPr fontId="1"/>
  </si>
  <si>
    <t>氏名</t>
    <rPh sb="0" eb="2">
      <t>シメイ</t>
    </rPh>
    <phoneticPr fontId="1"/>
  </si>
  <si>
    <t>時間</t>
    <rPh sb="0" eb="2">
      <t>ジカン</t>
    </rPh>
    <phoneticPr fontId="1"/>
  </si>
  <si>
    <t>常勤・非常勤</t>
    <rPh sb="0" eb="2">
      <t>ジョウキン</t>
    </rPh>
    <rPh sb="3" eb="6">
      <t>ヒジョウキン</t>
    </rPh>
    <phoneticPr fontId="1"/>
  </si>
  <si>
    <t>申請月</t>
    <rPh sb="0" eb="2">
      <t>シンセイ</t>
    </rPh>
    <rPh sb="2" eb="3">
      <t>ツキ</t>
    </rPh>
    <phoneticPr fontId="1"/>
  </si>
  <si>
    <t>所在区</t>
    <rPh sb="0" eb="2">
      <t>ショザイ</t>
    </rPh>
    <rPh sb="2" eb="3">
      <t>ク</t>
    </rPh>
    <phoneticPr fontId="1"/>
  </si>
  <si>
    <t>清田区</t>
    <rPh sb="0" eb="3">
      <t>キヨタク</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</si>
  <si>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</si>
  <si>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</si>
  <si>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</si>
  <si>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</si>
  <si>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</si>
  <si>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</si>
  <si>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</si>
  <si>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</si>
  <si>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</si>
  <si>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</si>
  <si>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</si>
  <si>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</si>
  <si>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</si>
  <si>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</si>
  <si>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合計</t>
    <rPh sb="0" eb="2">
      <t>ゴウケイ</t>
    </rPh>
    <phoneticPr fontId="3"/>
  </si>
  <si>
    <t>列2</t>
  </si>
  <si>
    <t>列3</t>
  </si>
  <si>
    <t>列4</t>
  </si>
  <si>
    <t>列5</t>
  </si>
  <si>
    <t>列6</t>
  </si>
  <si>
    <t>列7</t>
  </si>
  <si>
    <t>列8</t>
  </si>
  <si>
    <t>列9</t>
  </si>
  <si>
    <t>列10</t>
  </si>
  <si>
    <t>列11</t>
  </si>
  <si>
    <t>列12</t>
  </si>
  <si>
    <t>列13</t>
  </si>
  <si>
    <t>列132</t>
  </si>
  <si>
    <t>列14</t>
  </si>
  <si>
    <t>01私立</t>
  </si>
  <si>
    <t>北区</t>
  </si>
  <si>
    <t>東区</t>
  </si>
  <si>
    <t>清田区</t>
  </si>
  <si>
    <t>南区</t>
  </si>
  <si>
    <t>西区</t>
  </si>
  <si>
    <t>手稲区</t>
  </si>
  <si>
    <t>集計</t>
  </si>
  <si>
    <t>12</t>
  </si>
  <si>
    <t>保育室どんぐり</t>
  </si>
  <si>
    <t>保育ママたんぽぽ</t>
  </si>
  <si>
    <t>保育ママぐりぐら</t>
  </si>
  <si>
    <t>保育ママおひさま</t>
  </si>
  <si>
    <t>保育ママつぼみ</t>
  </si>
  <si>
    <t>保育るーむひなたぼっこ</t>
  </si>
  <si>
    <t>保育室ベリーベリー</t>
  </si>
  <si>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</si>
  <si>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</si>
  <si>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</si>
  <si>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</si>
  <si>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</si>
  <si>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</si>
  <si>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南区</t>
    <rPh sb="0" eb="2">
      <t>ミナミク</t>
    </rPh>
    <phoneticPr fontId="1"/>
  </si>
  <si>
    <t>西区</t>
    <rPh sb="0" eb="2">
      <t>ニシク</t>
    </rPh>
    <phoneticPr fontId="1"/>
  </si>
  <si>
    <t>手稲区</t>
    <rPh sb="0" eb="3">
      <t>テイネク</t>
    </rPh>
    <phoneticPr fontId="1"/>
  </si>
  <si>
    <t>施設種別</t>
    <rPh sb="0" eb="2">
      <t>シセツ</t>
    </rPh>
    <rPh sb="2" eb="4">
      <t>シュベツ</t>
    </rPh>
    <phoneticPr fontId="1"/>
  </si>
  <si>
    <t>○</t>
    <phoneticPr fontId="1"/>
  </si>
  <si>
    <t>×</t>
    <phoneticPr fontId="1"/>
  </si>
  <si>
    <t>申請</t>
    <rPh sb="0" eb="2">
      <t>シンセイ</t>
    </rPh>
    <phoneticPr fontId="1"/>
  </si>
  <si>
    <t>申請する</t>
    <rPh sb="0" eb="2">
      <t>シンセイ</t>
    </rPh>
    <phoneticPr fontId="1"/>
  </si>
  <si>
    <t>申請しない</t>
    <rPh sb="0" eb="2">
      <t>シンセイ</t>
    </rPh>
    <phoneticPr fontId="1"/>
  </si>
  <si>
    <t>日付</t>
    <rPh sb="0" eb="2">
      <t>ヒヅケ</t>
    </rPh>
    <phoneticPr fontId="1"/>
  </si>
  <si>
    <t>Ver.</t>
    <phoneticPr fontId="1"/>
  </si>
  <si>
    <t>変更項目</t>
    <rPh sb="0" eb="2">
      <t>ヘンコウ</t>
    </rPh>
    <rPh sb="2" eb="4">
      <t>コウモク</t>
    </rPh>
    <phoneticPr fontId="1"/>
  </si>
  <si>
    <t>初期</t>
    <rPh sb="0" eb="2">
      <t>ショキ</t>
    </rPh>
    <phoneticPr fontId="1"/>
  </si>
  <si>
    <t>基本配置職員</t>
    <rPh sb="0" eb="2">
      <t>キホン</t>
    </rPh>
    <rPh sb="2" eb="4">
      <t>ハイチ</t>
    </rPh>
    <rPh sb="4" eb="6">
      <t>ショクイン</t>
    </rPh>
    <phoneticPr fontId="1"/>
  </si>
  <si>
    <t>No.</t>
    <phoneticPr fontId="1"/>
  </si>
  <si>
    <t>加算適用開始(変更)月</t>
    <rPh sb="0" eb="2">
      <t>カサン</t>
    </rPh>
    <rPh sb="2" eb="4">
      <t>テキヨウ</t>
    </rPh>
    <rPh sb="4" eb="6">
      <t>カイシ</t>
    </rPh>
    <rPh sb="7" eb="9">
      <t>ヘンコウ</t>
    </rPh>
    <rPh sb="10" eb="11">
      <t>ツキ</t>
    </rPh>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</si>
  <si>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</si>
  <si>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適否判定</t>
    <rPh sb="0" eb="2">
      <t>テキヒ</t>
    </rPh>
    <rPh sb="2" eb="4">
      <t>ハンテイ</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</si>
  <si>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</si>
  <si>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</si>
  <si>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0　基本配置職員</t>
    <rPh sb="2" eb="4">
      <t>キホン</t>
    </rPh>
    <rPh sb="4" eb="6">
      <t>ハイチ</t>
    </rPh>
    <rPh sb="6" eb="8">
      <t>ショクイン</t>
    </rPh>
    <phoneticPr fontId="1"/>
  </si>
  <si>
    <t>（判定）</t>
    <rPh sb="1" eb="3">
      <t>ハンテイ</t>
    </rPh>
    <phoneticPr fontId="1"/>
  </si>
  <si>
    <t>配置要件
（１～３の全てを配置すること）</t>
    <rPh sb="0" eb="2">
      <t>ハイチ</t>
    </rPh>
    <rPh sb="2" eb="4">
      <t>ヨウケン</t>
    </rPh>
    <rPh sb="10" eb="11">
      <t>スベ</t>
    </rPh>
    <rPh sb="13" eb="15">
      <t>ハイチ</t>
    </rPh>
    <phoneticPr fontId="1"/>
  </si>
  <si>
    <t>該当の有無</t>
    <rPh sb="0" eb="2">
      <t>ガイトウ</t>
    </rPh>
    <rPh sb="3" eb="5">
      <t>ウム</t>
    </rPh>
    <phoneticPr fontId="1"/>
  </si>
  <si>
    <t>非常勤事務</t>
    <rPh sb="0" eb="3">
      <t>ヒジョウキン</t>
    </rPh>
    <rPh sb="3" eb="5">
      <t>ジム</t>
    </rPh>
    <phoneticPr fontId="1"/>
  </si>
  <si>
    <t>業務委託している</t>
    <rPh sb="0" eb="2">
      <t>ギョウム</t>
    </rPh>
    <rPh sb="2" eb="4">
      <t>イタク</t>
    </rPh>
    <phoneticPr fontId="1"/>
  </si>
  <si>
    <t>直接雇用による配置</t>
    <rPh sb="0" eb="2">
      <t>チョクセツ</t>
    </rPh>
    <rPh sb="2" eb="4">
      <t>コヨウ</t>
    </rPh>
    <rPh sb="7" eb="9">
      <t>ハイチ</t>
    </rPh>
    <phoneticPr fontId="1"/>
  </si>
  <si>
    <t>嘱託医、嘱託歯科医</t>
    <rPh sb="0" eb="2">
      <t>ショクタク</t>
    </rPh>
    <rPh sb="2" eb="3">
      <t>イ</t>
    </rPh>
    <rPh sb="4" eb="6">
      <t>ショクタク</t>
    </rPh>
    <rPh sb="6" eb="8">
      <t>シカ</t>
    </rPh>
    <rPh sb="8" eb="9">
      <t>イ</t>
    </rPh>
    <phoneticPr fontId="1"/>
  </si>
  <si>
    <t>配置している</t>
    <rPh sb="0" eb="2">
      <t>ハイチ</t>
    </rPh>
    <phoneticPr fontId="1"/>
  </si>
  <si>
    <t>③</t>
    <phoneticPr fontId="1"/>
  </si>
  <si>
    <t>ア</t>
    <phoneticPr fontId="1"/>
  </si>
  <si>
    <t>イ</t>
    <phoneticPr fontId="1"/>
  </si>
  <si>
    <t>利用子どもが３人以下</t>
    <rPh sb="0" eb="2">
      <t>リヨウ</t>
    </rPh>
    <rPh sb="2" eb="3">
      <t>コ</t>
    </rPh>
    <rPh sb="7" eb="10">
      <t>ニンイカ</t>
    </rPh>
    <phoneticPr fontId="1"/>
  </si>
  <si>
    <t>家庭的保育補助者加算を適用</t>
    <rPh sb="0" eb="3">
      <t>カテイテキ</t>
    </rPh>
    <rPh sb="3" eb="5">
      <t>ホイク</t>
    </rPh>
    <rPh sb="5" eb="8">
      <t>ホジョシャ</t>
    </rPh>
    <rPh sb="8" eb="10">
      <t>カサン</t>
    </rPh>
    <rPh sb="11" eb="13">
      <t>テキヨウ</t>
    </rPh>
    <phoneticPr fontId="1"/>
  </si>
  <si>
    <t>全部を業務委託又は搬入施設からの食事の搬入をしている
※　一部を委託している場合は不可</t>
    <rPh sb="0" eb="2">
      <t>ゼンブ</t>
    </rPh>
    <rPh sb="3" eb="5">
      <t>ギョウム</t>
    </rPh>
    <rPh sb="5" eb="7">
      <t>イタク</t>
    </rPh>
    <rPh sb="7" eb="8">
      <t>マタ</t>
    </rPh>
    <rPh sb="9" eb="11">
      <t>ハンニュウ</t>
    </rPh>
    <rPh sb="11" eb="13">
      <t>シセツ</t>
    </rPh>
    <rPh sb="16" eb="18">
      <t>ショクジ</t>
    </rPh>
    <rPh sb="19" eb="21">
      <t>ハンニュウ</t>
    </rPh>
    <phoneticPr fontId="1"/>
  </si>
  <si>
    <t>家庭的保育補助者</t>
    <phoneticPr fontId="1"/>
  </si>
  <si>
    <t>事務員</t>
    <rPh sb="0" eb="2">
      <t>ジム</t>
    </rPh>
    <rPh sb="2" eb="3">
      <t>イン</t>
    </rPh>
    <phoneticPr fontId="1"/>
  </si>
  <si>
    <t>札幌市確認</t>
    <rPh sb="0" eb="3">
      <t>サッポロシ</t>
    </rPh>
    <rPh sb="3" eb="5">
      <t>カクニン</t>
    </rPh>
    <phoneticPr fontId="1"/>
  </si>
  <si>
    <t>事務</t>
    <rPh sb="0" eb="2">
      <t>ジム</t>
    </rPh>
    <phoneticPr fontId="1"/>
  </si>
  <si>
    <t>栄養</t>
    <rPh sb="0" eb="2">
      <t>エイヨウ</t>
    </rPh>
    <phoneticPr fontId="1"/>
  </si>
  <si>
    <t>配置状況</t>
    <rPh sb="0" eb="2">
      <t>ハイチ</t>
    </rPh>
    <rPh sb="2" eb="4">
      <t>ジョウキョウ</t>
    </rPh>
    <phoneticPr fontId="1"/>
  </si>
  <si>
    <t>※　札幌市では、家庭的保育者は資格を有することが要件であるため、家庭的保育者を配置する施設は全て適用になります。</t>
    <rPh sb="2" eb="5">
      <t>サッポロシ</t>
    </rPh>
    <rPh sb="8" eb="11">
      <t>カテイテキ</t>
    </rPh>
    <rPh sb="11" eb="14">
      <t>ホイクシャ</t>
    </rPh>
    <rPh sb="15" eb="17">
      <t>シカク</t>
    </rPh>
    <rPh sb="18" eb="19">
      <t>ユウ</t>
    </rPh>
    <rPh sb="24" eb="26">
      <t>ヨウケン</t>
    </rPh>
    <rPh sb="32" eb="35">
      <t>カテイテキ</t>
    </rPh>
    <rPh sb="35" eb="38">
      <t>ホイクシャ</t>
    </rPh>
    <rPh sb="39" eb="41">
      <t>ハイチ</t>
    </rPh>
    <rPh sb="43" eb="45">
      <t>シセツ</t>
    </rPh>
    <rPh sb="46" eb="47">
      <t>スベ</t>
    </rPh>
    <rPh sb="48" eb="50">
      <t>テキヨウ</t>
    </rPh>
    <phoneticPr fontId="1"/>
  </si>
  <si>
    <t xml:space="preserve"> 　加算要件</t>
    <phoneticPr fontId="1"/>
  </si>
  <si>
    <t>②　家庭的保育者全員の有する保育士証、看護師免許証又は准看護師免許証等（写）</t>
    <rPh sb="2" eb="5">
      <t>カテイテキ</t>
    </rPh>
    <rPh sb="5" eb="7">
      <t>ホイク</t>
    </rPh>
    <rPh sb="7" eb="8">
      <t>シャ</t>
    </rPh>
    <rPh sb="8" eb="10">
      <t>ゼンイン</t>
    </rPh>
    <rPh sb="11" eb="12">
      <t>ユウ</t>
    </rPh>
    <rPh sb="14" eb="17">
      <t>ホイクシ</t>
    </rPh>
    <rPh sb="17" eb="18">
      <t>ショウ</t>
    </rPh>
    <rPh sb="19" eb="22">
      <t>カンゴシ</t>
    </rPh>
    <rPh sb="22" eb="25">
      <t>メンキョショウ</t>
    </rPh>
    <rPh sb="25" eb="26">
      <t>マタ</t>
    </rPh>
    <rPh sb="27" eb="31">
      <t>ジュンカンゴシ</t>
    </rPh>
    <rPh sb="31" eb="34">
      <t>メンキョショウ</t>
    </rPh>
    <rPh sb="34" eb="35">
      <t>トウ</t>
    </rPh>
    <rPh sb="36" eb="37">
      <t>ウツ</t>
    </rPh>
    <phoneticPr fontId="1"/>
  </si>
  <si>
    <t>①</t>
    <phoneticPr fontId="1"/>
  </si>
  <si>
    <t>ア</t>
    <phoneticPr fontId="1"/>
  </si>
  <si>
    <t>イ</t>
    <phoneticPr fontId="1"/>
  </si>
  <si>
    <t>心身ともに健全であること</t>
    <rPh sb="0" eb="2">
      <t>シンシン</t>
    </rPh>
    <rPh sb="5" eb="7">
      <t>ケンゼン</t>
    </rPh>
    <phoneticPr fontId="1"/>
  </si>
  <si>
    <t>ウ</t>
    <phoneticPr fontId="1"/>
  </si>
  <si>
    <t>乳幼児の保育についての理解及び熱意並びに乳幼児に対する豊かな愛情を有していること</t>
    <rPh sb="0" eb="3">
      <t>ニュウヨウジ</t>
    </rPh>
    <rPh sb="4" eb="6">
      <t>ホイク</t>
    </rPh>
    <rPh sb="11" eb="13">
      <t>リカイ</t>
    </rPh>
    <rPh sb="13" eb="14">
      <t>オヨ</t>
    </rPh>
    <rPh sb="15" eb="17">
      <t>ネツイ</t>
    </rPh>
    <rPh sb="17" eb="18">
      <t>ナラ</t>
    </rPh>
    <rPh sb="20" eb="23">
      <t>ニュウヨウジ</t>
    </rPh>
    <rPh sb="24" eb="25">
      <t>タイ</t>
    </rPh>
    <rPh sb="27" eb="28">
      <t>ユタ</t>
    </rPh>
    <rPh sb="30" eb="32">
      <t>アイジョウ</t>
    </rPh>
    <rPh sb="33" eb="34">
      <t>ユウ</t>
    </rPh>
    <phoneticPr fontId="1"/>
  </si>
  <si>
    <t>エ</t>
    <phoneticPr fontId="1"/>
  </si>
  <si>
    <t>乳幼児の保育に関し虐待等の問題が無いと認められること</t>
    <rPh sb="0" eb="3">
      <t>ニュウヨウジ</t>
    </rPh>
    <rPh sb="4" eb="6">
      <t>ホイク</t>
    </rPh>
    <rPh sb="7" eb="8">
      <t>カン</t>
    </rPh>
    <rPh sb="9" eb="11">
      <t>ギャクタイ</t>
    </rPh>
    <rPh sb="11" eb="12">
      <t>トウ</t>
    </rPh>
    <rPh sb="13" eb="15">
      <t>モンダイ</t>
    </rPh>
    <rPh sb="16" eb="17">
      <t>ナ</t>
    </rPh>
    <rPh sb="19" eb="20">
      <t>ミト</t>
    </rPh>
    <phoneticPr fontId="1"/>
  </si>
  <si>
    <t>適用とする場合は事前に担当者にご相談のうえ、提出書類を定めてください</t>
    <rPh sb="0" eb="2">
      <t>テキヨウ</t>
    </rPh>
    <rPh sb="5" eb="7">
      <t>バアイ</t>
    </rPh>
    <rPh sb="8" eb="10">
      <t>ジゼン</t>
    </rPh>
    <rPh sb="11" eb="14">
      <t>タントウシャ</t>
    </rPh>
    <rPh sb="16" eb="18">
      <t>ソウダン</t>
    </rPh>
    <rPh sb="22" eb="24">
      <t>テイシュツ</t>
    </rPh>
    <rPh sb="24" eb="26">
      <t>ショルイ</t>
    </rPh>
    <rPh sb="27" eb="28">
      <t>サダ</t>
    </rPh>
    <phoneticPr fontId="1"/>
  </si>
  <si>
    <t>オ</t>
    <phoneticPr fontId="1"/>
  </si>
  <si>
    <t>児童福祉法及び児童買春、児童ポルノに係る行為等の処罰及び児童の保護等に関する法律の規定により、罰金以上の刑に処せられたことが無いこと</t>
    <rPh sb="0" eb="2">
      <t>ジドウ</t>
    </rPh>
    <rPh sb="2" eb="4">
      <t>フクシ</t>
    </rPh>
    <rPh sb="4" eb="5">
      <t>ホウ</t>
    </rPh>
    <rPh sb="5" eb="6">
      <t>オヨ</t>
    </rPh>
    <rPh sb="7" eb="9">
      <t>ジドウ</t>
    </rPh>
    <rPh sb="9" eb="11">
      <t>バイシュン</t>
    </rPh>
    <rPh sb="12" eb="14">
      <t>ジドウ</t>
    </rPh>
    <rPh sb="18" eb="19">
      <t>カカ</t>
    </rPh>
    <rPh sb="20" eb="22">
      <t>コウイ</t>
    </rPh>
    <rPh sb="22" eb="23">
      <t>トウ</t>
    </rPh>
    <rPh sb="24" eb="26">
      <t>ショバツ</t>
    </rPh>
    <rPh sb="26" eb="27">
      <t>オヨ</t>
    </rPh>
    <rPh sb="28" eb="30">
      <t>ジドウ</t>
    </rPh>
    <rPh sb="31" eb="33">
      <t>ホゴ</t>
    </rPh>
    <rPh sb="33" eb="34">
      <t>ナド</t>
    </rPh>
    <rPh sb="35" eb="36">
      <t>カン</t>
    </rPh>
    <rPh sb="38" eb="40">
      <t>ホウリツ</t>
    </rPh>
    <rPh sb="41" eb="43">
      <t>キテイ</t>
    </rPh>
    <rPh sb="47" eb="49">
      <t>バッキン</t>
    </rPh>
    <rPh sb="49" eb="51">
      <t>イジョウ</t>
    </rPh>
    <rPh sb="52" eb="53">
      <t>ケイ</t>
    </rPh>
    <rPh sb="54" eb="55">
      <t>ショ</t>
    </rPh>
    <rPh sb="62" eb="63">
      <t>ナ</t>
    </rPh>
    <phoneticPr fontId="1"/>
  </si>
  <si>
    <t>カ</t>
    <phoneticPr fontId="1"/>
  </si>
  <si>
    <t>専任の者(常勤)を連携施設に配置していること</t>
    <rPh sb="0" eb="2">
      <t>センニン</t>
    </rPh>
    <rPh sb="3" eb="4">
      <t>モノ</t>
    </rPh>
    <rPh sb="5" eb="7">
      <t>ジョウキン</t>
    </rPh>
    <rPh sb="9" eb="11">
      <t>レンケイ</t>
    </rPh>
    <rPh sb="11" eb="13">
      <t>シセツ</t>
    </rPh>
    <rPh sb="14" eb="16">
      <t>ハイチ</t>
    </rPh>
    <phoneticPr fontId="1"/>
  </si>
  <si>
    <t>連携施設から要件をすべて満たした支援を受けている</t>
    <rPh sb="0" eb="2">
      <t>レンケイ</t>
    </rPh>
    <rPh sb="2" eb="4">
      <t>シセツ</t>
    </rPh>
    <rPh sb="6" eb="8">
      <t>ヨウケン</t>
    </rPh>
    <rPh sb="12" eb="13">
      <t>ミ</t>
    </rPh>
    <rPh sb="16" eb="18">
      <t>シエン</t>
    </rPh>
    <rPh sb="19" eb="20">
      <t>ウ</t>
    </rPh>
    <phoneticPr fontId="1"/>
  </si>
  <si>
    <t>家庭的保育支援者から要件をすべて満たした支援を受けている</t>
    <rPh sb="0" eb="3">
      <t>カテイテキ</t>
    </rPh>
    <rPh sb="3" eb="5">
      <t>ホイク</t>
    </rPh>
    <rPh sb="5" eb="7">
      <t>シエン</t>
    </rPh>
    <rPh sb="7" eb="8">
      <t>シャ</t>
    </rPh>
    <rPh sb="10" eb="12">
      <t>ヨウケン</t>
    </rPh>
    <rPh sb="16" eb="17">
      <t>ミ</t>
    </rPh>
    <rPh sb="20" eb="22">
      <t>シエン</t>
    </rPh>
    <rPh sb="23" eb="24">
      <t>ウ</t>
    </rPh>
    <phoneticPr fontId="1"/>
  </si>
  <si>
    <t>家庭的保育事業等設備運営基準第６条に定める連携施設であること</t>
    <rPh sb="0" eb="3">
      <t>カテイテキ</t>
    </rPh>
    <rPh sb="3" eb="5">
      <t>ホイク</t>
    </rPh>
    <rPh sb="5" eb="7">
      <t>ジギョウ</t>
    </rPh>
    <rPh sb="7" eb="8">
      <t>トウ</t>
    </rPh>
    <rPh sb="8" eb="10">
      <t>セツビ</t>
    </rPh>
    <rPh sb="10" eb="12">
      <t>ウンエイ</t>
    </rPh>
    <rPh sb="12" eb="14">
      <t>キジュン</t>
    </rPh>
    <rPh sb="14" eb="15">
      <t>ダイ</t>
    </rPh>
    <rPh sb="16" eb="17">
      <t>ジョウ</t>
    </rPh>
    <rPh sb="18" eb="19">
      <t>サダ</t>
    </rPh>
    <rPh sb="21" eb="23">
      <t>レンケイ</t>
    </rPh>
    <rPh sb="23" eb="25">
      <t>シセツ</t>
    </rPh>
    <phoneticPr fontId="1"/>
  </si>
  <si>
    <t>ウ</t>
    <phoneticPr fontId="1"/>
  </si>
  <si>
    <t>支援者又は連携施設について下記の①又は②の要件を満たすこと</t>
    <rPh sb="13" eb="15">
      <t>カキ</t>
    </rPh>
    <rPh sb="17" eb="18">
      <t>マタ</t>
    </rPh>
    <rPh sb="21" eb="23">
      <t>ヨウケン</t>
    </rPh>
    <rPh sb="24" eb="25">
      <t>ミ</t>
    </rPh>
    <phoneticPr fontId="1"/>
  </si>
  <si>
    <t>事業所の求めに応じて、緊急時においても相談・連絡を受ける体制が整備されている</t>
    <rPh sb="0" eb="3">
      <t>ジギョウショ</t>
    </rPh>
    <rPh sb="4" eb="5">
      <t>モト</t>
    </rPh>
    <rPh sb="7" eb="8">
      <t>オウ</t>
    </rPh>
    <rPh sb="11" eb="14">
      <t>キンキュウジ</t>
    </rPh>
    <rPh sb="19" eb="21">
      <t>ソウダン</t>
    </rPh>
    <rPh sb="22" eb="24">
      <t>レンラク</t>
    </rPh>
    <rPh sb="25" eb="26">
      <t>ウ</t>
    </rPh>
    <rPh sb="28" eb="30">
      <t>タイセイ</t>
    </rPh>
    <rPh sb="31" eb="33">
      <t>セイビ</t>
    </rPh>
    <phoneticPr fontId="1"/>
  </si>
  <si>
    <t>支援事業者は以下の支援業務を行うこと</t>
    <rPh sb="0" eb="2">
      <t>シエン</t>
    </rPh>
    <rPh sb="2" eb="5">
      <t>ジギョウシャ</t>
    </rPh>
    <rPh sb="6" eb="8">
      <t>イカ</t>
    </rPh>
    <rPh sb="9" eb="11">
      <t>シエン</t>
    </rPh>
    <rPh sb="11" eb="13">
      <t>ギョウム</t>
    </rPh>
    <rPh sb="14" eb="15">
      <t>オコナ</t>
    </rPh>
    <phoneticPr fontId="1"/>
  </si>
  <si>
    <t>家庭的保育者が保育する乳幼児を定期的に連携施設に招いたり、乳幼児の健康診断を連携施設の利用子どもとともに行うなどの連携を図るとともに、家庭的保育者に対し、連携施設や地域の行事に関する情報を提供し、当該行事に参加するよう勧めること</t>
    <rPh sb="0" eb="6">
      <t>カテイテキホイクシャ</t>
    </rPh>
    <rPh sb="7" eb="9">
      <t>ホイク</t>
    </rPh>
    <rPh sb="11" eb="14">
      <t>ニュウヨウジ</t>
    </rPh>
    <rPh sb="15" eb="18">
      <t>テイキテキ</t>
    </rPh>
    <rPh sb="19" eb="21">
      <t>レンケイ</t>
    </rPh>
    <rPh sb="21" eb="23">
      <t>シセツ</t>
    </rPh>
    <rPh sb="24" eb="25">
      <t>マネ</t>
    </rPh>
    <rPh sb="29" eb="32">
      <t>ニュウヨウジ</t>
    </rPh>
    <rPh sb="33" eb="35">
      <t>ケンコウ</t>
    </rPh>
    <rPh sb="35" eb="37">
      <t>シンダン</t>
    </rPh>
    <rPh sb="38" eb="40">
      <t>レンケイ</t>
    </rPh>
    <rPh sb="40" eb="42">
      <t>シセツ</t>
    </rPh>
    <rPh sb="43" eb="45">
      <t>リヨウ</t>
    </rPh>
    <rPh sb="45" eb="46">
      <t>コ</t>
    </rPh>
    <rPh sb="52" eb="53">
      <t>オコナ</t>
    </rPh>
    <rPh sb="57" eb="59">
      <t>レンケイ</t>
    </rPh>
    <rPh sb="60" eb="61">
      <t>ハカ</t>
    </rPh>
    <rPh sb="67" eb="70">
      <t>カテイテキ</t>
    </rPh>
    <rPh sb="70" eb="73">
      <t>ホイクシャ</t>
    </rPh>
    <rPh sb="74" eb="75">
      <t>タイ</t>
    </rPh>
    <rPh sb="77" eb="79">
      <t>レンケイ</t>
    </rPh>
    <rPh sb="79" eb="81">
      <t>シセツ</t>
    </rPh>
    <rPh sb="82" eb="84">
      <t>チイキ</t>
    </rPh>
    <rPh sb="85" eb="87">
      <t>ギョウジ</t>
    </rPh>
    <rPh sb="88" eb="89">
      <t>カン</t>
    </rPh>
    <rPh sb="91" eb="93">
      <t>ジョウホウ</t>
    </rPh>
    <rPh sb="94" eb="96">
      <t>テイキョウ</t>
    </rPh>
    <rPh sb="98" eb="100">
      <t>トウガイ</t>
    </rPh>
    <rPh sb="100" eb="102">
      <t>ギョウジ</t>
    </rPh>
    <rPh sb="103" eb="105">
      <t>サンカ</t>
    </rPh>
    <rPh sb="109" eb="110">
      <t>スス</t>
    </rPh>
    <phoneticPr fontId="1"/>
  </si>
  <si>
    <t>家庭的保育者の居宅等における保育の状況を把握するため、家庭的保育支援者又は担当者は少なくとも３か月に１回以上、さらに家庭的保育者の状況に応じて、必要な都度、訪問させること。また、その状況等について市町村との情報共有を図ること</t>
    <rPh sb="0" eb="3">
      <t>カテイテキ</t>
    </rPh>
    <rPh sb="3" eb="6">
      <t>ホイクシャ</t>
    </rPh>
    <rPh sb="7" eb="9">
      <t>キョタク</t>
    </rPh>
    <rPh sb="9" eb="10">
      <t>トウ</t>
    </rPh>
    <rPh sb="14" eb="16">
      <t>ホイク</t>
    </rPh>
    <rPh sb="17" eb="19">
      <t>ジョウキョウ</t>
    </rPh>
    <rPh sb="20" eb="22">
      <t>ハアク</t>
    </rPh>
    <rPh sb="27" eb="30">
      <t>カテイテキ</t>
    </rPh>
    <rPh sb="30" eb="32">
      <t>ホイク</t>
    </rPh>
    <rPh sb="32" eb="34">
      <t>シエン</t>
    </rPh>
    <rPh sb="34" eb="35">
      <t>シャ</t>
    </rPh>
    <rPh sb="35" eb="36">
      <t>マタ</t>
    </rPh>
    <rPh sb="37" eb="40">
      <t>タントウシャ</t>
    </rPh>
    <rPh sb="41" eb="42">
      <t>スク</t>
    </rPh>
    <rPh sb="48" eb="49">
      <t>ゲツ</t>
    </rPh>
    <rPh sb="51" eb="54">
      <t>カイイジョウ</t>
    </rPh>
    <rPh sb="58" eb="61">
      <t>カテイテキ</t>
    </rPh>
    <rPh sb="61" eb="64">
      <t>ホイクシャ</t>
    </rPh>
    <rPh sb="65" eb="67">
      <t>ジョウキョウ</t>
    </rPh>
    <rPh sb="68" eb="69">
      <t>オウ</t>
    </rPh>
    <rPh sb="72" eb="74">
      <t>ヒツヨウ</t>
    </rPh>
    <rPh sb="75" eb="77">
      <t>ツド</t>
    </rPh>
    <rPh sb="78" eb="80">
      <t>ホウモン</t>
    </rPh>
    <rPh sb="91" eb="93">
      <t>ジョウキョウ</t>
    </rPh>
    <rPh sb="93" eb="94">
      <t>トウ</t>
    </rPh>
    <rPh sb="98" eb="101">
      <t>シチョウソン</t>
    </rPh>
    <rPh sb="103" eb="105">
      <t>ジョウホウ</t>
    </rPh>
    <rPh sb="105" eb="107">
      <t>キョウユウ</t>
    </rPh>
    <rPh sb="108" eb="109">
      <t>ハカ</t>
    </rPh>
    <phoneticPr fontId="1"/>
  </si>
  <si>
    <t>乳幼児の育児・保育に関する相談・指導について知識及び経験を有するとともに、児童福祉施策について知識を有している専任の保育士等(以下「担当者」という。)を配置すること。</t>
    <rPh sb="0" eb="3">
      <t>ニュウヨウジ</t>
    </rPh>
    <rPh sb="4" eb="6">
      <t>イクジ</t>
    </rPh>
    <rPh sb="7" eb="9">
      <t>ホイク</t>
    </rPh>
    <rPh sb="10" eb="11">
      <t>カン</t>
    </rPh>
    <rPh sb="13" eb="15">
      <t>ソウダン</t>
    </rPh>
    <rPh sb="16" eb="18">
      <t>シドウ</t>
    </rPh>
    <rPh sb="22" eb="24">
      <t>チシキ</t>
    </rPh>
    <rPh sb="24" eb="25">
      <t>オヨ</t>
    </rPh>
    <rPh sb="26" eb="28">
      <t>ケイケン</t>
    </rPh>
    <rPh sb="29" eb="30">
      <t>ユウ</t>
    </rPh>
    <rPh sb="37" eb="39">
      <t>ジドウ</t>
    </rPh>
    <rPh sb="39" eb="41">
      <t>フクシ</t>
    </rPh>
    <rPh sb="41" eb="43">
      <t>シサク</t>
    </rPh>
    <rPh sb="47" eb="49">
      <t>チシキ</t>
    </rPh>
    <rPh sb="50" eb="51">
      <t>ユウ</t>
    </rPh>
    <rPh sb="55" eb="57">
      <t>センニン</t>
    </rPh>
    <rPh sb="58" eb="61">
      <t>ホイクシ</t>
    </rPh>
    <rPh sb="61" eb="62">
      <t>トウ</t>
    </rPh>
    <rPh sb="63" eb="65">
      <t>イカ</t>
    </rPh>
    <rPh sb="66" eb="69">
      <t>タントウシャ</t>
    </rPh>
    <rPh sb="76" eb="78">
      <t>ハイチ</t>
    </rPh>
    <phoneticPr fontId="1"/>
  </si>
  <si>
    <t>イにおける担当者について、①の家庭的保育支援者の要件をすべて満たすこと</t>
    <rPh sb="5" eb="8">
      <t>タントウシャ</t>
    </rPh>
    <rPh sb="15" eb="18">
      <t>カテイテキ</t>
    </rPh>
    <rPh sb="18" eb="20">
      <t>ホイク</t>
    </rPh>
    <rPh sb="20" eb="22">
      <t>シエン</t>
    </rPh>
    <rPh sb="22" eb="23">
      <t>シャ</t>
    </rPh>
    <rPh sb="24" eb="26">
      <t>ヨウケン</t>
    </rPh>
    <rPh sb="30" eb="31">
      <t>ミ</t>
    </rPh>
    <phoneticPr fontId="1"/>
  </si>
  <si>
    <t xml:space="preserve"> 　加算要件
（１～2の要件全てに該当する場合に加算）</t>
    <phoneticPr fontId="1"/>
  </si>
  <si>
    <t>利用児童表</t>
    <rPh sb="0" eb="2">
      <t>リヨウ</t>
    </rPh>
    <rPh sb="2" eb="4">
      <t>ジドウ</t>
    </rPh>
    <rPh sb="4" eb="5">
      <t>ヒョウ</t>
    </rPh>
    <phoneticPr fontId="1"/>
  </si>
  <si>
    <t>加算要件
(１～４の要件全てに該当する場合に加算)</t>
    <rPh sb="0" eb="2">
      <t>カサン</t>
    </rPh>
    <rPh sb="2" eb="4">
      <t>ヨウケン</t>
    </rPh>
    <rPh sb="11" eb="13">
      <t>ヨウケン</t>
    </rPh>
    <rPh sb="13" eb="14">
      <t>スベ</t>
    </rPh>
    <rPh sb="16" eb="18">
      <t>ガイトウ</t>
    </rPh>
    <rPh sb="20" eb="22">
      <t>バアイ</t>
    </rPh>
    <rPh sb="23" eb="25">
      <t>カサン</t>
    </rPh>
    <phoneticPr fontId="1"/>
  </si>
  <si>
    <t>×</t>
  </si>
  <si>
    <t>　老朽化等を理由として改修等が必要であったと市町村が認めている</t>
    <phoneticPr fontId="1"/>
  </si>
  <si>
    <t>賃借料加算の対象となっていない
(減価償却費加算と賃借料加算は同時に受けられません)</t>
    <rPh sb="0" eb="3">
      <t>チンシャクリョウ</t>
    </rPh>
    <rPh sb="3" eb="5">
      <t>カサン</t>
    </rPh>
    <rPh sb="6" eb="8">
      <t>タイショウ</t>
    </rPh>
    <rPh sb="17" eb="19">
      <t>ゲンカ</t>
    </rPh>
    <rPh sb="19" eb="21">
      <t>ショウキャク</t>
    </rPh>
    <rPh sb="21" eb="22">
      <t>ヒ</t>
    </rPh>
    <rPh sb="22" eb="24">
      <t>カサン</t>
    </rPh>
    <rPh sb="25" eb="28">
      <t>チンシャクリョウ</t>
    </rPh>
    <rPh sb="28" eb="30">
      <t>カサン</t>
    </rPh>
    <rPh sb="31" eb="33">
      <t>ドウジ</t>
    </rPh>
    <rPh sb="34" eb="35">
      <t>ウ</t>
    </rPh>
    <phoneticPr fontId="1"/>
  </si>
  <si>
    <t>※　減算適用の有無にかかわらず下記を記載すること(記載がない場合は減算「適」の判定が表示されます。)</t>
    <phoneticPr fontId="1"/>
  </si>
  <si>
    <t>①</t>
    <phoneticPr fontId="1"/>
  </si>
  <si>
    <t>連携施設を設定している(連携施設名を下記に記載すること）</t>
    <rPh sb="0" eb="2">
      <t>レンケイ</t>
    </rPh>
    <rPh sb="2" eb="4">
      <t>シセツ</t>
    </rPh>
    <rPh sb="5" eb="7">
      <t>セッテイ</t>
    </rPh>
    <rPh sb="12" eb="14">
      <t>レンケイ</t>
    </rPh>
    <rPh sb="14" eb="16">
      <t>シセツ</t>
    </rPh>
    <rPh sb="16" eb="17">
      <t>メイ</t>
    </rPh>
    <rPh sb="18" eb="20">
      <t>カキ</t>
    </rPh>
    <rPh sb="21" eb="23">
      <t>キサイ</t>
    </rPh>
    <phoneticPr fontId="1"/>
  </si>
  <si>
    <t>②</t>
    <phoneticPr fontId="1"/>
  </si>
  <si>
    <t>食事について自園で調理している</t>
    <rPh sb="0" eb="2">
      <t>ショクジ</t>
    </rPh>
    <rPh sb="6" eb="7">
      <t>ジ</t>
    </rPh>
    <rPh sb="7" eb="8">
      <t>エン</t>
    </rPh>
    <rPh sb="9" eb="11">
      <t>チョウリ</t>
    </rPh>
    <phoneticPr fontId="1"/>
  </si>
  <si>
    <t>食事について連携施設等から搬入している(搬入元施設名を下記に記載すること）</t>
    <rPh sb="0" eb="2">
      <t>ショクジ</t>
    </rPh>
    <rPh sb="6" eb="8">
      <t>レンケイ</t>
    </rPh>
    <rPh sb="8" eb="10">
      <t>シセツ</t>
    </rPh>
    <rPh sb="10" eb="11">
      <t>トウ</t>
    </rPh>
    <rPh sb="13" eb="15">
      <t>ハンニュウ</t>
    </rPh>
    <rPh sb="20" eb="22">
      <t>ハンニュウ</t>
    </rPh>
    <rPh sb="22" eb="23">
      <t>モト</t>
    </rPh>
    <phoneticPr fontId="1"/>
  </si>
  <si>
    <t>減算要件</t>
    <rPh sb="0" eb="2">
      <t>ゲンサン</t>
    </rPh>
    <rPh sb="2" eb="4">
      <t>ヨウケン</t>
    </rPh>
    <phoneticPr fontId="1"/>
  </si>
  <si>
    <t>列133</t>
  </si>
  <si>
    <t>分園(内数)/従業員枠（外数）</t>
    <rPh sb="0" eb="2">
      <t>ブンエン</t>
    </rPh>
    <rPh sb="3" eb="5">
      <t>ウチスウ</t>
    </rPh>
    <rPh sb="7" eb="10">
      <t>ジュウギョウイン</t>
    </rPh>
    <rPh sb="10" eb="11">
      <t>ワク</t>
    </rPh>
    <rPh sb="12" eb="13">
      <t>ソト</t>
    </rPh>
    <rPh sb="13" eb="14">
      <t>スウ</t>
    </rPh>
    <phoneticPr fontId="3"/>
  </si>
  <si>
    <t>（うち２号）</t>
    <rPh sb="4" eb="5">
      <t>ゴウ</t>
    </rPh>
    <phoneticPr fontId="3"/>
  </si>
  <si>
    <t>※1　複数選ぶとエラーとなります</t>
    <rPh sb="3" eb="5">
      <t>フクスウ</t>
    </rPh>
    <rPh sb="5" eb="6">
      <t>エラ</t>
    </rPh>
    <phoneticPr fontId="1"/>
  </si>
  <si>
    <t>d地域-都市部</t>
    <rPh sb="1" eb="3">
      <t>チイキ</t>
    </rPh>
    <rPh sb="4" eb="7">
      <t>トシブ</t>
    </rPh>
    <phoneticPr fontId="1"/>
  </si>
  <si>
    <t>１　当該月の利用見込み</t>
    <rPh sb="2" eb="4">
      <t>トウガイ</t>
    </rPh>
    <rPh sb="4" eb="5">
      <t>ヅキ</t>
    </rPh>
    <rPh sb="6" eb="8">
      <t>リヨウ</t>
    </rPh>
    <rPh sb="8" eb="10">
      <t>ミコ</t>
    </rPh>
    <phoneticPr fontId="1"/>
  </si>
  <si>
    <t>土曜日</t>
    <rPh sb="0" eb="3">
      <t>ドヨウビ</t>
    </rPh>
    <phoneticPr fontId="1"/>
  </si>
  <si>
    <t>日にち</t>
    <rPh sb="0" eb="1">
      <t>ヒ</t>
    </rPh>
    <phoneticPr fontId="1"/>
  </si>
  <si>
    <t>平日/祝日</t>
    <rPh sb="0" eb="2">
      <t>ヘイジツ</t>
    </rPh>
    <rPh sb="3" eb="5">
      <t>シュクジツ</t>
    </rPh>
    <phoneticPr fontId="1"/>
  </si>
  <si>
    <t>利用児童数（見込）</t>
    <rPh sb="0" eb="2">
      <t>リヨウ</t>
    </rPh>
    <rPh sb="2" eb="4">
      <t>ジドウ</t>
    </rPh>
    <rPh sb="4" eb="5">
      <t>スウ</t>
    </rPh>
    <rPh sb="6" eb="8">
      <t>ミコミ</t>
    </rPh>
    <phoneticPr fontId="1"/>
  </si>
  <si>
    <t>月</t>
    <rPh sb="0" eb="1">
      <t>ガツ</t>
    </rPh>
    <phoneticPr fontId="1"/>
  </si>
  <si>
    <t>土曜日</t>
    <rPh sb="0" eb="2">
      <t>ドヨウ</t>
    </rPh>
    <rPh sb="2" eb="3">
      <t>ビ</t>
    </rPh>
    <phoneticPr fontId="1"/>
  </si>
  <si>
    <t>土曜順</t>
    <rPh sb="0" eb="2">
      <t>ドヨウ</t>
    </rPh>
    <rPh sb="2" eb="3">
      <t>ジュン</t>
    </rPh>
    <phoneticPr fontId="1"/>
  </si>
  <si>
    <t>祝・休日</t>
    <rPh sb="0" eb="1">
      <t>シュク</t>
    </rPh>
    <rPh sb="2" eb="4">
      <t>キュウジツ</t>
    </rPh>
    <phoneticPr fontId="1"/>
  </si>
  <si>
    <t>減算区分：</t>
    <rPh sb="0" eb="2">
      <t>ゲンサン</t>
    </rPh>
    <rPh sb="2" eb="4">
      <t>クブン</t>
    </rPh>
    <phoneticPr fontId="1"/>
  </si>
  <si>
    <t>2　前月の利用実績</t>
    <rPh sb="2" eb="4">
      <t>ゼンゲツ</t>
    </rPh>
    <rPh sb="5" eb="7">
      <t>リヨウ</t>
    </rPh>
    <rPh sb="7" eb="9">
      <t>ジッセキ</t>
    </rPh>
    <phoneticPr fontId="1"/>
  </si>
  <si>
    <t>減算(見込)</t>
    <rPh sb="0" eb="2">
      <t>ゲンサン</t>
    </rPh>
    <rPh sb="3" eb="5">
      <t>ミコミ</t>
    </rPh>
    <phoneticPr fontId="1"/>
  </si>
  <si>
    <t>利用児童数（実績）</t>
    <rPh sb="0" eb="2">
      <t>リヨウ</t>
    </rPh>
    <rPh sb="2" eb="4">
      <t>ジドウ</t>
    </rPh>
    <rPh sb="4" eb="5">
      <t>スウ</t>
    </rPh>
    <rPh sb="6" eb="8">
      <t>ジッセキ</t>
    </rPh>
    <phoneticPr fontId="1"/>
  </si>
  <si>
    <t>減算区分(見込)：</t>
    <rPh sb="0" eb="2">
      <t>ゲンサン</t>
    </rPh>
    <rPh sb="2" eb="4">
      <t>クブン</t>
    </rPh>
    <rPh sb="5" eb="7">
      <t>ミコミ</t>
    </rPh>
    <phoneticPr fontId="1"/>
  </si>
  <si>
    <t>減算区分(実績)：</t>
    <rPh sb="0" eb="2">
      <t>ゲンサン</t>
    </rPh>
    <rPh sb="2" eb="4">
      <t>クブン</t>
    </rPh>
    <rPh sb="5" eb="7">
      <t>ジッセキ</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</si>
  <si>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</si>
  <si>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</si>
  <si>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</si>
  <si>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</si>
  <si>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時</t>
    <rPh sb="0" eb="1">
      <t>トキ</t>
    </rPh>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</si>
  <si>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</si>
  <si>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</si>
  <si>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</si>
  <si>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</si>
  <si>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</si>
  <si>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</si>
  <si>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</si>
  <si>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</si>
  <si>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</si>
  <si>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</si>
  <si>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分</t>
    <rPh sb="0" eb="1">
      <t>フン</t>
    </rPh>
    <phoneticPr fontId="3"/>
  </si>
  <si>
    <t>No.</t>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</si>
  <si>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</si>
  <si>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</si>
  <si>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</si>
  <si>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</si>
  <si>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【祝日情報】</t>
    <rPh sb="1" eb="3">
      <t>シュクジツ</t>
    </rPh>
    <rPh sb="3" eb="5">
      <t>ジョウホウ</t>
    </rPh>
    <phoneticPr fontId="3"/>
  </si>
  <si>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3"/>
  </si>
  <si>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</si>
  <si>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</si>
  <si>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</si>
  <si>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</si>
  <si>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</si>
  <si>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</si>
  <si>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</si>
  <si>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</si>
  <si>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</si>
  <si>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</si>
  <si>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</si>
  <si>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</si>
  <si>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</si>
  <si>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</si>
  <si>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</si>
  <si>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</si>
  <si>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</si>
  <si>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</si>
  <si>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都市部</t>
    <rPh sb="0" eb="3">
      <t>トシブ</t>
    </rPh>
    <phoneticPr fontId="1"/>
  </si>
  <si>
    <t>↓【判定】…個票を入力することで、申請の有無に「〇」又は該当する区分が表示されます。</t>
    <rPh sb="2" eb="4">
      <t>ハンテイ</t>
    </rPh>
    <rPh sb="6" eb="8">
      <t>コヒョウ</t>
    </rPh>
    <rPh sb="9" eb="11">
      <t>ニュウリョク</t>
    </rPh>
    <rPh sb="17" eb="19">
      <t>シンセイ</t>
    </rPh>
    <rPh sb="20" eb="22">
      <t>ウム</t>
    </rPh>
    <rPh sb="26" eb="27">
      <t>マタ</t>
    </rPh>
    <rPh sb="28" eb="30">
      <t>ガイトウ</t>
    </rPh>
    <rPh sb="32" eb="34">
      <t>クブン</t>
    </rPh>
    <rPh sb="35" eb="37">
      <t>ヒョウジ</t>
    </rPh>
    <phoneticPr fontId="1"/>
  </si>
  <si>
    <t>以下のア～イを全て満たす場合は配置免除</t>
    <rPh sb="0" eb="2">
      <t>イカ</t>
    </rPh>
    <rPh sb="7" eb="8">
      <t>スベ</t>
    </rPh>
    <rPh sb="9" eb="10">
      <t>ミ</t>
    </rPh>
    <rPh sb="12" eb="14">
      <t>バアイ</t>
    </rPh>
    <rPh sb="15" eb="17">
      <t>ハイチ</t>
    </rPh>
    <rPh sb="17" eb="19">
      <t>メンジョ</t>
    </rPh>
    <phoneticPr fontId="1"/>
  </si>
  <si>
    <t>市内/外</t>
    <rPh sb="0" eb="2">
      <t>シナイ</t>
    </rPh>
    <rPh sb="3" eb="4">
      <t>ガイ</t>
    </rPh>
    <phoneticPr fontId="1"/>
  </si>
  <si>
    <t>市内</t>
    <rPh sb="0" eb="2">
      <t>シナイ</t>
    </rPh>
    <phoneticPr fontId="1"/>
  </si>
  <si>
    <t>市外</t>
    <rPh sb="0" eb="2">
      <t>シガイ</t>
    </rPh>
    <phoneticPr fontId="1"/>
  </si>
  <si>
    <t>総計</t>
    <rPh sb="0" eb="2">
      <t>ソウケイ</t>
    </rPh>
    <phoneticPr fontId="1"/>
  </si>
  <si>
    <t>（総計）</t>
    <rPh sb="1" eb="2">
      <t>ソウ</t>
    </rPh>
    <rPh sb="2" eb="3">
      <t>ケイ</t>
    </rPh>
    <phoneticPr fontId="1"/>
  </si>
  <si>
    <t>各月初日における利用児童数(市外児童含む)</t>
    <rPh sb="0" eb="1">
      <t>カク</t>
    </rPh>
    <rPh sb="1" eb="2">
      <t>ツキ</t>
    </rPh>
    <rPh sb="2" eb="4">
      <t>ショニチ</t>
    </rPh>
    <rPh sb="8" eb="10">
      <t>リヨウ</t>
    </rPh>
    <rPh sb="10" eb="12">
      <t>ジドウ</t>
    </rPh>
    <rPh sb="12" eb="13">
      <t>スウ</t>
    </rPh>
    <rPh sb="14" eb="16">
      <t>シガイ</t>
    </rPh>
    <rPh sb="16" eb="18">
      <t>ジドウ</t>
    </rPh>
    <rPh sb="18" eb="19">
      <t>フク</t>
    </rPh>
    <phoneticPr fontId="1"/>
  </si>
  <si>
    <t>栄養士を配置している(以下の①又は②を記入すること)※</t>
    <rPh sb="0" eb="3">
      <t>エイヨウシ</t>
    </rPh>
    <rPh sb="4" eb="6">
      <t>ハイチ</t>
    </rPh>
    <rPh sb="11" eb="13">
      <t>イカ</t>
    </rPh>
    <rPh sb="15" eb="16">
      <t>マタ</t>
    </rPh>
    <rPh sb="19" eb="21">
      <t>キニュウ</t>
    </rPh>
    <phoneticPr fontId="1"/>
  </si>
  <si>
    <t>※</t>
    <phoneticPr fontId="1"/>
  </si>
  <si>
    <t>【参考】基本配置の調理員の配置状況</t>
    <rPh sb="1" eb="3">
      <t>サンコウ</t>
    </rPh>
    <rPh sb="4" eb="6">
      <t>キホン</t>
    </rPh>
    <rPh sb="6" eb="8">
      <t>ハイチ</t>
    </rPh>
    <rPh sb="9" eb="12">
      <t>チョウリイン</t>
    </rPh>
    <rPh sb="13" eb="15">
      <t>ハイチ</t>
    </rPh>
    <rPh sb="15" eb="17">
      <t>ジョウキョウ</t>
    </rPh>
    <phoneticPr fontId="1"/>
  </si>
  <si>
    <t>②　</t>
    <phoneticPr fontId="1"/>
  </si>
  <si>
    <t>直接雇用以外(嘱託等)</t>
    <rPh sb="0" eb="2">
      <t>チョクセツ</t>
    </rPh>
    <rPh sb="2" eb="4">
      <t>コヨウ</t>
    </rPh>
    <rPh sb="4" eb="6">
      <t>イガイ</t>
    </rPh>
    <rPh sb="7" eb="9">
      <t>ショクタク</t>
    </rPh>
    <rPh sb="9" eb="10">
      <t>トウ</t>
    </rPh>
    <phoneticPr fontId="1"/>
  </si>
  <si>
    <t>②　栄養士の資格証の写し</t>
    <rPh sb="2" eb="5">
      <t>エイヨウシ</t>
    </rPh>
    <rPh sb="6" eb="8">
      <t>シカク</t>
    </rPh>
    <rPh sb="8" eb="9">
      <t>ショウ</t>
    </rPh>
    <rPh sb="10" eb="11">
      <t>ウツ</t>
    </rPh>
    <phoneticPr fontId="1"/>
  </si>
  <si>
    <t>閉所している日数</t>
    <rPh sb="0" eb="2">
      <t>ヘイショ</t>
    </rPh>
    <rPh sb="6" eb="8">
      <t>ニッスウ</t>
    </rPh>
    <phoneticPr fontId="1"/>
  </si>
  <si>
    <t>※　土曜日（国民の祝日及び休日を除く）に係る保育の利用希望が無いなどの理由により土曜日に閉所する日がある月に適用されます。また、開所していても利用児童が無く保育の提供をしていない場合には閉所しているものとして扱います。なお、共同保育により利用希望者の保育を確保した場合は、閉所日数に含めません。</t>
    <phoneticPr fontId="1"/>
  </si>
  <si>
    <t>土曜日に閉所している日がある</t>
    <rPh sb="0" eb="2">
      <t>ドヨウ</t>
    </rPh>
    <rPh sb="2" eb="3">
      <t>ビ</t>
    </rPh>
    <rPh sb="4" eb="6">
      <t>ヘイショ</t>
    </rPh>
    <rPh sb="10" eb="11">
      <t>ヒ</t>
    </rPh>
    <phoneticPr fontId="1"/>
  </si>
  <si>
    <t>認定</t>
    <rPh sb="0" eb="2">
      <t>ニンテイ</t>
    </rPh>
    <phoneticPr fontId="1"/>
  </si>
  <si>
    <t>対象の有無</t>
    <rPh sb="0" eb="2">
      <t>タイショウ</t>
    </rPh>
    <rPh sb="3" eb="5">
      <t>ウム</t>
    </rPh>
    <phoneticPr fontId="1"/>
  </si>
  <si>
    <t>×</t>
    <phoneticPr fontId="1"/>
  </si>
  <si>
    <t>②　当該様式は、本市～施設間で加算認定の齟齬を確認するための様式です。当該様式を申請書に代えて使用することはできませんのでご注意ください。</t>
    <phoneticPr fontId="1"/>
  </si>
  <si>
    <t>土曜閉所</t>
    <rPh sb="0" eb="2">
      <t>ドヨウ</t>
    </rPh>
    <rPh sb="2" eb="4">
      <t>ヘイショ</t>
    </rPh>
    <phoneticPr fontId="1"/>
  </si>
  <si>
    <t>職種区分</t>
    <rPh sb="0" eb="2">
      <t>ショクシュ</t>
    </rPh>
    <rPh sb="2" eb="4">
      <t>クブン</t>
    </rPh>
    <phoneticPr fontId="1"/>
  </si>
  <si>
    <t>【様式6】</t>
    <rPh sb="1" eb="3">
      <t>ヨウシキ</t>
    </rPh>
    <phoneticPr fontId="1"/>
  </si>
  <si>
    <t>【様式5】</t>
    <rPh sb="1" eb="3">
      <t>ヨウシキ</t>
    </rPh>
    <phoneticPr fontId="1"/>
  </si>
  <si>
    <t>【様式3】</t>
    <rPh sb="1" eb="3">
      <t>ヨウシキ</t>
    </rPh>
    <phoneticPr fontId="1"/>
  </si>
  <si>
    <t>【様式2】</t>
    <rPh sb="1" eb="3">
      <t>ヨウシキ</t>
    </rPh>
    <phoneticPr fontId="1"/>
  </si>
  <si>
    <t>【様式１：家庭的保育事業者】</t>
    <rPh sb="1" eb="3">
      <t>ヨウシキ</t>
    </rPh>
    <rPh sb="5" eb="8">
      <t>カテイテキ</t>
    </rPh>
    <rPh sb="8" eb="10">
      <t>ホイク</t>
    </rPh>
    <rPh sb="10" eb="12">
      <t>ジギョウ</t>
    </rPh>
    <rPh sb="12" eb="13">
      <t>シャ</t>
    </rPh>
    <phoneticPr fontId="1"/>
  </si>
  <si>
    <t>様式2/様式5</t>
    <rPh sb="0" eb="2">
      <t>ヨウシキ</t>
    </rPh>
    <rPh sb="4" eb="6">
      <t>ヨウシキ</t>
    </rPh>
    <phoneticPr fontId="1"/>
  </si>
  <si>
    <t>職員配置を充足している（様式5）</t>
    <rPh sb="12" eb="14">
      <t>ヨウシキ</t>
    </rPh>
    <phoneticPr fontId="1"/>
  </si>
  <si>
    <t>②　様式5</t>
    <rPh sb="2" eb="4">
      <t>ヨウシキ</t>
    </rPh>
    <phoneticPr fontId="1"/>
  </si>
  <si>
    <t>①　様式2/様式5</t>
    <rPh sb="2" eb="4">
      <t>ヨウシキ</t>
    </rPh>
    <rPh sb="6" eb="8">
      <t>ヨウシキ</t>
    </rPh>
    <phoneticPr fontId="1"/>
  </si>
  <si>
    <r>
      <t>非常勤事務職員（①～④のうち</t>
    </r>
    <r>
      <rPr>
        <sz val="10"/>
        <color rgb="FFFF0000"/>
        <rFont val="ＭＳ 明朝"/>
        <family val="1"/>
        <charset val="128"/>
      </rPr>
      <t>一つを選択※1</t>
    </r>
    <r>
      <rPr>
        <sz val="10"/>
        <rFont val="ＭＳ 明朝"/>
        <family val="1"/>
        <charset val="128"/>
      </rPr>
      <t>）</t>
    </r>
    <rPh sb="0" eb="3">
      <t>ヒジョウキン</t>
    </rPh>
    <rPh sb="3" eb="5">
      <t>ジム</t>
    </rPh>
    <rPh sb="5" eb="7">
      <t>ショクイン</t>
    </rPh>
    <rPh sb="14" eb="15">
      <t>ヒト</t>
    </rPh>
    <rPh sb="17" eb="19">
      <t>センタク</t>
    </rPh>
    <phoneticPr fontId="1"/>
  </si>
  <si>
    <t>毎月分提出する必要があります。</t>
    <rPh sb="0" eb="2">
      <t>マイツキ</t>
    </rPh>
    <rPh sb="2" eb="3">
      <t>ブン</t>
    </rPh>
    <rPh sb="3" eb="5">
      <t>テイシュツ</t>
    </rPh>
    <rPh sb="7" eb="9">
      <t>ヒツヨウ</t>
    </rPh>
    <phoneticPr fontId="1"/>
  </si>
  <si>
    <t>※　下記「Ⅱ　個票」については、『当該年度に始めて申請するとき』または『変更があるとき』のみ該当の加算分を作成をしてください（それ以外の場合は作成不要）。</t>
    <rPh sb="2" eb="4">
      <t>カキ</t>
    </rPh>
    <rPh sb="22" eb="23">
      <t>ハジ</t>
    </rPh>
    <phoneticPr fontId="1"/>
  </si>
  <si>
    <t>05家庭的</t>
  </si>
  <si>
    <t>保育士であり10年以上の保育所における勤務又は家庭的保育の経験を有し、一定の研修を修了している</t>
    <rPh sb="0" eb="2">
      <t>ホイク</t>
    </rPh>
    <rPh sb="2" eb="3">
      <t>シ</t>
    </rPh>
    <rPh sb="8" eb="11">
      <t>ネンイジョウ</t>
    </rPh>
    <rPh sb="12" eb="14">
      <t>ホイク</t>
    </rPh>
    <rPh sb="14" eb="15">
      <t>ショ</t>
    </rPh>
    <rPh sb="19" eb="21">
      <t>キンム</t>
    </rPh>
    <rPh sb="21" eb="22">
      <t>マタ</t>
    </rPh>
    <rPh sb="23" eb="26">
      <t>カテイテキ</t>
    </rPh>
    <rPh sb="26" eb="28">
      <t>ホイク</t>
    </rPh>
    <rPh sb="29" eb="31">
      <t>ケイケン</t>
    </rPh>
    <rPh sb="32" eb="33">
      <t>ユウ</t>
    </rPh>
    <rPh sb="35" eb="37">
      <t>イッテイ</t>
    </rPh>
    <rPh sb="38" eb="40">
      <t>ケンシュウ</t>
    </rPh>
    <rPh sb="41" eb="43">
      <t>シュウリョウ</t>
    </rPh>
    <phoneticPr fontId="1"/>
  </si>
  <si>
    <t>保育標準時間認定を受けた子ども等への保育や延長保育、家庭的保育者が病気、研修参加または休暇等を取得する場合に、当該家庭的保育者に代わって乳幼児の保育を行うこと。また、その場合は必要に応じて家庭的保育支援者又は担当者が連携施設まで送迎を行うこと</t>
    <rPh sb="0" eb="2">
      <t>ホイク</t>
    </rPh>
    <rPh sb="2" eb="4">
      <t>ヒョウジュン</t>
    </rPh>
    <rPh sb="4" eb="6">
      <t>ジカン</t>
    </rPh>
    <rPh sb="6" eb="8">
      <t>ニンテイ</t>
    </rPh>
    <rPh sb="9" eb="10">
      <t>ウ</t>
    </rPh>
    <rPh sb="12" eb="13">
      <t>コ</t>
    </rPh>
    <rPh sb="15" eb="16">
      <t>トウ</t>
    </rPh>
    <rPh sb="18" eb="20">
      <t>ホイク</t>
    </rPh>
    <rPh sb="21" eb="23">
      <t>エンチョウ</t>
    </rPh>
    <rPh sb="23" eb="25">
      <t>ホイク</t>
    </rPh>
    <rPh sb="26" eb="29">
      <t>カテイテキ</t>
    </rPh>
    <rPh sb="29" eb="32">
      <t>ホイクシャ</t>
    </rPh>
    <rPh sb="33" eb="35">
      <t>ビョウキ</t>
    </rPh>
    <rPh sb="36" eb="38">
      <t>ケンシュウ</t>
    </rPh>
    <rPh sb="38" eb="40">
      <t>サンカ</t>
    </rPh>
    <rPh sb="43" eb="45">
      <t>キュウカ</t>
    </rPh>
    <rPh sb="45" eb="46">
      <t>トウ</t>
    </rPh>
    <rPh sb="47" eb="49">
      <t>シュトク</t>
    </rPh>
    <rPh sb="51" eb="53">
      <t>バアイ</t>
    </rPh>
    <rPh sb="55" eb="57">
      <t>トウガイ</t>
    </rPh>
    <rPh sb="57" eb="60">
      <t>カテイテキ</t>
    </rPh>
    <rPh sb="60" eb="63">
      <t>ホイクシャ</t>
    </rPh>
    <rPh sb="64" eb="65">
      <t>カ</t>
    </rPh>
    <rPh sb="68" eb="71">
      <t>ニュウヨウジ</t>
    </rPh>
    <rPh sb="72" eb="74">
      <t>ホイク</t>
    </rPh>
    <rPh sb="75" eb="76">
      <t>オコナ</t>
    </rPh>
    <rPh sb="85" eb="87">
      <t>バアイ</t>
    </rPh>
    <rPh sb="88" eb="90">
      <t>ヒツヨウ</t>
    </rPh>
    <rPh sb="91" eb="92">
      <t>オウ</t>
    </rPh>
    <rPh sb="94" eb="97">
      <t>カテイテキ</t>
    </rPh>
    <rPh sb="97" eb="99">
      <t>ホイク</t>
    </rPh>
    <rPh sb="99" eb="101">
      <t>シエン</t>
    </rPh>
    <rPh sb="101" eb="102">
      <t>シャ</t>
    </rPh>
    <rPh sb="102" eb="103">
      <t>マタ</t>
    </rPh>
    <rPh sb="104" eb="107">
      <t>タントウシャ</t>
    </rPh>
    <rPh sb="108" eb="110">
      <t>レンケイ</t>
    </rPh>
    <rPh sb="110" eb="112">
      <t>シセツ</t>
    </rPh>
    <rPh sb="114" eb="116">
      <t>ソウゲイ</t>
    </rPh>
    <rPh sb="117" eb="118">
      <t>オコナ</t>
    </rPh>
    <phoneticPr fontId="1"/>
  </si>
  <si>
    <t>家庭的保育事業の実施場所を訪問等することにより、保育の状況把握に努めるとともに、家庭的保育者の相談に応じ、必要な指導・援助を行うこと</t>
    <rPh sb="0" eb="3">
      <t>カテイテキ</t>
    </rPh>
    <rPh sb="3" eb="5">
      <t>ホイク</t>
    </rPh>
    <rPh sb="5" eb="7">
      <t>ジギョウ</t>
    </rPh>
    <rPh sb="8" eb="10">
      <t>ジッシ</t>
    </rPh>
    <rPh sb="10" eb="12">
      <t>バショ</t>
    </rPh>
    <rPh sb="13" eb="15">
      <t>ホウモン</t>
    </rPh>
    <rPh sb="15" eb="16">
      <t>トウ</t>
    </rPh>
    <rPh sb="24" eb="26">
      <t>ホイク</t>
    </rPh>
    <rPh sb="27" eb="29">
      <t>ジョウキョウ</t>
    </rPh>
    <rPh sb="29" eb="31">
      <t>ハアク</t>
    </rPh>
    <rPh sb="32" eb="33">
      <t>ツト</t>
    </rPh>
    <rPh sb="40" eb="43">
      <t>カテイテキ</t>
    </rPh>
    <rPh sb="43" eb="46">
      <t>ホイクシャ</t>
    </rPh>
    <rPh sb="47" eb="49">
      <t>ソウダン</t>
    </rPh>
    <rPh sb="50" eb="51">
      <t>オウ</t>
    </rPh>
    <rPh sb="53" eb="55">
      <t>ヒツヨウ</t>
    </rPh>
    <rPh sb="56" eb="58">
      <t>シドウ</t>
    </rPh>
    <rPh sb="59" eb="61">
      <t>エンジョ</t>
    </rPh>
    <rPh sb="62" eb="63">
      <t>オコナ</t>
    </rPh>
    <phoneticPr fontId="1"/>
  </si>
  <si>
    <t>　建物を整備・改修又は取得する際に、建設資金又は購入資金が発生している</t>
    <rPh sb="7" eb="9">
      <t>カイシュウ</t>
    </rPh>
    <phoneticPr fontId="1"/>
  </si>
  <si>
    <t>　建物の設備に当たって、施設整備費又は改修費等の国庫補助金の交付を受けていない</t>
    <rPh sb="1" eb="3">
      <t>タテモノ</t>
    </rPh>
    <rPh sb="4" eb="6">
      <t>セツビ</t>
    </rPh>
    <rPh sb="7" eb="8">
      <t>ア</t>
    </rPh>
    <rPh sb="12" eb="14">
      <t>シセツ</t>
    </rPh>
    <rPh sb="14" eb="17">
      <t>セイビヒ</t>
    </rPh>
    <rPh sb="17" eb="18">
      <t>マタ</t>
    </rPh>
    <rPh sb="19" eb="21">
      <t>カイシュウ</t>
    </rPh>
    <rPh sb="21" eb="22">
      <t>ヒ</t>
    </rPh>
    <rPh sb="22" eb="23">
      <t>トウ</t>
    </rPh>
    <rPh sb="24" eb="26">
      <t>コッコ</t>
    </rPh>
    <rPh sb="26" eb="29">
      <t>ホジョキン</t>
    </rPh>
    <rPh sb="30" eb="32">
      <t>コウフ</t>
    </rPh>
    <rPh sb="33" eb="34">
      <t>ウ</t>
    </rPh>
    <phoneticPr fontId="1"/>
  </si>
  <si>
    <t>　１施設当たりの改修等に要した費用を2,000で除して得た値が、建物全体の延面積に２を乗じて得た値を上回る場合で、かつ、改修等に要した費用が1,000万円以上</t>
    <phoneticPr fontId="1"/>
  </si>
  <si>
    <t>　 加算要件
(１～3の要件全てに該当する場合に加算)</t>
    <rPh sb="2" eb="4">
      <t>カサン</t>
    </rPh>
    <rPh sb="4" eb="6">
      <t>ヨウケン</t>
    </rPh>
    <rPh sb="13" eb="15">
      <t>ヨウケン</t>
    </rPh>
    <rPh sb="15" eb="16">
      <t>スベ</t>
    </rPh>
    <rPh sb="18" eb="20">
      <t>ガイトウ</t>
    </rPh>
    <rPh sb="22" eb="24">
      <t>バアイ</t>
    </rPh>
    <rPh sb="25" eb="27">
      <t>カサン</t>
    </rPh>
    <phoneticPr fontId="1"/>
  </si>
  <si>
    <t>　家庭的保育事業所の用に供する建物に対する賃借料が発生している</t>
    <rPh sb="1" eb="4">
      <t>カテイテキ</t>
    </rPh>
    <rPh sb="4" eb="6">
      <t>ホイク</t>
    </rPh>
    <rPh sb="6" eb="9">
      <t>ジギョウショ</t>
    </rPh>
    <rPh sb="18" eb="19">
      <t>タイ</t>
    </rPh>
    <rPh sb="21" eb="24">
      <t>チンシャクリョウ</t>
    </rPh>
    <rPh sb="25" eb="27">
      <t>ハッセイ</t>
    </rPh>
    <phoneticPr fontId="1"/>
  </si>
  <si>
    <t>　賃借料の国庫補助を受けた施設については、当該補助に係る残額が生じていない</t>
    <rPh sb="1" eb="4">
      <t>チンシャクリョウ</t>
    </rPh>
    <phoneticPr fontId="1"/>
  </si>
  <si>
    <t>①　職員氏名</t>
    <rPh sb="2" eb="4">
      <t>ショクイン</t>
    </rPh>
    <rPh sb="4" eb="6">
      <t>シメイ</t>
    </rPh>
    <phoneticPr fontId="3"/>
  </si>
  <si>
    <t>区分</t>
    <rPh sb="0" eb="2">
      <t>クブン</t>
    </rPh>
    <phoneticPr fontId="1"/>
  </si>
  <si>
    <r>
      <t>　連携施設について、卒園児童分の受け入れ枠(引き続き教育又は保育の提供を受け入れ）を整えている</t>
    </r>
    <r>
      <rPr>
        <b/>
        <sz val="10"/>
        <color rgb="FFFF0000"/>
        <rFont val="ＭＳ 明朝"/>
        <family val="1"/>
        <charset val="128"/>
      </rPr>
      <t>（２歳児の定員分の確保が必要）</t>
    </r>
    <rPh sb="1" eb="3">
      <t>レンケイ</t>
    </rPh>
    <rPh sb="3" eb="5">
      <t>シセツ</t>
    </rPh>
    <rPh sb="10" eb="13">
      <t>ソツエンジ</t>
    </rPh>
    <rPh sb="13" eb="14">
      <t>ワラベ</t>
    </rPh>
    <rPh sb="14" eb="15">
      <t>ブン</t>
    </rPh>
    <rPh sb="16" eb="17">
      <t>ウ</t>
    </rPh>
    <rPh sb="18" eb="19">
      <t>イ</t>
    </rPh>
    <rPh sb="20" eb="21">
      <t>ワク</t>
    </rPh>
    <rPh sb="22" eb="23">
      <t>ヒ</t>
    </rPh>
    <rPh sb="24" eb="25">
      <t>ツヅ</t>
    </rPh>
    <rPh sb="26" eb="28">
      <t>キョウイク</t>
    </rPh>
    <rPh sb="28" eb="29">
      <t>マタ</t>
    </rPh>
    <rPh sb="30" eb="32">
      <t>ホイク</t>
    </rPh>
    <rPh sb="33" eb="35">
      <t>テイキョウ</t>
    </rPh>
    <rPh sb="36" eb="37">
      <t>ウ</t>
    </rPh>
    <rPh sb="38" eb="39">
      <t>イ</t>
    </rPh>
    <rPh sb="42" eb="43">
      <t>トトノ</t>
    </rPh>
    <rPh sb="49" eb="50">
      <t>サイ</t>
    </rPh>
    <rPh sb="50" eb="51">
      <t>ジ</t>
    </rPh>
    <rPh sb="52" eb="54">
      <t>テイイン</t>
    </rPh>
    <rPh sb="54" eb="55">
      <t>ブン</t>
    </rPh>
    <rPh sb="56" eb="58">
      <t>カクホ</t>
    </rPh>
    <rPh sb="59" eb="61">
      <t>ヒツヨウ</t>
    </rPh>
    <phoneticPr fontId="1"/>
  </si>
  <si>
    <t>　連携施設から、利用児童に集団保育を体験させるための機会の設定、保育の適切な提供に必要な事業者に対する相談、助言その他の保育の内容に関する支援を受けている</t>
    <rPh sb="1" eb="3">
      <t>レンケイ</t>
    </rPh>
    <rPh sb="3" eb="5">
      <t>シセツ</t>
    </rPh>
    <rPh sb="8" eb="10">
      <t>リヨウ</t>
    </rPh>
    <rPh sb="10" eb="12">
      <t>ジドウ</t>
    </rPh>
    <rPh sb="13" eb="15">
      <t>シュウダン</t>
    </rPh>
    <rPh sb="15" eb="17">
      <t>ホイク</t>
    </rPh>
    <rPh sb="18" eb="20">
      <t>タイケン</t>
    </rPh>
    <rPh sb="26" eb="28">
      <t>キカイ</t>
    </rPh>
    <rPh sb="29" eb="31">
      <t>セッテイ</t>
    </rPh>
    <rPh sb="32" eb="34">
      <t>ホイク</t>
    </rPh>
    <rPh sb="35" eb="37">
      <t>テキセツ</t>
    </rPh>
    <rPh sb="38" eb="40">
      <t>テイキョウ</t>
    </rPh>
    <rPh sb="41" eb="43">
      <t>ヒツヨウ</t>
    </rPh>
    <rPh sb="44" eb="46">
      <t>ジギョウ</t>
    </rPh>
    <rPh sb="46" eb="47">
      <t>シャ</t>
    </rPh>
    <rPh sb="48" eb="49">
      <t>タイ</t>
    </rPh>
    <rPh sb="51" eb="53">
      <t>ソウダン</t>
    </rPh>
    <rPh sb="54" eb="56">
      <t>ジョゲン</t>
    </rPh>
    <rPh sb="58" eb="59">
      <t>タ</t>
    </rPh>
    <rPh sb="60" eb="62">
      <t>ホイク</t>
    </rPh>
    <rPh sb="63" eb="65">
      <t>ナイヨウ</t>
    </rPh>
    <rPh sb="66" eb="67">
      <t>カン</t>
    </rPh>
    <rPh sb="69" eb="71">
      <t>シエン</t>
    </rPh>
    <rPh sb="72" eb="73">
      <t>ウ</t>
    </rPh>
    <phoneticPr fontId="1"/>
  </si>
  <si>
    <t>　連携施設から、代替保育（事業者の職員の病気、休暇等により保育を提供することができない場合に、当該事業者に代わって提供する保育をいう。）の提供を受けている</t>
    <rPh sb="1" eb="3">
      <t>レンケイ</t>
    </rPh>
    <rPh sb="3" eb="5">
      <t>シセツ</t>
    </rPh>
    <rPh sb="8" eb="10">
      <t>ダイタイ</t>
    </rPh>
    <rPh sb="10" eb="12">
      <t>ホイク</t>
    </rPh>
    <rPh sb="13" eb="15">
      <t>ジギョウ</t>
    </rPh>
    <rPh sb="15" eb="16">
      <t>シャ</t>
    </rPh>
    <rPh sb="17" eb="19">
      <t>ショクイン</t>
    </rPh>
    <rPh sb="20" eb="22">
      <t>ビョウキ</t>
    </rPh>
    <rPh sb="23" eb="25">
      <t>キュウカ</t>
    </rPh>
    <rPh sb="25" eb="26">
      <t>トウ</t>
    </rPh>
    <rPh sb="29" eb="31">
      <t>ホイク</t>
    </rPh>
    <rPh sb="32" eb="34">
      <t>テイキョウ</t>
    </rPh>
    <rPh sb="43" eb="45">
      <t>バアイ</t>
    </rPh>
    <rPh sb="47" eb="49">
      <t>トウガイ</t>
    </rPh>
    <rPh sb="49" eb="51">
      <t>ジギョウ</t>
    </rPh>
    <rPh sb="51" eb="52">
      <t>シャ</t>
    </rPh>
    <rPh sb="53" eb="54">
      <t>カ</t>
    </rPh>
    <rPh sb="57" eb="59">
      <t>テイキョウ</t>
    </rPh>
    <rPh sb="61" eb="63">
      <t>ホイク</t>
    </rPh>
    <rPh sb="69" eb="71">
      <t>テイキョウ</t>
    </rPh>
    <rPh sb="72" eb="73">
      <t>ウ</t>
    </rPh>
    <phoneticPr fontId="1"/>
  </si>
  <si>
    <t>食事の提供に当たり、栄養士を活用してアレルギー、アトピー等への助言、食育等に関する継続的な指導を受けている</t>
    <rPh sb="0" eb="2">
      <t>ショクジ</t>
    </rPh>
    <rPh sb="3" eb="5">
      <t>テイキョウ</t>
    </rPh>
    <rPh sb="6" eb="7">
      <t>ア</t>
    </rPh>
    <rPh sb="10" eb="13">
      <t>エイヨウシ</t>
    </rPh>
    <rPh sb="14" eb="16">
      <t>カツヨウ</t>
    </rPh>
    <rPh sb="28" eb="29">
      <t>トウ</t>
    </rPh>
    <rPh sb="31" eb="33">
      <t>ジョゲン</t>
    </rPh>
    <rPh sb="34" eb="36">
      <t>ショクイク</t>
    </rPh>
    <rPh sb="36" eb="37">
      <t>トウ</t>
    </rPh>
    <rPh sb="38" eb="39">
      <t>カン</t>
    </rPh>
    <rPh sb="41" eb="44">
      <t>ケイゾクテキ</t>
    </rPh>
    <rPh sb="45" eb="47">
      <t>シドウ</t>
    </rPh>
    <rPh sb="48" eb="49">
      <t>ウ</t>
    </rPh>
    <phoneticPr fontId="1"/>
  </si>
  <si>
    <t>④　事業要件2‐②に該当する場合、栄養士の活用・配置状況がわかる挙証書類</t>
    <rPh sb="2" eb="4">
      <t>ジギョウ</t>
    </rPh>
    <rPh sb="4" eb="6">
      <t>ヨウケン</t>
    </rPh>
    <rPh sb="10" eb="12">
      <t>ガイトウ</t>
    </rPh>
    <rPh sb="14" eb="16">
      <t>バアイ</t>
    </rPh>
    <rPh sb="17" eb="20">
      <t>エイヨウシ</t>
    </rPh>
    <rPh sb="21" eb="23">
      <t>カツヨウ</t>
    </rPh>
    <rPh sb="24" eb="26">
      <t>ハイチ</t>
    </rPh>
    <rPh sb="26" eb="28">
      <t>ジョウキョウ</t>
    </rPh>
    <rPh sb="32" eb="34">
      <t>キョショウ</t>
    </rPh>
    <rPh sb="34" eb="36">
      <t>ショルイ</t>
    </rPh>
    <phoneticPr fontId="1"/>
  </si>
  <si>
    <t>10　土曜日に閉所する場合</t>
    <rPh sb="3" eb="6">
      <t>ドヨウビ</t>
    </rPh>
    <rPh sb="7" eb="9">
      <t>ヘイショ</t>
    </rPh>
    <rPh sb="11" eb="13">
      <t>バアイ</t>
    </rPh>
    <phoneticPr fontId="1"/>
  </si>
  <si>
    <t>減算区分</t>
    <rPh sb="0" eb="2">
      <t>ゲンサン</t>
    </rPh>
    <rPh sb="2" eb="4">
      <t>クブン</t>
    </rPh>
    <phoneticPr fontId="1"/>
  </si>
  <si>
    <t>人数</t>
    <rPh sb="0" eb="2">
      <t>ニンズウ</t>
    </rPh>
    <phoneticPr fontId="1"/>
  </si>
  <si>
    <t>様式名</t>
    <rPh sb="0" eb="2">
      <t>ヨウシキ</t>
    </rPh>
    <rPh sb="2" eb="3">
      <t>メイ</t>
    </rPh>
    <phoneticPr fontId="1"/>
  </si>
  <si>
    <t>説明</t>
    <rPh sb="0" eb="2">
      <t>セツメイ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</si>
  <si>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</si>
  <si>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</si>
  <si>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</si>
  <si>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</si>
  <si>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</si>
  <si>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</si>
  <si>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01私立</t>
    <phoneticPr fontId="1"/>
  </si>
  <si>
    <t>05家庭的</t>
    <phoneticPr fontId="1"/>
  </si>
  <si>
    <t>家</t>
    <phoneticPr fontId="1"/>
  </si>
  <si>
    <t>中央区</t>
    <rPh sb="0" eb="3">
      <t>チュウオウク</t>
    </rPh>
    <phoneticPr fontId="1"/>
  </si>
  <si>
    <t>保育ママ札幌市未来局【例】</t>
    <rPh sb="0" eb="2">
      <t>ホイク</t>
    </rPh>
    <rPh sb="4" eb="7">
      <t>サッポロシ</t>
    </rPh>
    <rPh sb="7" eb="9">
      <t>ミライ</t>
    </rPh>
    <rPh sb="9" eb="10">
      <t>キョク</t>
    </rPh>
    <rPh sb="11" eb="12">
      <t>レイ</t>
    </rPh>
    <phoneticPr fontId="1"/>
  </si>
  <si>
    <t>ソート①</t>
    <phoneticPr fontId="1"/>
  </si>
  <si>
    <t>ソート②</t>
    <phoneticPr fontId="1"/>
  </si>
  <si>
    <t>札幌市は原則非適用</t>
    <rPh sb="0" eb="3">
      <t>サッポロシ</t>
    </rPh>
    <rPh sb="4" eb="6">
      <t>ゲンソク</t>
    </rPh>
    <rPh sb="6" eb="7">
      <t>ヒ</t>
    </rPh>
    <rPh sb="7" eb="9">
      <t>テキヨウ</t>
    </rPh>
    <phoneticPr fontId="1"/>
  </si>
  <si>
    <t>　家庭的保育事業所の用に供する建物が賃貸物件である（施設の一部が自己所有の場合は、賃貸による建物の延べ面積が施設全体の延べ面積の50％以上）</t>
    <rPh sb="1" eb="4">
      <t>カテイテキ</t>
    </rPh>
    <rPh sb="4" eb="6">
      <t>ホイク</t>
    </rPh>
    <rPh sb="6" eb="8">
      <t>ジギョウ</t>
    </rPh>
    <rPh sb="8" eb="9">
      <t>ショ</t>
    </rPh>
    <rPh sb="18" eb="20">
      <t>チンタイ</t>
    </rPh>
    <rPh sb="20" eb="22">
      <t>ブッケン</t>
    </rPh>
    <rPh sb="26" eb="28">
      <t>シセツ</t>
    </rPh>
    <rPh sb="29" eb="31">
      <t>イチブ</t>
    </rPh>
    <rPh sb="32" eb="34">
      <t>ジコ</t>
    </rPh>
    <rPh sb="34" eb="36">
      <t>ショユウ</t>
    </rPh>
    <rPh sb="37" eb="39">
      <t>バアイ</t>
    </rPh>
    <rPh sb="41" eb="43">
      <t>チンタイ</t>
    </rPh>
    <rPh sb="46" eb="48">
      <t>タテモノ</t>
    </rPh>
    <rPh sb="49" eb="50">
      <t>ノ</t>
    </rPh>
    <rPh sb="51" eb="53">
      <t>メンセキ</t>
    </rPh>
    <rPh sb="54" eb="56">
      <t>シセツ</t>
    </rPh>
    <rPh sb="56" eb="58">
      <t>ゼンタイ</t>
    </rPh>
    <rPh sb="59" eb="60">
      <t>ノ</t>
    </rPh>
    <rPh sb="61" eb="63">
      <t>メンセキ</t>
    </rPh>
    <rPh sb="67" eb="69">
      <t>イジョウ</t>
    </rPh>
    <phoneticPr fontId="1"/>
  </si>
  <si>
    <t>　家庭的保育事業所の用に供する建物が自己所有(施設の一部が賃貸物件の場合は、自己所有の建物の延べ面積が施設全体の延べ面積の50％以上）</t>
    <rPh sb="1" eb="4">
      <t>カテイテキ</t>
    </rPh>
    <rPh sb="4" eb="6">
      <t>ホイク</t>
    </rPh>
    <rPh sb="6" eb="9">
      <t>ジギョウショ</t>
    </rPh>
    <rPh sb="23" eb="25">
      <t>シセツ</t>
    </rPh>
    <rPh sb="26" eb="28">
      <t>イチブ</t>
    </rPh>
    <rPh sb="29" eb="31">
      <t>チンタイ</t>
    </rPh>
    <rPh sb="31" eb="33">
      <t>ブッケン</t>
    </rPh>
    <rPh sb="34" eb="36">
      <t>バアイ</t>
    </rPh>
    <rPh sb="38" eb="40">
      <t>ジコ</t>
    </rPh>
    <rPh sb="40" eb="42">
      <t>ショユウ</t>
    </rPh>
    <rPh sb="43" eb="45">
      <t>タテモノ</t>
    </rPh>
    <rPh sb="46" eb="47">
      <t>ノ</t>
    </rPh>
    <rPh sb="48" eb="50">
      <t>メンセキ</t>
    </rPh>
    <rPh sb="51" eb="53">
      <t>シセツ</t>
    </rPh>
    <rPh sb="53" eb="55">
      <t>ゼンタイ</t>
    </rPh>
    <rPh sb="56" eb="57">
      <t>ノ</t>
    </rPh>
    <rPh sb="58" eb="60">
      <t>メンセキ</t>
    </rPh>
    <rPh sb="64" eb="66">
      <t>イジョウ</t>
    </rPh>
    <phoneticPr fontId="1"/>
  </si>
  <si>
    <t>減算要件
（1～4の要件を全て満たさない場合に減算）</t>
    <rPh sb="0" eb="2">
      <t>ゲンサン</t>
    </rPh>
    <rPh sb="2" eb="4">
      <t>ヨウケン</t>
    </rPh>
    <rPh sb="11" eb="13">
      <t>ヨウケン</t>
    </rPh>
    <rPh sb="14" eb="15">
      <t>スベ</t>
    </rPh>
    <rPh sb="16" eb="17">
      <t>ミ</t>
    </rPh>
    <rPh sb="21" eb="23">
      <t>バアイ</t>
    </rPh>
    <rPh sb="24" eb="26">
      <t>ゲンサン</t>
    </rPh>
    <phoneticPr fontId="1"/>
  </si>
  <si>
    <t>減算要件
（1～2の要件のどちらも満たさない場合に減算）</t>
    <rPh sb="0" eb="2">
      <t>ゲンサン</t>
    </rPh>
    <rPh sb="2" eb="4">
      <t>ヨウケン</t>
    </rPh>
    <rPh sb="10" eb="12">
      <t>ヨウケン</t>
    </rPh>
    <rPh sb="17" eb="18">
      <t>ミ</t>
    </rPh>
    <rPh sb="22" eb="24">
      <t>バアイ</t>
    </rPh>
    <rPh sb="25" eb="27">
      <t>ゲンサン</t>
    </rPh>
    <phoneticPr fontId="1"/>
  </si>
  <si>
    <t>（前月分確認）</t>
    <rPh sb="1" eb="3">
      <t>ゼンゲツ</t>
    </rPh>
    <rPh sb="3" eb="4">
      <t>ブン</t>
    </rPh>
    <rPh sb="4" eb="6">
      <t>カクニン</t>
    </rPh>
    <phoneticPr fontId="1"/>
  </si>
  <si>
    <t>配置</t>
    <rPh sb="0" eb="2">
      <t>ハイチ</t>
    </rPh>
    <phoneticPr fontId="1"/>
  </si>
  <si>
    <t>本加算に係る栄養士が雇用契約等により配置されている場合（兼務に該当する場合を除く）</t>
    <rPh sb="0" eb="1">
      <t>ホン</t>
    </rPh>
    <rPh sb="1" eb="3">
      <t>カサン</t>
    </rPh>
    <rPh sb="4" eb="5">
      <t>カカ</t>
    </rPh>
    <rPh sb="6" eb="9">
      <t>エイヨウシ</t>
    </rPh>
    <rPh sb="10" eb="12">
      <t>コヨウ</t>
    </rPh>
    <rPh sb="12" eb="14">
      <t>ケイヤク</t>
    </rPh>
    <rPh sb="14" eb="15">
      <t>トウ</t>
    </rPh>
    <rPh sb="18" eb="20">
      <t>ハイチ</t>
    </rPh>
    <rPh sb="25" eb="27">
      <t>バアイ</t>
    </rPh>
    <rPh sb="28" eb="30">
      <t>ケンム</t>
    </rPh>
    <rPh sb="31" eb="33">
      <t>ガイトウ</t>
    </rPh>
    <rPh sb="35" eb="37">
      <t>バアイ</t>
    </rPh>
    <rPh sb="38" eb="39">
      <t>ノゾ</t>
    </rPh>
    <phoneticPr fontId="1"/>
  </si>
  <si>
    <t>兼務</t>
    <rPh sb="0" eb="2">
      <t>ケンム</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</si>
  <si>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</si>
  <si>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嘱託</t>
    <rPh sb="0" eb="2">
      <t>ショクタク</t>
    </rPh>
    <phoneticPr fontId="1"/>
  </si>
  <si>
    <t>上記以外で、本加算に係る栄養士としての業務を嘱託等する場合</t>
    <rPh sb="0" eb="2">
      <t>ジョウキ</t>
    </rPh>
    <rPh sb="2" eb="4">
      <t>イガイ</t>
    </rPh>
    <rPh sb="6" eb="7">
      <t>ホン</t>
    </rPh>
    <rPh sb="7" eb="9">
      <t>カサン</t>
    </rPh>
    <rPh sb="10" eb="11">
      <t>カカ</t>
    </rPh>
    <rPh sb="12" eb="15">
      <t>エイヨウシ</t>
    </rPh>
    <rPh sb="19" eb="21">
      <t>ギョウム</t>
    </rPh>
    <rPh sb="22" eb="24">
      <t>ショクタク</t>
    </rPh>
    <rPh sb="24" eb="25">
      <t>トウ</t>
    </rPh>
    <rPh sb="27" eb="29">
      <t>バアイ</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</si>
  <si>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</si>
  <si>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兼務(基本配置の調理員等を充足しない場合も含む)</t>
    <rPh sb="0" eb="2">
      <t>ケンム</t>
    </rPh>
    <rPh sb="3" eb="5">
      <t>キホン</t>
    </rPh>
    <rPh sb="5" eb="7">
      <t>ハイチ</t>
    </rPh>
    <rPh sb="8" eb="11">
      <t>チョウリイン</t>
    </rPh>
    <rPh sb="11" eb="12">
      <t>トウ</t>
    </rPh>
    <rPh sb="13" eb="15">
      <t>ジュウソク</t>
    </rPh>
    <rPh sb="18" eb="20">
      <t>バアイ</t>
    </rPh>
    <rPh sb="21" eb="22">
      <t>フク</t>
    </rPh>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</si>
  <si>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</si>
  <si>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　区分は以下のとおり。</t>
    <rPh sb="2" eb="4">
      <t>クブン</t>
    </rPh>
    <rPh sb="5" eb="7">
      <t>イカ</t>
    </rPh>
    <phoneticPr fontId="1"/>
  </si>
  <si>
    <t>列1</t>
    <phoneticPr fontId="1"/>
  </si>
  <si>
    <t>カウント</t>
    <phoneticPr fontId="1"/>
  </si>
  <si>
    <r>
      <t>調理員(栄養士含む)（①～②のうち</t>
    </r>
    <r>
      <rPr>
        <sz val="10"/>
        <color rgb="FFFF0000"/>
        <rFont val="ＭＳ 明朝"/>
        <family val="1"/>
        <charset val="128"/>
      </rPr>
      <t>一つを選択※1</t>
    </r>
    <r>
      <rPr>
        <sz val="10"/>
        <rFont val="ＭＳ 明朝"/>
        <family val="1"/>
        <charset val="128"/>
      </rPr>
      <t>）</t>
    </r>
    <rPh sb="0" eb="3">
      <t>チョウリイン</t>
    </rPh>
    <rPh sb="4" eb="7">
      <t>エイヨウシ</t>
    </rPh>
    <rPh sb="7" eb="8">
      <t>フク</t>
    </rPh>
    <rPh sb="17" eb="18">
      <t>ヒト</t>
    </rPh>
    <rPh sb="20" eb="22">
      <t>センタク</t>
    </rPh>
    <phoneticPr fontId="1"/>
  </si>
  <si>
    <t>整合性</t>
    <rPh sb="0" eb="3">
      <t>セイゴウセイ</t>
    </rPh>
    <phoneticPr fontId="1"/>
  </si>
  <si>
    <t>漏れ</t>
    <rPh sb="0" eb="1">
      <t>モ</t>
    </rPh>
    <phoneticPr fontId="1"/>
  </si>
  <si>
    <t>家庭的保育補助者加算を取得している（自動引用）</t>
    <rPh sb="0" eb="3">
      <t>カテイテキ</t>
    </rPh>
    <rPh sb="3" eb="5">
      <t>ホイク</t>
    </rPh>
    <rPh sb="5" eb="8">
      <t>ホジョシャ</t>
    </rPh>
    <rPh sb="8" eb="10">
      <t>カサン</t>
    </rPh>
    <rPh sb="11" eb="13">
      <t>シュトク</t>
    </rPh>
    <rPh sb="18" eb="20">
      <t>ジドウ</t>
    </rPh>
    <rPh sb="20" eb="22">
      <t>インヨウ</t>
    </rPh>
    <phoneticPr fontId="1"/>
  </si>
  <si>
    <t xml:space="preserve">  　 加算要件
(1～2の要件に該当かつ下記の利用児童表を記載した場合に加算)</t>
    <phoneticPr fontId="1"/>
  </si>
  <si>
    <t>別紙2</t>
    <rPh sb="0" eb="2">
      <t>ベッシ</t>
    </rPh>
    <phoneticPr fontId="1"/>
  </si>
  <si>
    <t>基本配置等を超えて配置</t>
    <rPh sb="0" eb="2">
      <t>キホン</t>
    </rPh>
    <rPh sb="2" eb="4">
      <t>ハイチ</t>
    </rPh>
    <rPh sb="4" eb="5">
      <t>トウ</t>
    </rPh>
    <rPh sb="6" eb="7">
      <t>コ</t>
    </rPh>
    <rPh sb="9" eb="11">
      <t>ハイチ</t>
    </rPh>
    <phoneticPr fontId="1"/>
  </si>
  <si>
    <t>代替（助成金等対象）</t>
    <rPh sb="0" eb="2">
      <t>ダイタイ</t>
    </rPh>
    <rPh sb="3" eb="6">
      <t>ジョセイキン</t>
    </rPh>
    <rPh sb="6" eb="7">
      <t>トウ</t>
    </rPh>
    <rPh sb="7" eb="9">
      <t>タイショウ</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</si>
  <si>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</si>
  <si>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※2　他の保育所等との共同保育により、利用希望者の保育を確保・実施した場合は利用児童数に含めること。
　ただし、共同保育により相手施設から受け入れた児童数は含めないこと。</t>
    <rPh sb="3" eb="4">
      <t>タ</t>
    </rPh>
    <rPh sb="5" eb="7">
      <t>ホイク</t>
    </rPh>
    <rPh sb="7" eb="8">
      <t>ショ</t>
    </rPh>
    <rPh sb="8" eb="9">
      <t>トウ</t>
    </rPh>
    <rPh sb="11" eb="13">
      <t>キョウドウ</t>
    </rPh>
    <rPh sb="13" eb="15">
      <t>ホイク</t>
    </rPh>
    <rPh sb="19" eb="21">
      <t>リヨウ</t>
    </rPh>
    <rPh sb="21" eb="24">
      <t>キボウシャ</t>
    </rPh>
    <rPh sb="25" eb="27">
      <t>ホイク</t>
    </rPh>
    <rPh sb="28" eb="30">
      <t>カクホ</t>
    </rPh>
    <rPh sb="31" eb="33">
      <t>ジッシ</t>
    </rPh>
    <rPh sb="35" eb="37">
      <t>バアイ</t>
    </rPh>
    <rPh sb="38" eb="40">
      <t>リヨウ</t>
    </rPh>
    <rPh sb="40" eb="42">
      <t>ジドウ</t>
    </rPh>
    <rPh sb="42" eb="43">
      <t>スウ</t>
    </rPh>
    <rPh sb="44" eb="45">
      <t>フク</t>
    </rPh>
    <rPh sb="56" eb="58">
      <t>キョウドウ</t>
    </rPh>
    <rPh sb="58" eb="60">
      <t>ホイク</t>
    </rPh>
    <rPh sb="63" eb="65">
      <t>アイテ</t>
    </rPh>
    <rPh sb="65" eb="67">
      <t>シセツ</t>
    </rPh>
    <rPh sb="69" eb="70">
      <t>ウ</t>
    </rPh>
    <rPh sb="71" eb="72">
      <t>イ</t>
    </rPh>
    <rPh sb="74" eb="76">
      <t>ジドウ</t>
    </rPh>
    <rPh sb="76" eb="77">
      <t>スウ</t>
    </rPh>
    <rPh sb="78" eb="79">
      <t>フク</t>
    </rPh>
    <phoneticPr fontId="1"/>
  </si>
  <si>
    <t>減算(実績)</t>
    <rPh sb="0" eb="2">
      <t>ゲンサン</t>
    </rPh>
    <rPh sb="3" eb="5">
      <t>ジッセキ</t>
    </rPh>
    <phoneticPr fontId="1"/>
  </si>
  <si>
    <t>別紙2（「減算：土曜日に閉所する場合」の添付書類）</t>
    <rPh sb="0" eb="2">
      <t>ベッシ</t>
    </rPh>
    <rPh sb="5" eb="7">
      <t>ゲンサン</t>
    </rPh>
    <rPh sb="8" eb="11">
      <t>ドヨウビ</t>
    </rPh>
    <rPh sb="12" eb="14">
      <t>ヘイショ</t>
    </rPh>
    <rPh sb="16" eb="18">
      <t>バアイ</t>
    </rPh>
    <rPh sb="20" eb="22">
      <t>テンプ</t>
    </rPh>
    <rPh sb="22" eb="24">
      <t>ショルイ</t>
    </rPh>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</si>
  <si>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</si>
  <si>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</si>
  <si>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</si>
  <si>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</si>
  <si>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</si>
  <si>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敬老の日</t>
    <rPh sb="0" eb="2">
      <t>ケイロウ</t>
    </rPh>
    <rPh sb="3" eb="4">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</si>
  <si>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</si>
  <si>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</si>
  <si>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</si>
  <si>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</si>
  <si>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</si>
  <si>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</si>
  <si>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</si>
  <si>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</si>
  <si>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</si>
  <si>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</si>
  <si>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r>
      <t>　毎月分提出する必要があります。また、前月実績の区分が変更となった場合は、</t>
    </r>
    <r>
      <rPr>
        <b/>
        <u/>
        <sz val="10"/>
        <color rgb="FFFF0000"/>
        <rFont val="ＭＳ 明朝"/>
        <family val="1"/>
        <charset val="128"/>
      </rPr>
      <t>前月に遡及して減算を適用</t>
    </r>
    <r>
      <rPr>
        <sz val="10"/>
        <color rgb="FFFF0000"/>
        <rFont val="ＭＳ 明朝"/>
        <family val="1"/>
        <charset val="128"/>
      </rPr>
      <t>します。</t>
    </r>
    <rPh sb="19" eb="21">
      <t>ゼンゲツ</t>
    </rPh>
    <rPh sb="37" eb="39">
      <t>ゼンゲツ</t>
    </rPh>
    <phoneticPr fontId="1"/>
  </si>
  <si>
    <t>○</t>
    <phoneticPr fontId="1"/>
  </si>
  <si>
    <t>特例※5</t>
    <rPh sb="0" eb="2">
      <t>トクレイ</t>
    </rPh>
    <phoneticPr fontId="1"/>
  </si>
  <si>
    <t>→</t>
    <phoneticPr fontId="1"/>
  </si>
  <si>
    <t>※1　利用児童について、延長保育、一時保育を含めないこと。</t>
    <rPh sb="3" eb="5">
      <t>リヨウ</t>
    </rPh>
    <rPh sb="5" eb="7">
      <t>ジドウ</t>
    </rPh>
    <rPh sb="12" eb="14">
      <t>エンチョウ</t>
    </rPh>
    <rPh sb="14" eb="16">
      <t>ホイク</t>
    </rPh>
    <rPh sb="17" eb="19">
      <t>イチジ</t>
    </rPh>
    <rPh sb="19" eb="21">
      <t>ホイク</t>
    </rPh>
    <rPh sb="22" eb="23">
      <t>フク</t>
    </rPh>
    <phoneticPr fontId="1"/>
  </si>
  <si>
    <t>※3　利用児童数(実績)について、当日キャンセルの児童は含めて良い(前日キャンセルは不可)。なお、運動会等による行事開催が当日キャンセルになった場合も保護者の希望があれば保育を実施する必要があることに留意すること。</t>
    <rPh sb="3" eb="5">
      <t>リヨウ</t>
    </rPh>
    <rPh sb="5" eb="7">
      <t>ジドウ</t>
    </rPh>
    <rPh sb="7" eb="8">
      <t>スウ</t>
    </rPh>
    <rPh sb="9" eb="11">
      <t>ジッセキ</t>
    </rPh>
    <rPh sb="17" eb="19">
      <t>トウジツ</t>
    </rPh>
    <rPh sb="25" eb="27">
      <t>ジドウ</t>
    </rPh>
    <rPh sb="28" eb="29">
      <t>フク</t>
    </rPh>
    <rPh sb="31" eb="32">
      <t>ヨ</t>
    </rPh>
    <rPh sb="34" eb="36">
      <t>ゼンジツ</t>
    </rPh>
    <rPh sb="42" eb="44">
      <t>フカ</t>
    </rPh>
    <rPh sb="61" eb="63">
      <t>トウジツ</t>
    </rPh>
    <rPh sb="100" eb="102">
      <t>リュウイ</t>
    </rPh>
    <phoneticPr fontId="1"/>
  </si>
  <si>
    <t>※4　年末年始の閉園日（12/29～31、1/2～3）に土曜日が含まれる場合は祝日扱いとします。</t>
    <rPh sb="3" eb="7">
      <t>ネンマツネンシ</t>
    </rPh>
    <rPh sb="8" eb="11">
      <t>ヘイエンビ</t>
    </rPh>
    <rPh sb="28" eb="31">
      <t>ドヨウビ</t>
    </rPh>
    <rPh sb="32" eb="33">
      <t>フク</t>
    </rPh>
    <rPh sb="36" eb="38">
      <t>バアイ</t>
    </rPh>
    <rPh sb="39" eb="42">
      <t>シュクジツアツカ</t>
    </rPh>
    <phoneticPr fontId="1"/>
  </si>
  <si>
    <t>※5　新型コロナ感染症の影響により休園した場合は「○」を選択すること。なお、常時土曜日を閉所している施設は選択しないこと。</t>
    <rPh sb="3" eb="5">
      <t>シンガタ</t>
    </rPh>
    <rPh sb="8" eb="11">
      <t>カンセンショウ</t>
    </rPh>
    <rPh sb="12" eb="14">
      <t>エイキョウ</t>
    </rPh>
    <rPh sb="17" eb="19">
      <t>キュウエン</t>
    </rPh>
    <rPh sb="21" eb="23">
      <t>バアイ</t>
    </rPh>
    <rPh sb="28" eb="30">
      <t>センタク</t>
    </rPh>
    <rPh sb="38" eb="40">
      <t>ジョウジ</t>
    </rPh>
    <rPh sb="40" eb="43">
      <t>ドヨウビ</t>
    </rPh>
    <rPh sb="44" eb="46">
      <t>ヘイショ</t>
    </rPh>
    <rPh sb="50" eb="52">
      <t>シセツ</t>
    </rPh>
    <rPh sb="53" eb="55">
      <t>センタク</t>
    </rPh>
    <phoneticPr fontId="1"/>
  </si>
  <si>
    <t>&lt;常勤換算&gt;</t>
    <rPh sb="1" eb="3">
      <t>ジョウキン</t>
    </rPh>
    <rPh sb="3" eb="5">
      <t>カンサン</t>
    </rPh>
    <phoneticPr fontId="1"/>
  </si>
  <si>
    <t>常勤職員１人の勤務時間数/月</t>
    <phoneticPr fontId="1"/>
  </si>
  <si>
    <t>　就業規則等で定める常勤職員１人の１か月の所定労働時間(休憩時間を含まない。)を記載すること。ただし、150時間未満の場合は根拠・理由を記載すること。</t>
    <phoneticPr fontId="1"/>
  </si>
  <si>
    <t>時間/月</t>
    <rPh sb="0" eb="2">
      <t>ジカン</t>
    </rPh>
    <rPh sb="3" eb="4">
      <t>ツキ</t>
    </rPh>
    <phoneticPr fontId="1"/>
  </si>
  <si>
    <t>職員数（札幌市確認用）</t>
    <rPh sb="0" eb="3">
      <t>ショクインスウ</t>
    </rPh>
    <rPh sb="4" eb="10">
      <t>サッポロシカクニンヨウ</t>
    </rPh>
    <phoneticPr fontId="1"/>
  </si>
  <si>
    <t>常勤換算数</t>
    <rPh sb="0" eb="5">
      <t>ジョウキンカンサンスウ</t>
    </rPh>
    <phoneticPr fontId="1"/>
  </si>
  <si>
    <t>非常勤※</t>
    <rPh sb="0" eb="3">
      <t>ヒジョウキン</t>
    </rPh>
    <phoneticPr fontId="1"/>
  </si>
  <si>
    <t>非常勤（一部を担当・兼務する常勤含む）</t>
    <rPh sb="0" eb="3">
      <t>ヒジョウキン</t>
    </rPh>
    <rPh sb="4" eb="6">
      <t>イチブ</t>
    </rPh>
    <rPh sb="7" eb="9">
      <t>タントウ</t>
    </rPh>
    <rPh sb="10" eb="12">
      <t>ケンム</t>
    </rPh>
    <rPh sb="14" eb="16">
      <t>ジョウキン</t>
    </rPh>
    <rPh sb="16" eb="17">
      <t>フク</t>
    </rPh>
    <phoneticPr fontId="1"/>
  </si>
  <si>
    <t>計
（常勤＋非常勤）</t>
    <rPh sb="0" eb="1">
      <t>ケイ</t>
    </rPh>
    <rPh sb="3" eb="5">
      <t>ジョウキン</t>
    </rPh>
    <rPh sb="6" eb="9">
      <t>ヒジョウキン</t>
    </rPh>
    <phoneticPr fontId="1"/>
  </si>
  <si>
    <t>勤務時間</t>
    <rPh sb="0" eb="4">
      <t>キンムジカン</t>
    </rPh>
    <phoneticPr fontId="1"/>
  </si>
  <si>
    <t>事務員</t>
    <rPh sb="0" eb="3">
      <t>ジムイン</t>
    </rPh>
    <phoneticPr fontId="1"/>
  </si>
  <si>
    <t>※　非常勤に委託を含む。</t>
    <rPh sb="2" eb="5">
      <t>ヒジョウキン</t>
    </rPh>
    <rPh sb="6" eb="8">
      <t>イタク</t>
    </rPh>
    <rPh sb="9" eb="10">
      <t>フク</t>
    </rPh>
    <phoneticPr fontId="1"/>
  </si>
  <si>
    <t>&lt;職員名簿&gt;</t>
    <rPh sb="1" eb="3">
      <t>ショクイン</t>
    </rPh>
    <rPh sb="3" eb="5">
      <t>メイボ</t>
    </rPh>
    <phoneticPr fontId="1"/>
  </si>
  <si>
    <t>①　職員氏名/委託先：「業務委託」➡委託先会社名／「雇用職員」➡職員氏名　を誤りなく記載してください。</t>
    <rPh sb="2" eb="4">
      <t>ショクイン</t>
    </rPh>
    <rPh sb="4" eb="6">
      <t>シメイ</t>
    </rPh>
    <rPh sb="7" eb="10">
      <t>イタクサキ</t>
    </rPh>
    <rPh sb="12" eb="16">
      <t>ギョウムイタク</t>
    </rPh>
    <rPh sb="18" eb="24">
      <t>イタクサキカイシャメイ</t>
    </rPh>
    <rPh sb="26" eb="30">
      <t>コヨウショクイン</t>
    </rPh>
    <rPh sb="32" eb="34">
      <t>ショクイン</t>
    </rPh>
    <rPh sb="34" eb="36">
      <t>シメイ</t>
    </rPh>
    <rPh sb="38" eb="39">
      <t>アヤマ</t>
    </rPh>
    <rPh sb="42" eb="44">
      <t>キサイ</t>
    </rPh>
    <phoneticPr fontId="1"/>
  </si>
  <si>
    <t>②　職員状況：職種区分として、施設長、教諭（発令有）、教諭（発令無）、栄養士、調理員、事務員、その他　から選択してください。また、初日時点で有給・代替・無給の是非を選択してください。</t>
    <rPh sb="2" eb="4">
      <t>ショクイン</t>
    </rPh>
    <rPh sb="4" eb="6">
      <t>ジョウキョウ</t>
    </rPh>
    <rPh sb="7" eb="9">
      <t>ショクシュ</t>
    </rPh>
    <rPh sb="9" eb="11">
      <t>クブン</t>
    </rPh>
    <rPh sb="15" eb="18">
      <t>シセツチョウ</t>
    </rPh>
    <rPh sb="35" eb="38">
      <t>エイヨウシ</t>
    </rPh>
    <rPh sb="39" eb="42">
      <t>チョウリイン</t>
    </rPh>
    <rPh sb="43" eb="46">
      <t>ジムイン</t>
    </rPh>
    <rPh sb="49" eb="50">
      <t>ホカ</t>
    </rPh>
    <rPh sb="53" eb="55">
      <t>センタク</t>
    </rPh>
    <rPh sb="65" eb="67">
      <t>ショニチ</t>
    </rPh>
    <rPh sb="67" eb="69">
      <t>ジテン</t>
    </rPh>
    <rPh sb="70" eb="72">
      <t>ユウキュウ</t>
    </rPh>
    <rPh sb="73" eb="75">
      <t>ダイタイ</t>
    </rPh>
    <rPh sb="76" eb="78">
      <t>ムキュウ</t>
    </rPh>
    <rPh sb="79" eb="81">
      <t>ゼヒ</t>
    </rPh>
    <rPh sb="82" eb="84">
      <t>センタク</t>
    </rPh>
    <phoneticPr fontId="1"/>
  </si>
  <si>
    <t>③　形態：業務委託➡自動表示／雇用職員➡常勤、非常勤の選択及び契約形態を選択してください。また、非常勤又は委託の場合は様式3でひと月の勤務時間数を記載してください。</t>
    <rPh sb="2" eb="4">
      <t>ケイタイ</t>
    </rPh>
    <rPh sb="5" eb="9">
      <t>ギョウムイタク</t>
    </rPh>
    <rPh sb="10" eb="14">
      <t>ジドウヒョウジ</t>
    </rPh>
    <rPh sb="15" eb="19">
      <t>コヨウショクイン</t>
    </rPh>
    <rPh sb="20" eb="22">
      <t>ジョウキン</t>
    </rPh>
    <rPh sb="23" eb="26">
      <t>ヒジョウキン</t>
    </rPh>
    <rPh sb="27" eb="29">
      <t>センタク</t>
    </rPh>
    <rPh sb="29" eb="30">
      <t>オヨ</t>
    </rPh>
    <rPh sb="31" eb="35">
      <t>ケイヤクケイタイ</t>
    </rPh>
    <rPh sb="36" eb="38">
      <t>センタク</t>
    </rPh>
    <rPh sb="48" eb="51">
      <t>ヒジョウキン</t>
    </rPh>
    <rPh sb="51" eb="52">
      <t>マタ</t>
    </rPh>
    <rPh sb="53" eb="55">
      <t>イタク</t>
    </rPh>
    <rPh sb="56" eb="58">
      <t>バアイ</t>
    </rPh>
    <rPh sb="59" eb="61">
      <t>ヨウシキ</t>
    </rPh>
    <rPh sb="65" eb="66">
      <t>ツキ</t>
    </rPh>
    <rPh sb="67" eb="69">
      <t>キンム</t>
    </rPh>
    <rPh sb="69" eb="71">
      <t>ジカン</t>
    </rPh>
    <rPh sb="71" eb="72">
      <t>スウ</t>
    </rPh>
    <rPh sb="73" eb="75">
      <t>キサイ</t>
    </rPh>
    <phoneticPr fontId="1"/>
  </si>
  <si>
    <t>④　雇用/契約開始日：雇用（業務委託の場合は契約）開始日を記載してください。記載は西暦で「○○年△月□日」の場合は「○○/△/□」です。</t>
    <rPh sb="2" eb="4">
      <t>コヨウ</t>
    </rPh>
    <rPh sb="5" eb="7">
      <t>ケイヤク</t>
    </rPh>
    <rPh sb="7" eb="10">
      <t>カイシビ</t>
    </rPh>
    <rPh sb="11" eb="13">
      <t>コヨウ</t>
    </rPh>
    <rPh sb="14" eb="18">
      <t>ギョウムイタク</t>
    </rPh>
    <rPh sb="19" eb="21">
      <t>バアイ</t>
    </rPh>
    <rPh sb="22" eb="24">
      <t>ケイヤク</t>
    </rPh>
    <rPh sb="25" eb="28">
      <t>カイシビ</t>
    </rPh>
    <rPh sb="29" eb="31">
      <t>キサイ</t>
    </rPh>
    <rPh sb="38" eb="40">
      <t>キサイ</t>
    </rPh>
    <rPh sb="41" eb="43">
      <t>セイレキ</t>
    </rPh>
    <rPh sb="47" eb="48">
      <t>ネン</t>
    </rPh>
    <rPh sb="49" eb="50">
      <t>ガツ</t>
    </rPh>
    <rPh sb="51" eb="52">
      <t>ニチ</t>
    </rPh>
    <rPh sb="54" eb="56">
      <t>バアイ</t>
    </rPh>
    <phoneticPr fontId="1"/>
  </si>
  <si>
    <t>●　業務委託</t>
    <rPh sb="2" eb="6">
      <t>ギョウムイタク</t>
    </rPh>
    <phoneticPr fontId="1"/>
  </si>
  <si>
    <t>通常教育</t>
    <rPh sb="0" eb="2">
      <t>ツウジョウ</t>
    </rPh>
    <rPh sb="2" eb="4">
      <t>キョウイク</t>
    </rPh>
    <phoneticPr fontId="1"/>
  </si>
  <si>
    <t>リスト（状況に応じて更新）</t>
    <rPh sb="4" eb="6">
      <t>ジョウキョウ</t>
    </rPh>
    <rPh sb="7" eb="8">
      <t>オウ</t>
    </rPh>
    <rPh sb="10" eb="12">
      <t>コウシン</t>
    </rPh>
    <phoneticPr fontId="1"/>
  </si>
  <si>
    <t>参入</t>
    <rPh sb="0" eb="2">
      <t>サンニュウ</t>
    </rPh>
    <phoneticPr fontId="1"/>
  </si>
  <si>
    <t>委託</t>
    <rPh sb="0" eb="2">
      <t>イタク</t>
    </rPh>
    <phoneticPr fontId="1"/>
  </si>
  <si>
    <t>職種区分</t>
    <rPh sb="0" eb="4">
      <t>ショクシュクブン</t>
    </rPh>
    <phoneticPr fontId="1"/>
  </si>
  <si>
    <t>初日時点の契約状況</t>
    <rPh sb="0" eb="4">
      <t>ショニチジテン</t>
    </rPh>
    <rPh sb="5" eb="9">
      <t>ケイヤクジョウキョウ</t>
    </rPh>
    <phoneticPr fontId="1"/>
  </si>
  <si>
    <t>雇用開始日</t>
    <rPh sb="0" eb="5">
      <t>コヨウカイシビ</t>
    </rPh>
    <phoneticPr fontId="1"/>
  </si>
  <si>
    <t>①　委託先</t>
    <rPh sb="2" eb="5">
      <t>イタクサキ</t>
    </rPh>
    <phoneticPr fontId="3"/>
  </si>
  <si>
    <t>③形態</t>
    <rPh sb="1" eb="3">
      <t>ケイタイ</t>
    </rPh>
    <phoneticPr fontId="3"/>
  </si>
  <si>
    <t>④契約開始日</t>
    <rPh sb="1" eb="3">
      <t>ケイヤク</t>
    </rPh>
    <rPh sb="3" eb="5">
      <t>カイシ</t>
    </rPh>
    <rPh sb="5" eb="6">
      <t>ビ</t>
    </rPh>
    <phoneticPr fontId="1"/>
  </si>
  <si>
    <t>備考</t>
    <rPh sb="0" eb="2">
      <t>ビコウ</t>
    </rPh>
    <phoneticPr fontId="3"/>
  </si>
  <si>
    <t>算入区分</t>
    <rPh sb="0" eb="2">
      <t>サンニュウ</t>
    </rPh>
    <rPh sb="2" eb="4">
      <t>クブン</t>
    </rPh>
    <phoneticPr fontId="1"/>
  </si>
  <si>
    <t>No.</t>
    <phoneticPr fontId="1"/>
  </si>
  <si>
    <t>委託先会社名</t>
    <rPh sb="0" eb="5">
      <t>イタクサキカイシャ</t>
    </rPh>
    <rPh sb="5" eb="6">
      <t>メイ</t>
    </rPh>
    <phoneticPr fontId="1"/>
  </si>
  <si>
    <t>初日時点の契約状況</t>
    <rPh sb="0" eb="2">
      <t>ショニチ</t>
    </rPh>
    <rPh sb="2" eb="4">
      <t>ジテン</t>
    </rPh>
    <rPh sb="5" eb="7">
      <t>ケイヤク</t>
    </rPh>
    <rPh sb="7" eb="9">
      <t>ジョウキョウ</t>
    </rPh>
    <phoneticPr fontId="1"/>
  </si>
  <si>
    <t>-</t>
    <phoneticPr fontId="1"/>
  </si>
  <si>
    <t>勤務時間/月</t>
    <phoneticPr fontId="1"/>
  </si>
  <si>
    <t>常勤-時短/兼務</t>
    <rPh sb="0" eb="2">
      <t>ジョウキン</t>
    </rPh>
    <rPh sb="3" eb="5">
      <t>ジタン</t>
    </rPh>
    <rPh sb="6" eb="8">
      <t>ケンム</t>
    </rPh>
    <phoneticPr fontId="1"/>
  </si>
  <si>
    <t>有給（他法活用）</t>
    <rPh sb="0" eb="2">
      <t>ユウキュウ</t>
    </rPh>
    <rPh sb="3" eb="7">
      <t>タホウカツヨウ</t>
    </rPh>
    <phoneticPr fontId="1"/>
  </si>
  <si>
    <t>雇用契約</t>
    <rPh sb="0" eb="2">
      <t>コヨウ</t>
    </rPh>
    <rPh sb="2" eb="4">
      <t>ケイヤク</t>
    </rPh>
    <phoneticPr fontId="1"/>
  </si>
  <si>
    <t>派遣契約</t>
    <rPh sb="0" eb="2">
      <t>ハケン</t>
    </rPh>
    <rPh sb="2" eb="4">
      <t>ケイヤク</t>
    </rPh>
    <phoneticPr fontId="1"/>
  </si>
  <si>
    <t>派遣契約</t>
    <rPh sb="0" eb="4">
      <t>ハケンケイヤク</t>
    </rPh>
    <phoneticPr fontId="1"/>
  </si>
  <si>
    <t>栄養士（委託）</t>
    <rPh sb="0" eb="3">
      <t>エイヨウシ</t>
    </rPh>
    <rPh sb="4" eb="6">
      <t>イタク</t>
    </rPh>
    <phoneticPr fontId="1"/>
  </si>
  <si>
    <t>嘱託契約</t>
    <rPh sb="0" eb="4">
      <t>ショクタクケイヤク</t>
    </rPh>
    <phoneticPr fontId="1"/>
  </si>
  <si>
    <t>調理員（委託）</t>
    <rPh sb="0" eb="3">
      <t>チョウリイン</t>
    </rPh>
    <rPh sb="4" eb="6">
      <t>イタク</t>
    </rPh>
    <phoneticPr fontId="1"/>
  </si>
  <si>
    <t>↑(数式＞定義された名前＞選択範囲から作成＞上端　で二重線囲部分を名前登録する➡ドロップダウンの範囲登録に使用)</t>
    <phoneticPr fontId="1"/>
  </si>
  <si>
    <t>事務員（委託）</t>
    <rPh sb="0" eb="2">
      <t>ジム</t>
    </rPh>
    <rPh sb="2" eb="3">
      <t>イン</t>
    </rPh>
    <rPh sb="4" eb="6">
      <t>イタク</t>
    </rPh>
    <phoneticPr fontId="1"/>
  </si>
  <si>
    <t>その他（委託）</t>
    <rPh sb="2" eb="3">
      <t>タ</t>
    </rPh>
    <rPh sb="4" eb="6">
      <t>イタク</t>
    </rPh>
    <phoneticPr fontId="1"/>
  </si>
  <si>
    <t>●　雇用職員</t>
    <rPh sb="2" eb="4">
      <t>コヨウ</t>
    </rPh>
    <rPh sb="4" eb="6">
      <t>ショクイン</t>
    </rPh>
    <phoneticPr fontId="1"/>
  </si>
  <si>
    <t>④雇用開始日</t>
    <rPh sb="3" eb="5">
      <t>カイシ</t>
    </rPh>
    <rPh sb="5" eb="6">
      <t>ビ</t>
    </rPh>
    <phoneticPr fontId="1"/>
  </si>
  <si>
    <t>常勤・非常勤
※時短勤務は非常勤</t>
    <rPh sb="0" eb="2">
      <t>ジョウキン</t>
    </rPh>
    <rPh sb="3" eb="6">
      <t>ヒジョウキン</t>
    </rPh>
    <rPh sb="8" eb="10">
      <t>ジタン</t>
    </rPh>
    <rPh sb="10" eb="12">
      <t>キンム</t>
    </rPh>
    <rPh sb="13" eb="16">
      <t>ヒジョウキン</t>
    </rPh>
    <phoneticPr fontId="1"/>
  </si>
  <si>
    <t>契約形態</t>
    <rPh sb="0" eb="2">
      <t>ケイヤク</t>
    </rPh>
    <rPh sb="2" eb="4">
      <t>ケイタイ</t>
    </rPh>
    <phoneticPr fontId="1"/>
  </si>
  <si>
    <t>○</t>
    <phoneticPr fontId="3"/>
  </si>
  <si>
    <t>提出日</t>
    <phoneticPr fontId="3"/>
  </si>
  <si>
    <t>⇒</t>
    <phoneticPr fontId="3"/>
  </si>
  <si>
    <t>○</t>
    <phoneticPr fontId="3"/>
  </si>
  <si>
    <t>・　単位は「時間」のため、１時間30分⇒1.5（時間）となります。不明な場合は右の換算表をご使用ください。</t>
    <phoneticPr fontId="1"/>
  </si>
  <si>
    <t>【時間】</t>
    <rPh sb="1" eb="3">
      <t>ジカン</t>
    </rPh>
    <phoneticPr fontId="1"/>
  </si>
  <si>
    <t>土・祝・休日</t>
    <rPh sb="0" eb="1">
      <t>ド</t>
    </rPh>
    <rPh sb="2" eb="3">
      <t>シュク</t>
    </rPh>
    <rPh sb="4" eb="6">
      <t>キュウジツ</t>
    </rPh>
    <phoneticPr fontId="1"/>
  </si>
  <si>
    <t>非常勤下限設定</t>
    <rPh sb="0" eb="3">
      <t>ヒジョウキン</t>
    </rPh>
    <rPh sb="3" eb="7">
      <t>カゲンセッテイ</t>
    </rPh>
    <phoneticPr fontId="1"/>
  </si>
  <si>
    <t>就業規則に定める時間</t>
    <rPh sb="0" eb="2">
      <t>シュウギョウ</t>
    </rPh>
    <rPh sb="2" eb="4">
      <t>キソク</t>
    </rPh>
    <rPh sb="5" eb="6">
      <t>サダ</t>
    </rPh>
    <rPh sb="8" eb="10">
      <t>ジカン</t>
    </rPh>
    <phoneticPr fontId="1"/>
  </si>
  <si>
    <t>職種</t>
    <rPh sb="0" eb="2">
      <t>ショクシュ</t>
    </rPh>
    <phoneticPr fontId="1"/>
  </si>
  <si>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</si>
  <si>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様式2</t>
    <rPh sb="0" eb="2">
      <t>ヨウシキ</t>
    </rPh>
    <phoneticPr fontId="1"/>
  </si>
  <si>
    <t>事務員</t>
    <phoneticPr fontId="1"/>
  </si>
  <si>
    <t>全員</t>
    <rPh sb="0" eb="2">
      <t>ゼンイン</t>
    </rPh>
    <phoneticPr fontId="1"/>
  </si>
  <si>
    <t>業務委託</t>
    <rPh sb="0" eb="4">
      <t>ギョウムイタク</t>
    </rPh>
    <phoneticPr fontId="1"/>
  </si>
  <si>
    <t>　特定教育・保育等に要する費用の額の算定に係る職員数算出表</t>
    <phoneticPr fontId="1"/>
  </si>
  <si>
    <t>○</t>
    <phoneticPr fontId="1"/>
  </si>
  <si>
    <t>名前登録～上端行で登録↓</t>
    <rPh sb="0" eb="2">
      <t>ナマエ</t>
    </rPh>
    <rPh sb="2" eb="4">
      <t>トウロク</t>
    </rPh>
    <rPh sb="5" eb="7">
      <t>ジョウタン</t>
    </rPh>
    <rPh sb="7" eb="8">
      <t>ギョウ</t>
    </rPh>
    <rPh sb="9" eb="11">
      <t>トウロク</t>
    </rPh>
    <phoneticPr fontId="1"/>
  </si>
  <si>
    <t>-</t>
    <phoneticPr fontId="1"/>
  </si>
  <si>
    <t>1　利用児童状況(クラス年齢)</t>
    <rPh sb="2" eb="4">
      <t>リヨウ</t>
    </rPh>
    <rPh sb="4" eb="6">
      <t>ジドウ</t>
    </rPh>
    <rPh sb="6" eb="8">
      <t>ジョウキョウ</t>
    </rPh>
    <rPh sb="12" eb="14">
      <t>ネンレイ</t>
    </rPh>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</si>
  <si>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</si>
  <si>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No</t>
    <phoneticPr fontId="1"/>
  </si>
  <si>
    <t>常勤・非常勤</t>
    <rPh sb="3" eb="6">
      <t>ヒジョウキン</t>
    </rPh>
    <phoneticPr fontId="1"/>
  </si>
  <si>
    <t>入力</t>
    <rPh sb="0" eb="2">
      <t>ニュウリョク</t>
    </rPh>
    <phoneticPr fontId="1"/>
  </si>
  <si>
    <t>カウント</t>
  </si>
  <si>
    <t>全職種</t>
    <rPh sb="0" eb="3">
      <t>ゼンショクシュ</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</si>
  <si>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</si>
  <si>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</si>
  <si>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</si>
  <si>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</si>
  <si>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2歳児</t>
    <rPh sb="1" eb="3">
      <t>サイジ</t>
    </rPh>
    <phoneticPr fontId="1"/>
  </si>
  <si>
    <t>1歳児</t>
    <rPh sb="1" eb="2">
      <t>サイ</t>
    </rPh>
    <rPh sb="2" eb="3">
      <t>ジ</t>
    </rPh>
    <phoneticPr fontId="1"/>
  </si>
  <si>
    <t>-</t>
  </si>
  <si>
    <t>-</t>
    <phoneticPr fontId="1"/>
  </si>
  <si>
    <t>2　加算・減算等</t>
    <rPh sb="2" eb="4">
      <t>カサン</t>
    </rPh>
    <rPh sb="5" eb="7">
      <t>ゲンサン</t>
    </rPh>
    <rPh sb="7" eb="8">
      <t>トウ</t>
    </rPh>
    <phoneticPr fontId="1"/>
  </si>
  <si>
    <t>判定（取得数）</t>
    <rPh sb="0" eb="2">
      <t>ハンテイ</t>
    </rPh>
    <rPh sb="3" eb="5">
      <t>シュトク</t>
    </rPh>
    <rPh sb="5" eb="6">
      <t>スウ</t>
    </rPh>
    <phoneticPr fontId="1"/>
  </si>
  <si>
    <t>個票</t>
    <rPh sb="0" eb="2">
      <t>コヒョウ</t>
    </rPh>
    <phoneticPr fontId="1"/>
  </si>
  <si>
    <t>職種・リスト名</t>
    <rPh sb="0" eb="2">
      <t>ショクシュ</t>
    </rPh>
    <rPh sb="6" eb="7">
      <t>メイ</t>
    </rPh>
    <phoneticPr fontId="1"/>
  </si>
  <si>
    <t>時間数</t>
    <rPh sb="0" eb="3">
      <t>ジカンスウ</t>
    </rPh>
    <phoneticPr fontId="1"/>
  </si>
  <si>
    <t>エラー確認</t>
    <rPh sb="3" eb="5">
      <t>カクニン</t>
    </rPh>
    <phoneticPr fontId="1"/>
  </si>
  <si>
    <t>調整</t>
    <rPh sb="0" eb="2">
      <t>チョウセイ</t>
    </rPh>
    <phoneticPr fontId="1"/>
  </si>
  <si>
    <t>下限調整</t>
    <rPh sb="0" eb="4">
      <t>カゲンチョウセイ</t>
    </rPh>
    <phoneticPr fontId="1"/>
  </si>
  <si>
    <t>加算・減算等</t>
    <rPh sb="0" eb="2">
      <t>カサン</t>
    </rPh>
    <rPh sb="3" eb="6">
      <t>ゲンサントウ</t>
    </rPh>
    <phoneticPr fontId="1"/>
  </si>
  <si>
    <t>常勤換算数【人/月】</t>
    <rPh sb="0" eb="5">
      <t>ジョウキンカンサンスウ</t>
    </rPh>
    <rPh sb="5" eb="10">
      <t>「ニン／ツキ」</t>
    </rPh>
    <phoneticPr fontId="1"/>
  </si>
  <si>
    <t>申請状況</t>
    <rPh sb="0" eb="4">
      <t>シンセイジョウキョウ</t>
    </rPh>
    <phoneticPr fontId="1"/>
  </si>
  <si>
    <t>パターン</t>
    <phoneticPr fontId="1"/>
  </si>
  <si>
    <t>パターン</t>
    <phoneticPr fontId="1"/>
  </si>
  <si>
    <t>対象</t>
    <rPh sb="0" eb="2">
      <t>タイショウ</t>
    </rPh>
    <phoneticPr fontId="1"/>
  </si>
  <si>
    <t>名簿有無</t>
    <rPh sb="0" eb="2">
      <t>メイボ</t>
    </rPh>
    <rPh sb="2" eb="4">
      <t>ウム</t>
    </rPh>
    <phoneticPr fontId="1"/>
  </si>
  <si>
    <t>重複</t>
    <rPh sb="0" eb="2">
      <t>チョウフク</t>
    </rPh>
    <phoneticPr fontId="1"/>
  </si>
  <si>
    <t>パターン</t>
    <phoneticPr fontId="1"/>
  </si>
  <si>
    <t>担当者名</t>
    <rPh sb="0" eb="4">
      <t>タントウシャメイ</t>
    </rPh>
    <phoneticPr fontId="1"/>
  </si>
  <si>
    <t>条件</t>
    <rPh sb="0" eb="2">
      <t>ジョウケン</t>
    </rPh>
    <phoneticPr fontId="1"/>
  </si>
  <si>
    <t>特例①</t>
    <rPh sb="0" eb="2">
      <t>トクレイ</t>
    </rPh>
    <phoneticPr fontId="1"/>
  </si>
  <si>
    <t>特例②</t>
    <rPh sb="0" eb="2">
      <t>トクレイ</t>
    </rPh>
    <phoneticPr fontId="1"/>
  </si>
  <si>
    <t>特例③</t>
    <rPh sb="0" eb="3">
      <t>トクレイ3</t>
    </rPh>
    <phoneticPr fontId="1"/>
  </si>
  <si>
    <t>人/月</t>
    <rPh sb="0" eb="1">
      <t>ニン</t>
    </rPh>
    <rPh sb="2" eb="3">
      <t>ツキ</t>
    </rPh>
    <phoneticPr fontId="1"/>
  </si>
  <si>
    <t>基本配置</t>
    <rPh sb="0" eb="4">
      <t>キホンハイチ</t>
    </rPh>
    <phoneticPr fontId="1"/>
  </si>
  <si>
    <t>事務員</t>
    <phoneticPr fontId="1"/>
  </si>
  <si>
    <t>嘱託医・嘱託歯科医</t>
    <rPh sb="0" eb="3">
      <t>ショクタクイ</t>
    </rPh>
    <rPh sb="4" eb="9">
      <t>ショクタクシカイ</t>
    </rPh>
    <phoneticPr fontId="1"/>
  </si>
  <si>
    <t>嘱託医等</t>
    <rPh sb="0" eb="3">
      <t>ショクタクイ</t>
    </rPh>
    <rPh sb="3" eb="4">
      <t>トウ</t>
    </rPh>
    <phoneticPr fontId="1"/>
  </si>
  <si>
    <t>合計(参考)</t>
    <rPh sb="0" eb="2">
      <t>ゴウケイ</t>
    </rPh>
    <rPh sb="3" eb="5">
      <t>サンコウ</t>
    </rPh>
    <phoneticPr fontId="1"/>
  </si>
  <si>
    <t>その他
補助金名等を記載すること➡</t>
    <rPh sb="2" eb="3">
      <t>タ</t>
    </rPh>
    <rPh sb="5" eb="10">
      <t>ホジョキンメイトウ</t>
    </rPh>
    <rPh sb="11" eb="13">
      <t>キサイ</t>
    </rPh>
    <phoneticPr fontId="1"/>
  </si>
  <si>
    <t>(うち委託分)</t>
    <rPh sb="3" eb="5">
      <t>イタク</t>
    </rPh>
    <rPh sb="5" eb="6">
      <t>ブン</t>
    </rPh>
    <phoneticPr fontId="1"/>
  </si>
  <si>
    <t>業務委託</t>
  </si>
  <si>
    <t>３　配置数</t>
    <rPh sb="2" eb="4">
      <t>ハイチ</t>
    </rPh>
    <rPh sb="4" eb="5">
      <t>スウ</t>
    </rPh>
    <phoneticPr fontId="1"/>
  </si>
  <si>
    <t>【人/月】</t>
    <rPh sb="0" eb="5">
      <t>「ニン／ツキ」</t>
    </rPh>
    <phoneticPr fontId="1"/>
  </si>
  <si>
    <t>公定価格</t>
    <rPh sb="0" eb="4">
      <t>コウテイカカク</t>
    </rPh>
    <phoneticPr fontId="1"/>
  </si>
  <si>
    <t>様式2より…A</t>
    <rPh sb="0" eb="2">
      <t>ヨウシキ</t>
    </rPh>
    <phoneticPr fontId="1"/>
  </si>
  <si>
    <t>調整…Ｂ</t>
    <rPh sb="0" eb="2">
      <t>チョウセイ</t>
    </rPh>
    <phoneticPr fontId="1"/>
  </si>
  <si>
    <t>実配置数…A-B+C(※)</t>
    <rPh sb="0" eb="1">
      <t>ジツ</t>
    </rPh>
    <rPh sb="1" eb="4">
      <t>ハイチスウ</t>
    </rPh>
    <phoneticPr fontId="1"/>
  </si>
  <si>
    <t>補助金担当</t>
    <rPh sb="0" eb="3">
      <t>ホジョキン</t>
    </rPh>
    <rPh sb="3" eb="5">
      <t>タントウ</t>
    </rPh>
    <phoneticPr fontId="1"/>
  </si>
  <si>
    <t>他職種への流用…C</t>
    <rPh sb="0" eb="1">
      <t>ホカ</t>
    </rPh>
    <rPh sb="1" eb="3">
      <t>ショクシュ</t>
    </rPh>
    <rPh sb="5" eb="7">
      <t>リュウヨウ</t>
    </rPh>
    <phoneticPr fontId="1"/>
  </si>
  <si>
    <t>調理員へ変更</t>
    <rPh sb="4" eb="6">
      <t>ヘンコウ</t>
    </rPh>
    <phoneticPr fontId="1"/>
  </si>
  <si>
    <t>事務員へ変更</t>
    <rPh sb="4" eb="6">
      <t>ヘンコウ</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</si>
  <si>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</si>
  <si>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２　「-」は対象外のため数式未入力箇所</t>
    <rPh sb="6" eb="9">
      <t>タイショウガイ</t>
    </rPh>
    <rPh sb="12" eb="19">
      <t>スウシキミニュウリョクカショ</t>
    </rPh>
    <phoneticPr fontId="1"/>
  </si>
  <si>
    <t>特例</t>
    <rPh sb="0" eb="2">
      <t>トクレイ</t>
    </rPh>
    <phoneticPr fontId="1"/>
  </si>
  <si>
    <t>重複判定データ</t>
    <rPh sb="0" eb="4">
      <t>チョウフクハンテイ</t>
    </rPh>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</si>
  <si>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</si>
  <si>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</si>
  <si>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</si>
  <si>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t>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</si>
  <si>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</si>
  <si>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</si>
  <si>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下限調整あり</t>
    <rPh sb="0" eb="4">
      <t>カゲンチョウセイ</t>
    </rPh>
    <phoneticPr fontId="1"/>
  </si>
  <si>
    <t>下限調整なし</t>
    <rPh sb="0" eb="4">
      <t>カゲンチョウセイ</t>
    </rPh>
    <phoneticPr fontId="1"/>
  </si>
  <si>
    <t>担当時間調整あり</t>
    <rPh sb="0" eb="6">
      <t>タントウジカンチョウセイ</t>
    </rPh>
    <phoneticPr fontId="1"/>
  </si>
  <si>
    <t>4　必要職員数及び職員数算出</t>
    <rPh sb="2" eb="4">
      <t>ヒツヨウ</t>
    </rPh>
    <rPh sb="4" eb="6">
      <t>ショクイン</t>
    </rPh>
    <rPh sb="6" eb="7">
      <t>スウ</t>
    </rPh>
    <rPh sb="7" eb="8">
      <t>オヨ</t>
    </rPh>
    <rPh sb="9" eb="14">
      <t>ショクインスウサンシュツ</t>
    </rPh>
    <phoneticPr fontId="1"/>
  </si>
  <si>
    <t>必要数</t>
    <rPh sb="0" eb="3">
      <t>ヒツヨウスウ</t>
    </rPh>
    <phoneticPr fontId="1"/>
  </si>
  <si>
    <t>配置数</t>
    <rPh sb="0" eb="2">
      <t>ハイチ</t>
    </rPh>
    <rPh sb="2" eb="3">
      <t>スウ</t>
    </rPh>
    <phoneticPr fontId="1"/>
  </si>
  <si>
    <t>配置数　－　必要数</t>
    <rPh sb="0" eb="3">
      <t>ハイチスウ</t>
    </rPh>
    <rPh sb="6" eb="9">
      <t>ヒツヨウスウ</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</si>
  <si>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</si>
  <si>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</si>
  <si>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t>計算過程</t>
    <rPh sb="0" eb="4">
      <t>ケイサンカテイ</t>
    </rPh>
    <phoneticPr fontId="1"/>
  </si>
  <si>
    <t>小計</t>
    <rPh sb="0" eb="2">
      <t>ショウケイ</t>
    </rPh>
    <phoneticPr fontId="1"/>
  </si>
  <si>
    <t>→</t>
    <phoneticPr fontId="1"/>
  </si>
  <si>
    <t>小数第二位以下切捨</t>
    <rPh sb="4" eb="5">
      <t>イ</t>
    </rPh>
    <phoneticPr fontId="1"/>
  </si>
  <si>
    <t>栄養管理加算</t>
    <rPh sb="0" eb="6">
      <t>エイヨウカンリカサン</t>
    </rPh>
    <phoneticPr fontId="1"/>
  </si>
  <si>
    <t>家庭的保育者</t>
    <rPh sb="0" eb="6">
      <t>カテイテキホイクシャ</t>
    </rPh>
    <phoneticPr fontId="1"/>
  </si>
  <si>
    <t>家庭的保育補助者</t>
    <rPh sb="0" eb="8">
      <t>カテイテキホイクホジョシャ</t>
    </rPh>
    <phoneticPr fontId="1"/>
  </si>
  <si>
    <t>0歳児（乳児）</t>
    <rPh sb="1" eb="3">
      <t>サイジ</t>
    </rPh>
    <rPh sb="4" eb="6">
      <t>ニュウジ</t>
    </rPh>
    <phoneticPr fontId="1"/>
  </si>
  <si>
    <t>-</t>
    <phoneticPr fontId="1"/>
  </si>
  <si>
    <t>-</t>
    <phoneticPr fontId="1"/>
  </si>
  <si>
    <t>-</t>
    <phoneticPr fontId="1"/>
  </si>
  <si>
    <t>-</t>
    <phoneticPr fontId="1"/>
  </si>
  <si>
    <t>家庭的保育者
↓
家庭的保育補助者
への振替え</t>
    <rPh sb="0" eb="6">
      <t>カテイテキホイクシャ</t>
    </rPh>
    <rPh sb="9" eb="17">
      <t>カテイテキホイクホジョシャ</t>
    </rPh>
    <rPh sb="20" eb="21">
      <t>フ</t>
    </rPh>
    <rPh sb="21" eb="22">
      <t>カ</t>
    </rPh>
    <phoneticPr fontId="1"/>
  </si>
  <si>
    <t>家庭的保育者</t>
    <phoneticPr fontId="1"/>
  </si>
  <si>
    <t>家庭的保育補助者加算</t>
    <rPh sb="0" eb="8">
      <t>カテイテキホイクホジョシャ</t>
    </rPh>
    <rPh sb="8" eb="10">
      <t>カサン</t>
    </rPh>
    <phoneticPr fontId="1"/>
  </si>
  <si>
    <t>配置基準</t>
    <rPh sb="0" eb="2">
      <t>ハイチ</t>
    </rPh>
    <rPh sb="2" eb="4">
      <t>キジュン</t>
    </rPh>
    <phoneticPr fontId="1"/>
  </si>
  <si>
    <t>小数以下切上</t>
    <rPh sb="0" eb="2">
      <t>ショウスウ</t>
    </rPh>
    <rPh sb="2" eb="4">
      <t>イカ</t>
    </rPh>
    <rPh sb="4" eb="5">
      <t>キ</t>
    </rPh>
    <rPh sb="5" eb="6">
      <t>ア</t>
    </rPh>
    <phoneticPr fontId="1"/>
  </si>
  <si>
    <t>補助者へ変更</t>
    <rPh sb="0" eb="3">
      <t>ホジョシャ</t>
    </rPh>
    <rPh sb="4" eb="6">
      <t>ヘンコウ</t>
    </rPh>
    <phoneticPr fontId="1"/>
  </si>
  <si>
    <t>-</t>
    <phoneticPr fontId="1"/>
  </si>
  <si>
    <t>家庭的保育（補助）者</t>
    <rPh sb="0" eb="2">
      <t>カテイ</t>
    </rPh>
    <rPh sb="2" eb="3">
      <t>テキ</t>
    </rPh>
    <rPh sb="3" eb="5">
      <t>ホイク</t>
    </rPh>
    <rPh sb="6" eb="8">
      <t>ホジョ</t>
    </rPh>
    <rPh sb="9" eb="10">
      <t>モノ</t>
    </rPh>
    <phoneticPr fontId="1"/>
  </si>
  <si>
    <t>家庭的保育者等が兼務</t>
    <rPh sb="0" eb="3">
      <t>カテイテキ</t>
    </rPh>
    <rPh sb="3" eb="6">
      <t>ホイクシャ</t>
    </rPh>
    <rPh sb="6" eb="7">
      <t>トウ</t>
    </rPh>
    <rPh sb="8" eb="10">
      <t>ケンム</t>
    </rPh>
    <phoneticPr fontId="1"/>
  </si>
  <si>
    <t>基本配置</t>
    <rPh sb="0" eb="2">
      <t>キホン</t>
    </rPh>
    <rPh sb="2" eb="4">
      <t>ハイチ</t>
    </rPh>
    <phoneticPr fontId="1"/>
  </si>
  <si>
    <t>家庭的保育者を配置している（様式2/様式5）</t>
    <rPh sb="0" eb="3">
      <t>カテイテキ</t>
    </rPh>
    <rPh sb="3" eb="6">
      <t>ホイクシャ</t>
    </rPh>
    <rPh sb="7" eb="9">
      <t>ハイチ</t>
    </rPh>
    <rPh sb="14" eb="16">
      <t>ヨウシキ</t>
    </rPh>
    <rPh sb="18" eb="20">
      <t>ヨウシキ</t>
    </rPh>
    <phoneticPr fontId="1"/>
  </si>
  <si>
    <t>【×】を選択した場合＞＞
施設整備費等の国庫補助の交付を受けて建設した建物について、整備後一定年数が経過したものであり、以下の要件全てに該当する場合</t>
    <phoneticPr fontId="1"/>
  </si>
  <si>
    <t>①　障害児保育認定通知、障害者手帳（療育支援手帳を含む）、医師の診断書(障害名が明記されていること。「～疑い」は不可)
※　通所支援受給者証は不可</t>
    <rPh sb="2" eb="4">
      <t>ショウガイ</t>
    </rPh>
    <rPh sb="4" eb="5">
      <t>ジ</t>
    </rPh>
    <rPh sb="5" eb="7">
      <t>ホイク</t>
    </rPh>
    <rPh sb="7" eb="9">
      <t>ニンテイ</t>
    </rPh>
    <rPh sb="9" eb="11">
      <t>ツウチ</t>
    </rPh>
    <rPh sb="12" eb="15">
      <t>ショウガイシャ</t>
    </rPh>
    <rPh sb="15" eb="17">
      <t>テチョウ</t>
    </rPh>
    <rPh sb="18" eb="20">
      <t>リョウイク</t>
    </rPh>
    <rPh sb="20" eb="22">
      <t>シエン</t>
    </rPh>
    <rPh sb="22" eb="24">
      <t>テチョウ</t>
    </rPh>
    <rPh sb="25" eb="26">
      <t>フク</t>
    </rPh>
    <rPh sb="29" eb="31">
      <t>イシ</t>
    </rPh>
    <rPh sb="32" eb="35">
      <t>シンダンショ</t>
    </rPh>
    <rPh sb="36" eb="38">
      <t>ショウガイ</t>
    </rPh>
    <rPh sb="38" eb="39">
      <t>メイ</t>
    </rPh>
    <rPh sb="40" eb="42">
      <t>メイキ</t>
    </rPh>
    <rPh sb="52" eb="53">
      <t>ウタガ</t>
    </rPh>
    <rPh sb="56" eb="58">
      <t>フカ</t>
    </rPh>
    <rPh sb="62" eb="64">
      <t>ツウショ</t>
    </rPh>
    <rPh sb="64" eb="66">
      <t>シエン</t>
    </rPh>
    <rPh sb="66" eb="69">
      <t>ジュキュウシャ</t>
    </rPh>
    <rPh sb="69" eb="70">
      <t>ショウ</t>
    </rPh>
    <rPh sb="71" eb="73">
      <t>フカ</t>
    </rPh>
    <phoneticPr fontId="1"/>
  </si>
  <si>
    <t>③　以下いずれかの取り組みがわかる書類
・献立への助言（文責が栄養士であるとわかるもの。作成した献立の月から年度を通じて加算適用）
・アレルギー、アトピーへの助言（栄養士が行った面談記録票。面談を実施した月から年度を通じて加算適用。）
・食育計画書に基づいた継続的な指導（文責が栄養士である食育計画書。年度を通して作成された計画書がある場合は、年度を通じて加算を適用。）
・食育だよりは不可。</t>
    <phoneticPr fontId="1"/>
  </si>
  <si>
    <t>3号</t>
    <rPh sb="1" eb="2">
      <t>ゴウ</t>
    </rPh>
    <phoneticPr fontId="1"/>
  </si>
  <si>
    <t>本園</t>
    <rPh sb="0" eb="2">
      <t>ホンエン</t>
    </rPh>
    <phoneticPr fontId="1"/>
  </si>
  <si>
    <t>児童区分</t>
    <rPh sb="0" eb="4">
      <t>ジドウクブン</t>
    </rPh>
    <phoneticPr fontId="1"/>
  </si>
  <si>
    <t>　賃貸借契約書の写し(年度を通じて賃借料が発生し、第三者と賃貸契約を結んでいることがわかるもの)</t>
    <rPh sb="1" eb="4">
      <t>チンタイシャク</t>
    </rPh>
    <rPh sb="4" eb="7">
      <t>ケイヤクショ</t>
    </rPh>
    <rPh sb="8" eb="9">
      <t>ウツ</t>
    </rPh>
    <rPh sb="11" eb="13">
      <t>ネンド</t>
    </rPh>
    <rPh sb="14" eb="15">
      <t>ツウ</t>
    </rPh>
    <rPh sb="17" eb="20">
      <t>チンシャクリョウ</t>
    </rPh>
    <rPh sb="21" eb="23">
      <t>ハッセイ</t>
    </rPh>
    <rPh sb="25" eb="28">
      <t>ダイサンシャ</t>
    </rPh>
    <rPh sb="29" eb="31">
      <t>チンタイ</t>
    </rPh>
    <rPh sb="31" eb="33">
      <t>ケイヤク</t>
    </rPh>
    <rPh sb="34" eb="35">
      <t>ムス</t>
    </rPh>
    <phoneticPr fontId="1"/>
  </si>
  <si>
    <t>①　登記の写し(建物が自己所有であることがわかるもの)</t>
    <rPh sb="2" eb="4">
      <t>トウキ</t>
    </rPh>
    <rPh sb="5" eb="6">
      <t>ウツ</t>
    </rPh>
    <rPh sb="8" eb="10">
      <t>タテモノ</t>
    </rPh>
    <rPh sb="11" eb="13">
      <t>ジコ</t>
    </rPh>
    <rPh sb="13" eb="15">
      <t>ショユウ</t>
    </rPh>
    <phoneticPr fontId="1"/>
  </si>
  <si>
    <t>②　契約書等の写し(建物の整備、改修または取得する際に費用が発生していることがわかるもの)</t>
    <phoneticPr fontId="1"/>
  </si>
  <si>
    <t>産休等代替職員雇用費補助金</t>
    <rPh sb="0" eb="2">
      <t>サンキュウ</t>
    </rPh>
    <rPh sb="2" eb="3">
      <t>トウ</t>
    </rPh>
    <rPh sb="3" eb="5">
      <t>ダイタイ</t>
    </rPh>
    <rPh sb="5" eb="7">
      <t>ショクイン</t>
    </rPh>
    <rPh sb="7" eb="9">
      <t>コヨウ</t>
    </rPh>
    <rPh sb="9" eb="10">
      <t>ヒ</t>
    </rPh>
    <rPh sb="10" eb="13">
      <t>ホジョキン</t>
    </rPh>
    <phoneticPr fontId="1"/>
  </si>
  <si>
    <t>食物アレルギー児保育事業費補助金</t>
    <rPh sb="0" eb="2">
      <t>ショクモツ</t>
    </rPh>
    <rPh sb="7" eb="8">
      <t>ジ</t>
    </rPh>
    <rPh sb="8" eb="10">
      <t>ホイク</t>
    </rPh>
    <rPh sb="10" eb="12">
      <t>ジギョウ</t>
    </rPh>
    <rPh sb="12" eb="13">
      <t>ヒ</t>
    </rPh>
    <rPh sb="13" eb="16">
      <t>ホジョキン</t>
    </rPh>
    <phoneticPr fontId="1"/>
  </si>
  <si>
    <t>下限時間②→</t>
    <rPh sb="0" eb="2">
      <t>カゲン</t>
    </rPh>
    <rPh sb="2" eb="4">
      <t>ジカン</t>
    </rPh>
    <phoneticPr fontId="1"/>
  </si>
  <si>
    <t>下限時間①→</t>
    <rPh sb="0" eb="2">
      <t>カゲン</t>
    </rPh>
    <rPh sb="2" eb="4">
      <t>ジカン</t>
    </rPh>
    <phoneticPr fontId="1"/>
  </si>
  <si>
    <t>-</t>
    <phoneticPr fontId="1"/>
  </si>
  <si>
    <t>-</t>
    <phoneticPr fontId="1"/>
  </si>
  <si>
    <t>-</t>
    <phoneticPr fontId="1"/>
  </si>
  <si>
    <t>-</t>
    <phoneticPr fontId="1"/>
  </si>
  <si>
    <t>担当（通常給与で対応している分のみを計上し、超過勤務対応した分は除く）</t>
    <rPh sb="14" eb="15">
      <t>ブン</t>
    </rPh>
    <rPh sb="30" eb="31">
      <t>ブン</t>
    </rPh>
    <phoneticPr fontId="1"/>
  </si>
  <si>
    <t>配置者/条件</t>
    <rPh sb="0" eb="3">
      <t>ハイチシャ</t>
    </rPh>
    <rPh sb="4" eb="6">
      <t>ジョウケン</t>
    </rPh>
    <phoneticPr fontId="1"/>
  </si>
  <si>
    <t>勤務時間【時間】</t>
    <rPh sb="0" eb="4">
      <t>キンムジカン</t>
    </rPh>
    <rPh sb="5" eb="7">
      <t>ジカン</t>
    </rPh>
    <phoneticPr fontId="1"/>
  </si>
  <si>
    <t>確認</t>
    <rPh sb="0" eb="2">
      <t>カクニン</t>
    </rPh>
    <phoneticPr fontId="1"/>
  </si>
  <si>
    <t>担当時間【時間】</t>
    <rPh sb="0" eb="4">
      <t>タントウジカン</t>
    </rPh>
    <rPh sb="5" eb="7">
      <t>ジカン</t>
    </rPh>
    <phoneticPr fontId="1"/>
  </si>
  <si>
    <t>担当（各補助金で計上する人件費相当を計上。ただし、通常給与で対応している分のみを計上し、超過勤務対応した分は除く）</t>
    <rPh sb="36" eb="37">
      <t>ブン</t>
    </rPh>
    <rPh sb="52" eb="53">
      <t>ブン</t>
    </rPh>
    <phoneticPr fontId="1"/>
  </si>
  <si>
    <t>補助金名</t>
    <rPh sb="0" eb="3">
      <t>ホジョキン</t>
    </rPh>
    <rPh sb="3" eb="4">
      <t>メイ</t>
    </rPh>
    <phoneticPr fontId="1"/>
  </si>
  <si>
    <t>時間外保育促進事業費等補助金</t>
    <rPh sb="0" eb="3">
      <t>ジカンガイ</t>
    </rPh>
    <rPh sb="3" eb="5">
      <t>ホイク</t>
    </rPh>
    <rPh sb="5" eb="7">
      <t>ソクシン</t>
    </rPh>
    <rPh sb="7" eb="9">
      <t>ジギョウ</t>
    </rPh>
    <rPh sb="9" eb="10">
      <t>ヒ</t>
    </rPh>
    <rPh sb="10" eb="11">
      <t>トウ</t>
    </rPh>
    <rPh sb="11" eb="14">
      <t>ホジョキン</t>
    </rPh>
    <phoneticPr fontId="1"/>
  </si>
  <si>
    <t>家</t>
    <rPh sb="0" eb="1">
      <t>イエ</t>
    </rPh>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</si>
  <si>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</si>
  <si>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</si>
  <si>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</si>
  <si>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</si>
  <si>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　非常勤の調理員（食事の提供について自園調理又は連携施設等からの搬入以外の方法による場合の調整の適用を受ける事業所を除く。）とは別途、家庭的保育補助者の配置が必要</t>
    <rPh sb="2" eb="5">
      <t>ヒジョウキン</t>
    </rPh>
    <phoneticPr fontId="1"/>
  </si>
  <si>
    <t>※　本市においては原則非適用のため、適用とする場合は事前に担当者にご相談ください</t>
    <rPh sb="2" eb="3">
      <t>ホン</t>
    </rPh>
    <rPh sb="3" eb="4">
      <t>シ</t>
    </rPh>
    <phoneticPr fontId="1"/>
  </si>
  <si>
    <t>③　要件3で×を選択した場合：要件３－①～③を証明する書類</t>
    <rPh sb="2" eb="4">
      <t>ヨウケン</t>
    </rPh>
    <rPh sb="8" eb="10">
      <t>センタク</t>
    </rPh>
    <rPh sb="12" eb="14">
      <t>バアイ</t>
    </rPh>
    <rPh sb="15" eb="17">
      <t>ヨウケン</t>
    </rPh>
    <rPh sb="23" eb="25">
      <t>ショウメイ</t>
    </rPh>
    <rPh sb="27" eb="29">
      <t>ショルイ</t>
    </rPh>
    <phoneticPr fontId="1"/>
  </si>
  <si>
    <t>様式名</t>
    <rPh sb="0" eb="3">
      <t>ヨウシキメイ</t>
    </rPh>
    <phoneticPr fontId="1"/>
  </si>
  <si>
    <t>　・　委託は「家庭的保育」「家庭的保育補助者」のみ常勤換算数に含まれて計算されます。</t>
    <rPh sb="3" eb="5">
      <t>イタク</t>
    </rPh>
    <rPh sb="7" eb="9">
      <t>カテイ</t>
    </rPh>
    <rPh sb="9" eb="10">
      <t>テキ</t>
    </rPh>
    <rPh sb="10" eb="12">
      <t>ホイク</t>
    </rPh>
    <rPh sb="14" eb="22">
      <t>カテイテキホイクホジョシャ</t>
    </rPh>
    <rPh sb="25" eb="30">
      <t>ジョウキンカンサンスウ</t>
    </rPh>
    <rPh sb="31" eb="32">
      <t>フク</t>
    </rPh>
    <rPh sb="35" eb="37">
      <t>ケイサン</t>
    </rPh>
    <phoneticPr fontId="1"/>
  </si>
  <si>
    <t>換算表</t>
    <rPh sb="0" eb="2">
      <t>カンサン</t>
    </rPh>
    <rPh sb="2" eb="3">
      <t>ヒョウ</t>
    </rPh>
    <phoneticPr fontId="3"/>
  </si>
  <si>
    <t>05家庭的</t>
    <rPh sb="2" eb="5">
      <t>カテイテキ</t>
    </rPh>
    <phoneticPr fontId="2"/>
  </si>
  <si>
    <t>変更</t>
    <rPh sb="0" eb="2">
      <t>ヘンコウ</t>
    </rPh>
    <phoneticPr fontId="1"/>
  </si>
  <si>
    <t>事務兼務</t>
    <rPh sb="0" eb="2">
      <t>ジム</t>
    </rPh>
    <rPh sb="2" eb="4">
      <t>ケンム</t>
    </rPh>
    <phoneticPr fontId="1"/>
  </si>
  <si>
    <t>連携施設を設定しない場合)（減算）</t>
    <rPh sb="0" eb="2">
      <t>レンケイ</t>
    </rPh>
    <rPh sb="2" eb="4">
      <t>シセツ</t>
    </rPh>
    <rPh sb="5" eb="7">
      <t>セッテイ</t>
    </rPh>
    <rPh sb="10" eb="12">
      <t>バアイ</t>
    </rPh>
    <rPh sb="14" eb="16">
      <t>ゲンサン</t>
    </rPh>
    <phoneticPr fontId="1"/>
  </si>
  <si>
    <t>食事の提供について自園調理又は連携施設等からの搬入以外の方法による場合(減算）</t>
    <rPh sb="0" eb="2">
      <t>ショクジ</t>
    </rPh>
    <rPh sb="3" eb="5">
      <t>テイキョウ</t>
    </rPh>
    <rPh sb="9" eb="10">
      <t>ジ</t>
    </rPh>
    <rPh sb="10" eb="11">
      <t>エン</t>
    </rPh>
    <rPh sb="11" eb="13">
      <t>チョウリ</t>
    </rPh>
    <rPh sb="13" eb="14">
      <t>マタ</t>
    </rPh>
    <rPh sb="15" eb="17">
      <t>レンケイ</t>
    </rPh>
    <rPh sb="17" eb="19">
      <t>シセツ</t>
    </rPh>
    <rPh sb="19" eb="20">
      <t>トウ</t>
    </rPh>
    <rPh sb="23" eb="25">
      <t>ハンニュウ</t>
    </rPh>
    <rPh sb="25" eb="27">
      <t>イガイ</t>
    </rPh>
    <rPh sb="28" eb="30">
      <t>ホウホウ</t>
    </rPh>
    <rPh sb="33" eb="35">
      <t>バアイ</t>
    </rPh>
    <rPh sb="36" eb="38">
      <t>ゲンサン</t>
    </rPh>
    <phoneticPr fontId="1"/>
  </si>
  <si>
    <t>土曜日に閉所する場合（前月分実績は備考欄に記載）(減算）</t>
    <rPh sb="0" eb="3">
      <t>ドヨウビ</t>
    </rPh>
    <rPh sb="4" eb="6">
      <t>ヘイショ</t>
    </rPh>
    <rPh sb="8" eb="10">
      <t>バアイ</t>
    </rPh>
    <rPh sb="11" eb="13">
      <t>ゼンゲツ</t>
    </rPh>
    <rPh sb="13" eb="14">
      <t>ブン</t>
    </rPh>
    <rPh sb="14" eb="16">
      <t>ジッセキ</t>
    </rPh>
    <rPh sb="17" eb="20">
      <t>ビコウラン</t>
    </rPh>
    <rPh sb="21" eb="23">
      <t>キサイ</t>
    </rPh>
    <rPh sb="25" eb="27">
      <t>ゲンサン</t>
    </rPh>
    <phoneticPr fontId="1"/>
  </si>
  <si>
    <t>※土曜日</t>
    <rPh sb="1" eb="4">
      <t>ドヨウビ</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</si>
  <si>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</si>
  <si>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</si>
  <si>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</si>
  <si>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橙色</t>
    <rPh sb="0" eb="2">
      <t>ダイダイイロ</t>
    </rPh>
    <phoneticPr fontId="1"/>
  </si>
  <si>
    <t>ドロップダウンで選択。</t>
    <rPh sb="8" eb="10">
      <t>センタク</t>
    </rPh>
    <phoneticPr fontId="1"/>
  </si>
  <si>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</si>
  <si>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</si>
  <si>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</si>
  <si>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入力不可</t>
    <rPh sb="0" eb="4">
      <t>ニュウリョクフカ</t>
    </rPh>
    <phoneticPr fontId="1"/>
  </si>
  <si>
    <t>【提出方法】</t>
    <rPh sb="1" eb="5">
      <t>テイシュツホウホウ</t>
    </rPh>
    <phoneticPr fontId="3"/>
  </si>
  <si>
    <t>＜Excelデータ 提出先＞</t>
    <rPh sb="10" eb="12">
      <t>テイシュツ</t>
    </rPh>
    <rPh sb="12" eb="13">
      <t>サキ</t>
    </rPh>
    <phoneticPr fontId="63"/>
  </si>
  <si>
    <t>アドレス</t>
    <phoneticPr fontId="3"/>
  </si>
  <si>
    <t>kyufuhi@city.sapporo.jp</t>
    <phoneticPr fontId="63"/>
  </si>
  <si>
    <t>メール件名</t>
    <rPh sb="3" eb="5">
      <t>ケンメイ</t>
    </rPh>
    <phoneticPr fontId="3"/>
  </si>
  <si>
    <r>
      <t>←</t>
    </r>
    <r>
      <rPr>
        <sz val="12"/>
        <color rgb="FFFF0000"/>
        <rFont val="ＭＳ ゴシック"/>
        <family val="3"/>
        <charset val="128"/>
      </rPr>
      <t>（【様式１】で園名を選ぶと反映）</t>
    </r>
    <phoneticPr fontId="63"/>
  </si>
  <si>
    <t>パスワード</t>
    <phoneticPr fontId="3"/>
  </si>
  <si>
    <t>29hoiku86</t>
    <phoneticPr fontId="63"/>
  </si>
  <si>
    <r>
      <rPr>
        <b/>
        <sz val="12"/>
        <color rgb="FFFF0000"/>
        <rFont val="ＭＳ ゴシック"/>
        <family val="3"/>
        <charset val="128"/>
      </rPr>
      <t xml:space="preserve">← </t>
    </r>
    <r>
      <rPr>
        <b/>
        <sz val="12"/>
        <rFont val="ＭＳ ゴシック"/>
        <family val="3"/>
        <charset val="128"/>
      </rPr>
      <t>Excelデータをこちらのパスワードで</t>
    </r>
    <phoneticPr fontId="63"/>
  </si>
  <si>
    <t>　 zipファイル化して、メールに添付してください。</t>
    <phoneticPr fontId="63"/>
  </si>
  <si>
    <t>＜添付書類 郵送先＞</t>
    <rPh sb="1" eb="5">
      <t>テンプショルイ</t>
    </rPh>
    <rPh sb="6" eb="9">
      <t>ユウソウサキ</t>
    </rPh>
    <phoneticPr fontId="63"/>
  </si>
  <si>
    <t>〒060-0051</t>
    <phoneticPr fontId="63"/>
  </si>
  <si>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63"/>
  </si>
  <si>
    <t>札幌市中央区南１条東１丁目　大通バスセンタービル３階</t>
    <phoneticPr fontId="63"/>
  </si>
  <si>
    <t>　（右隣のシート）</t>
    <rPh sb="2" eb="4">
      <t>ミギドナリ</t>
    </rPh>
    <phoneticPr fontId="1"/>
  </si>
  <si>
    <t>子ども未来局子育て支援部施設運営課給付係　　TEL 011-211-3027</t>
    <rPh sb="6" eb="8">
      <t>コソダ</t>
    </rPh>
    <rPh sb="9" eb="11">
      <t>シエン</t>
    </rPh>
    <rPh sb="12" eb="14">
      <t>シセツ</t>
    </rPh>
    <rPh sb="14" eb="16">
      <t>ウンエイ</t>
    </rPh>
    <rPh sb="16" eb="17">
      <t>カ</t>
    </rPh>
    <phoneticPr fontId="63"/>
  </si>
  <si>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</si>
  <si>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63"/>
  </si>
  <si>
    <t>アドレス</t>
  </si>
  <si>
    <t>【作成にあたって】</t>
    <rPh sb="1" eb="3">
      <t>サクセイ</t>
    </rPh>
    <phoneticPr fontId="3"/>
  </si>
  <si>
    <t>項目</t>
    <rPh sb="0" eb="2">
      <t>コウモク</t>
    </rPh>
    <phoneticPr fontId="3"/>
  </si>
  <si>
    <t>説明</t>
    <rPh sb="0" eb="2">
      <t>セツメイ</t>
    </rPh>
    <phoneticPr fontId="63"/>
  </si>
  <si>
    <t>作成ソフト</t>
    <rPh sb="0" eb="2">
      <t>サクセイ</t>
    </rPh>
    <phoneticPr fontId="3"/>
  </si>
  <si>
    <t>　本様式はExcel2016（Microsoft社）で作成しておりますので、Excel2016以降での作成を推奨します。このため、Excel2016未満のバージョン（2010、2003等）及びMicrosoft社製以外の表計算ソフト（Kingsoft、Numbers等）での動作は保証いたしません。</t>
    <phoneticPr fontId="1"/>
  </si>
  <si>
    <t>作成手順</t>
    <rPh sb="0" eb="4">
      <t>サクセイテジュン</t>
    </rPh>
    <phoneticPr fontId="3"/>
  </si>
  <si>
    <t>参考資料</t>
    <rPh sb="0" eb="4">
      <t>サンコウシリョウ</t>
    </rPh>
    <phoneticPr fontId="1"/>
  </si>
  <si>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</si>
  <si>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様式内の「作成方法」シート、各シート印刷範囲外の説明書き</t>
  </si>
  <si>
    <t xml:space="preserve"> ・　加算・調整項目申請書作成要領　（依頼時に送付）</t>
    <rPh sb="19" eb="22">
      <t>イライジ</t>
    </rPh>
    <rPh sb="23" eb="25">
      <t>ソウフ</t>
    </rPh>
    <phoneticPr fontId="1"/>
  </si>
  <si>
    <t>【様式５】職員数算出表にて、栄養士及び料理員の必要数ー配置数の算定誤りを修正（O86セルの修正）</t>
    <rPh sb="1" eb="3">
      <t>ヨウシキ</t>
    </rPh>
    <rPh sb="5" eb="7">
      <t>ショクイン</t>
    </rPh>
    <rPh sb="7" eb="8">
      <t>スウ</t>
    </rPh>
    <rPh sb="8" eb="10">
      <t>サンシュツ</t>
    </rPh>
    <rPh sb="10" eb="11">
      <t>ヒョウ</t>
    </rPh>
    <rPh sb="14" eb="17">
      <t>エイヨウシ</t>
    </rPh>
    <rPh sb="17" eb="18">
      <t>オヨ</t>
    </rPh>
    <rPh sb="19" eb="21">
      <t>リョウリ</t>
    </rPh>
    <rPh sb="21" eb="22">
      <t>イン</t>
    </rPh>
    <rPh sb="23" eb="26">
      <t>ヒツヨウスウ</t>
    </rPh>
    <rPh sb="27" eb="29">
      <t>ハイチ</t>
    </rPh>
    <rPh sb="29" eb="30">
      <t>スウ</t>
    </rPh>
    <rPh sb="31" eb="33">
      <t>サンテイ</t>
    </rPh>
    <rPh sb="33" eb="34">
      <t>アヤマ</t>
    </rPh>
    <rPh sb="36" eb="38">
      <t>シュウセイ</t>
    </rPh>
    <rPh sb="45" eb="47">
      <t>シュウセイ</t>
    </rPh>
    <phoneticPr fontId="1"/>
  </si>
  <si>
    <t>【別添】添付書類の表紙　の左上を【家庭的】に変更</t>
    <rPh sb="13" eb="15">
      <t>ヒダリウエ</t>
    </rPh>
    <rPh sb="17" eb="20">
      <t>カテイテキ</t>
    </rPh>
    <rPh sb="22" eb="24">
      <t>ヘンコウ</t>
    </rPh>
    <phoneticPr fontId="1"/>
  </si>
  <si>
    <t>【様式５】
職員算出表の職種別調整箇所の非表示。</t>
    <phoneticPr fontId="1"/>
  </si>
  <si>
    <t>提出日</t>
    <rPh sb="0" eb="2">
      <t>テイシュツ</t>
    </rPh>
    <rPh sb="2" eb="3">
      <t>ビ</t>
    </rPh>
    <phoneticPr fontId="1"/>
  </si>
  <si>
    <t>１日</t>
    <rPh sb="1" eb="2">
      <t>ニチ</t>
    </rPh>
    <phoneticPr fontId="3"/>
  </si>
  <si>
    <t>２日</t>
    <rPh sb="1" eb="2">
      <t>ニチ</t>
    </rPh>
    <phoneticPr fontId="3"/>
  </si>
  <si>
    <t>３日以上</t>
    <rPh sb="1" eb="2">
      <t>ニチ</t>
    </rPh>
    <rPh sb="2" eb="4">
      <t>イジョウ</t>
    </rPh>
    <phoneticPr fontId="3"/>
  </si>
  <si>
    <t>全て</t>
    <rPh sb="0" eb="1">
      <t>スベ</t>
    </rPh>
    <phoneticPr fontId="3"/>
  </si>
  <si>
    <t>処遇改善等加算Ⅲ</t>
    <rPh sb="0" eb="2">
      <t>ショグウ</t>
    </rPh>
    <rPh sb="2" eb="4">
      <t>カイゼン</t>
    </rPh>
    <rPh sb="4" eb="5">
      <t>トウ</t>
    </rPh>
    <rPh sb="5" eb="7">
      <t>カサン</t>
    </rPh>
    <phoneticPr fontId="1"/>
  </si>
  <si>
    <t>13　栄養管理加算</t>
    <rPh sb="3" eb="5">
      <t>エイヨウ</t>
    </rPh>
    <rPh sb="5" eb="7">
      <t>カンリ</t>
    </rPh>
    <rPh sb="7" eb="9">
      <t>カサン</t>
    </rPh>
    <phoneticPr fontId="1"/>
  </si>
  <si>
    <t>12　処遇改善等加算Ⅲ</t>
    <phoneticPr fontId="1"/>
  </si>
  <si>
    <t>人数</t>
    <rPh sb="0" eb="2">
      <t>ニンズウ</t>
    </rPh>
    <phoneticPr fontId="1"/>
  </si>
  <si>
    <t>施設コード</t>
    <rPh sb="0" eb="2">
      <t>シセツ</t>
    </rPh>
    <phoneticPr fontId="1"/>
  </si>
  <si>
    <t>施設名</t>
    <rPh sb="0" eb="3">
      <t>シセツメイ</t>
    </rPh>
    <phoneticPr fontId="1"/>
  </si>
  <si>
    <t>kyufuhi@city.sapporo.jp</t>
  </si>
  <si>
    <r>
      <rPr>
        <b/>
        <sz val="12"/>
        <color rgb="FFFF0000"/>
        <rFont val="ＭＳ ゴシック"/>
        <family val="3"/>
        <charset val="128"/>
      </rPr>
      <t>←</t>
    </r>
    <r>
      <rPr>
        <b/>
        <sz val="12"/>
        <rFont val="ＭＳ ゴシック"/>
        <family val="3"/>
        <charset val="128"/>
      </rPr>
      <t>メールの件名はこちらをコピーして使用してください。</t>
    </r>
    <rPh sb="5" eb="7">
      <t>ケンメイ</t>
    </rPh>
    <rPh sb="17" eb="19">
      <t>シヨウ</t>
    </rPh>
    <phoneticPr fontId="63"/>
  </si>
  <si>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</si>
  <si>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t>【提出先】</t>
    <rPh sb="1" eb="3">
      <t>テイシュツ</t>
    </rPh>
    <rPh sb="3" eb="4">
      <t>サキ</t>
    </rPh>
    <phoneticPr fontId="3"/>
  </si>
  <si>
    <t>＜Excelデータ＞</t>
    <rPh sb="9" eb="10">
      <t>デサキ</t>
    </rPh>
    <phoneticPr fontId="63"/>
  </si>
  <si>
    <t>エクセル名</t>
    <rPh sb="4" eb="5">
      <t>メイ</t>
    </rPh>
    <phoneticPr fontId="1"/>
  </si>
  <si>
    <r>
      <rPr>
        <b/>
        <sz val="12"/>
        <color rgb="FFFF0000"/>
        <rFont val="ＭＳ ゴシック"/>
        <family val="3"/>
        <charset val="128"/>
      </rPr>
      <t>←</t>
    </r>
    <r>
      <rPr>
        <b/>
        <sz val="12"/>
        <rFont val="ＭＳ ゴシック"/>
        <family val="3"/>
        <charset val="128"/>
      </rPr>
      <t>申請書（エクセル）の名前はこちらをコピーして使用してください。</t>
    </r>
    <rPh sb="1" eb="4">
      <t>シンセイショ</t>
    </rPh>
    <rPh sb="11" eb="13">
      <t>ナマエ</t>
    </rPh>
    <rPh sb="23" eb="25">
      <t>シヨウ</t>
    </rPh>
    <phoneticPr fontId="63"/>
  </si>
  <si>
    <t>29hoiku86</t>
    <phoneticPr fontId="1"/>
  </si>
  <si>
    <r>
      <rPr>
        <b/>
        <sz val="12"/>
        <color rgb="FFFF0000"/>
        <rFont val="ＭＳ ゴシック"/>
        <family val="3"/>
        <charset val="128"/>
      </rPr>
      <t>←</t>
    </r>
    <r>
      <rPr>
        <b/>
        <sz val="12"/>
        <rFont val="ＭＳ ゴシック"/>
        <family val="3"/>
        <charset val="128"/>
      </rPr>
      <t>Excelデータをこちらのパスワードでお願いします。</t>
    </r>
    <rPh sb="21" eb="22">
      <t>ネガ</t>
    </rPh>
    <phoneticPr fontId="63"/>
  </si>
  <si>
    <t>＜PDFデータ（加算の添付書類）＞</t>
    <rPh sb="8" eb="10">
      <t>カサン</t>
    </rPh>
    <rPh sb="11" eb="15">
      <t>テンプショルイ</t>
    </rPh>
    <rPh sb="16" eb="17">
      <t>デサキ</t>
    </rPh>
    <phoneticPr fontId="63"/>
  </si>
  <si>
    <t>※ＰＤＦで提出いただく添付書類の名前は、以下のリストからコピーして使用してください。</t>
    <rPh sb="5" eb="7">
      <t>テイシュツ</t>
    </rPh>
    <rPh sb="11" eb="15">
      <t>テンプショルイ</t>
    </rPh>
    <rPh sb="16" eb="18">
      <t>ナマエ</t>
    </rPh>
    <rPh sb="20" eb="22">
      <t>イカ</t>
    </rPh>
    <rPh sb="33" eb="35">
      <t>シヨウ</t>
    </rPh>
    <phoneticPr fontId="3"/>
  </si>
  <si>
    <t>添付書類が必要な加算</t>
    <rPh sb="0" eb="2">
      <t>テンプ</t>
    </rPh>
    <rPh sb="2" eb="4">
      <t>ショルイ</t>
    </rPh>
    <rPh sb="5" eb="7">
      <t>ヒツヨウ</t>
    </rPh>
    <rPh sb="8" eb="10">
      <t>カサン</t>
    </rPh>
    <phoneticPr fontId="1"/>
  </si>
  <si>
    <t>挙証書類の名前</t>
    <rPh sb="0" eb="4">
      <t>キョショウショルイ</t>
    </rPh>
    <rPh sb="5" eb="7">
      <t>ナマエ</t>
    </rPh>
    <phoneticPr fontId="1"/>
  </si>
  <si>
    <t>添付書類①</t>
    <rPh sb="0" eb="2">
      <t>テンプ</t>
    </rPh>
    <rPh sb="2" eb="4">
      <t>ショルイ</t>
    </rPh>
    <phoneticPr fontId="1"/>
  </si>
  <si>
    <t>添付書類が必要な加算</t>
    <rPh sb="0" eb="4">
      <t>テンプショルイ</t>
    </rPh>
    <rPh sb="5" eb="7">
      <t>ヒツヨウ</t>
    </rPh>
    <rPh sb="8" eb="10">
      <t>カサン</t>
    </rPh>
    <phoneticPr fontId="1"/>
  </si>
  <si>
    <t>適用可否</t>
    <rPh sb="0" eb="4">
      <t>テキヨウカヒ</t>
    </rPh>
    <phoneticPr fontId="1"/>
  </si>
  <si>
    <t>変換</t>
    <rPh sb="0" eb="2">
      <t>ヘンカン</t>
    </rPh>
    <phoneticPr fontId="1"/>
  </si>
  <si>
    <t>障害児保育加算</t>
    <rPh sb="0" eb="3">
      <t>ショウガイジ</t>
    </rPh>
    <rPh sb="3" eb="5">
      <t>ホイク</t>
    </rPh>
    <rPh sb="5" eb="7">
      <t>カサン</t>
    </rPh>
    <phoneticPr fontId="1"/>
  </si>
  <si>
    <t>添付書類②</t>
    <rPh sb="0" eb="2">
      <t>テンプ</t>
    </rPh>
    <rPh sb="2" eb="4">
      <t>ショルイ</t>
    </rPh>
    <phoneticPr fontId="1"/>
  </si>
  <si>
    <t>添付書類③</t>
    <rPh sb="0" eb="2">
      <t>テンプ</t>
    </rPh>
    <rPh sb="2" eb="4">
      <t>ショルイ</t>
    </rPh>
    <phoneticPr fontId="1"/>
  </si>
  <si>
    <t>添付書類④</t>
    <rPh sb="0" eb="2">
      <t>テンプ</t>
    </rPh>
    <rPh sb="2" eb="4">
      <t>ショルイ</t>
    </rPh>
    <phoneticPr fontId="1"/>
  </si>
  <si>
    <t>添付書類⑤</t>
    <rPh sb="0" eb="2">
      <t>テンプ</t>
    </rPh>
    <rPh sb="2" eb="4">
      <t>ショルイ</t>
    </rPh>
    <phoneticPr fontId="1"/>
  </si>
  <si>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</si>
  <si>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</si>
  <si>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</si>
  <si>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</si>
  <si>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r>
      <rPr>
        <b/>
        <sz val="11"/>
        <color theme="1"/>
        <rFont val="ＭＳ Ｐゴシック"/>
        <family val="3"/>
        <charset val="128"/>
        <scheme val="minor"/>
      </rPr>
      <t>＜【別添】添付書類の表紙＞</t>
    </r>
    <r>
      <rPr>
        <sz val="11"/>
        <color theme="1"/>
        <rFont val="ＭＳ Ｐゴシック"/>
        <family val="2"/>
        <charset val="128"/>
        <scheme val="minor"/>
      </rPr>
      <t xml:space="preserve">
データでの提出を前提とした内容に変更
</t>
    </r>
    <r>
      <rPr>
        <b/>
        <sz val="11"/>
        <color theme="1"/>
        <rFont val="ＭＳ Ｐゴシック"/>
        <family val="3"/>
        <charset val="128"/>
        <scheme val="minor"/>
      </rPr>
      <t>＜【様式１】総括表・個票＞</t>
    </r>
    <r>
      <rPr>
        <sz val="11"/>
        <color theme="1"/>
        <rFont val="ＭＳ Ｐゴシック"/>
        <family val="2"/>
        <charset val="128"/>
        <scheme val="minor"/>
      </rPr>
      <t xml:space="preserve">
処遇改善加算Ⅲの項目を追加
コロナ特例を廃止
</t>
    </r>
    <r>
      <rPr>
        <b/>
        <sz val="11"/>
        <color theme="1"/>
        <rFont val="ＭＳ Ｐゴシック"/>
        <family val="3"/>
        <charset val="128"/>
        <scheme val="minor"/>
      </rPr>
      <t>＜【様式３】シフト表＞</t>
    </r>
    <r>
      <rPr>
        <sz val="11"/>
        <color theme="1"/>
        <rFont val="ＭＳ Ｐゴシック"/>
        <family val="2"/>
        <charset val="128"/>
        <scheme val="minor"/>
      </rPr>
      <t xml:space="preserve">
常勤換算の時間数を超える入力の制限を追加
</t>
    </r>
    <r>
      <rPr>
        <b/>
        <sz val="11"/>
        <color theme="1"/>
        <rFont val="ＭＳ Ｐゴシック"/>
        <family val="3"/>
        <charset val="128"/>
        <scheme val="minor"/>
      </rPr>
      <t>＜【様式6】加算確認表＞</t>
    </r>
    <r>
      <rPr>
        <sz val="11"/>
        <color theme="1"/>
        <rFont val="ＭＳ Ｐゴシック"/>
        <family val="2"/>
        <charset val="128"/>
        <scheme val="minor"/>
      </rPr>
      <t xml:space="preserve">
処遇改善加算Ⅲの項目を追加</t>
    </r>
    <phoneticPr fontId="1"/>
  </si>
  <si>
    <t xml:space="preserve"> ・　国通知「特定教育・保育等に要する費用の額の算定に関する基準等の改正に伴う実施上の留意事項について」
　　（令和5年2月20日改正）　内閣府HP：https://www8.cao.go.jp/shoushi/shinseido/law/tsuuchi.html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</si>
</sst>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quot;%&quot;"/>
    <numFmt numFmtId="183" formatCode="0_);[Red]\(0\)"/>
    <numFmt numFmtId="184" formatCode="0.0&quot;人&quot;"/>
    <numFmt numFmtId="185" formatCode="[$-411]ggge&quot;年&quot;m&quot;月&quot;d&quot;日&quot;;@"/>
    <numFmt numFmtId="186" formatCode="&quot;＜&quot;yyyy&quot;年&quot;m&quot;月&quot;&quot;＞&quot;"/>
    <numFmt numFmtId="187" formatCode="&quot;第&quot;General&quot;土&quot;&quot;曜&quot;&quot;日&quot;"/>
    <numFmt numFmtId="188" formatCode="General&quot;日&quot;"/>
    <numFmt numFmtId="189" formatCode="##&quot;円&quot;"/>
    <numFmt numFmtId="190" formatCode="0.00_);[Red]\(0.00\)"/>
    <numFmt numFmtId="191" formatCode="yyyy/m/d;@"/>
    <numFmt numFmtId="192" formatCode="#,##0.00&quot;人&quot;"/>
    <numFmt numFmtId="193" formatCode="0.0_ "/>
    <numFmt numFmtId="194" formatCode="General&quot;名&quot;"/>
    <numFmt numFmtId="195" formatCode="#0.00"/>
    <numFmt numFmtId="196" formatCode="#,##0_ ;[Red]\-#,##0\ "/>
    <numFmt numFmtId="197" formatCode="0.00_ "/>
    <numFmt numFmtId="198" formatCode="#0.00\※"/>
    <numFmt numFmtId="199" formatCode="0.0_);[Red]\(0.0\)"/>
    <numFmt numFmtId="200" formatCode="&quot;1：&quot;General"/>
  </numFmts>
  <fonts count="8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1"/>
      <color theme="1"/>
      <name val="ＭＳ Ｐゴシック"/>
      <family val="2"/>
      <charset val="128"/>
      <scheme val="minor"/>
    </font>
    <font>
      <b/>
      <sz val="12"/>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sz val="10"/>
      <name val="ＭＳ 明朝"/>
      <family val="1"/>
      <charset val="128"/>
    </font>
    <font>
      <sz val="12"/>
      <name val="明朝"/>
      <family val="3"/>
      <charset val="128"/>
    </font>
    <font>
      <sz val="10"/>
      <name val="ＭＳ ゴシック"/>
      <family val="3"/>
      <charset val="128"/>
    </font>
    <font>
      <b/>
      <sz val="10"/>
      <name val="ＭＳ 明朝"/>
      <family val="1"/>
      <charset val="128"/>
    </font>
    <font>
      <b/>
      <sz val="10"/>
      <name val="ＭＳ ゴシック"/>
      <family val="3"/>
      <charset val="128"/>
    </font>
    <font>
      <sz val="10"/>
      <name val="ＭＳ Ｐゴシック"/>
      <family val="3"/>
      <charset val="128"/>
      <scheme val="minor"/>
    </font>
    <font>
      <u/>
      <sz val="10"/>
      <name val="ＭＳ 明朝"/>
      <family val="1"/>
      <charset val="128"/>
    </font>
    <font>
      <sz val="9"/>
      <color theme="1"/>
      <name val="ＭＳ 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color rgb="FFFF0000"/>
      <name val="ＭＳ ゴシック"/>
      <family val="3"/>
      <charset val="128"/>
    </font>
    <font>
      <sz val="9"/>
      <color indexed="8"/>
      <name val="ＭＳ ゴシック"/>
      <family val="3"/>
      <charset val="128"/>
    </font>
    <font>
      <sz val="12"/>
      <name val="ＭＳ Ｐゴシック"/>
      <family val="3"/>
      <charset val="128"/>
    </font>
    <font>
      <sz val="10"/>
      <color theme="1"/>
      <name val="ＭＳ 明朝"/>
      <family val="1"/>
      <charset val="128"/>
    </font>
    <font>
      <sz val="10"/>
      <color rgb="FFFF0000"/>
      <name val="ＭＳ 明朝"/>
      <family val="1"/>
      <charset val="128"/>
    </font>
    <font>
      <sz val="10"/>
      <color rgb="FF0070C0"/>
      <name val="ＭＳ 明朝"/>
      <family val="1"/>
      <charset val="128"/>
    </font>
    <font>
      <sz val="10"/>
      <name val="ＭＳ Ｐ明朝"/>
      <family val="1"/>
      <charset val="128"/>
    </font>
    <font>
      <sz val="24"/>
      <name val="ＭＳ Ｐゴシック"/>
      <family val="3"/>
      <charset val="128"/>
    </font>
    <font>
      <sz val="12"/>
      <color rgb="FFFF0000"/>
      <name val="ＭＳ Ｐゴシック"/>
      <family val="3"/>
      <charset val="128"/>
    </font>
    <font>
      <b/>
      <sz val="10"/>
      <color rgb="FFFF0000"/>
      <name val="ＭＳ 明朝"/>
      <family val="1"/>
      <charset val="128"/>
    </font>
    <font>
      <b/>
      <sz val="10"/>
      <name val="ＭＳ Ｐゴシック"/>
      <family val="3"/>
      <charset val="128"/>
      <scheme val="minor"/>
    </font>
    <font>
      <sz val="9"/>
      <name val="ＭＳ 明朝"/>
      <family val="1"/>
      <charset val="128"/>
    </font>
    <font>
      <sz val="8"/>
      <color theme="1"/>
      <name val="ＭＳ Ｐゴシック"/>
      <family val="2"/>
      <charset val="128"/>
      <scheme val="minor"/>
    </font>
    <font>
      <sz val="8"/>
      <color theme="1"/>
      <name val="ＭＳ Ｐゴシック"/>
      <family val="3"/>
      <charset val="128"/>
      <scheme val="minor"/>
    </font>
    <font>
      <b/>
      <sz val="10"/>
      <color theme="1"/>
      <name val="ＭＳ Ｐゴシック"/>
      <family val="3"/>
      <charset val="128"/>
      <scheme val="minor"/>
    </font>
    <font>
      <b/>
      <sz val="10"/>
      <name val="ＭＳ Ｐゴシック"/>
      <family val="3"/>
      <charset val="128"/>
    </font>
    <font>
      <b/>
      <sz val="12"/>
      <name val="ＭＳ ゴシック"/>
      <family val="3"/>
      <charset val="128"/>
    </font>
    <font>
      <sz val="10"/>
      <color theme="1"/>
      <name val="ＭＳ Ｐ明朝"/>
      <family val="1"/>
      <charset val="128"/>
    </font>
    <font>
      <sz val="11"/>
      <color theme="1"/>
      <name val="ＭＳ 明朝"/>
      <family val="1"/>
      <charset val="128"/>
    </font>
    <font>
      <sz val="9"/>
      <color theme="1"/>
      <name val="ＭＳ 明朝"/>
      <family val="1"/>
      <charset val="128"/>
    </font>
    <font>
      <b/>
      <sz val="10"/>
      <color theme="1"/>
      <name val="ＭＳ ゴシック"/>
      <family val="3"/>
      <charset val="128"/>
    </font>
    <font>
      <b/>
      <u/>
      <sz val="10"/>
      <color rgb="FFFF0000"/>
      <name val="ＭＳ 明朝"/>
      <family val="1"/>
      <charset val="128"/>
    </font>
    <font>
      <b/>
      <sz val="10"/>
      <color theme="1"/>
      <name val="ＭＳ 明朝"/>
      <family val="1"/>
      <charset val="128"/>
    </font>
    <font>
      <b/>
      <sz val="12"/>
      <name val="ＭＳ 明朝"/>
      <family val="1"/>
      <charset val="128"/>
    </font>
    <font>
      <sz val="11"/>
      <name val="ＭＳ 明朝"/>
      <family val="1"/>
      <charset val="128"/>
    </font>
    <font>
      <b/>
      <sz val="12"/>
      <color theme="1"/>
      <name val="ＭＳ 明朝"/>
      <family val="1"/>
      <charset val="128"/>
    </font>
    <font>
      <sz val="6"/>
      <color theme="1"/>
      <name val="ＭＳ 明朝"/>
      <family val="1"/>
      <charset val="128"/>
    </font>
    <font>
      <b/>
      <sz val="6"/>
      <color theme="1"/>
      <name val="ＭＳ 明朝"/>
      <family val="1"/>
      <charset val="128"/>
    </font>
    <font>
      <b/>
      <sz val="6"/>
      <name val="ＭＳ 明朝"/>
      <family val="1"/>
      <charset val="128"/>
    </font>
    <font>
      <sz val="6"/>
      <name val="ＭＳ 明朝"/>
      <family val="1"/>
      <charset val="128"/>
    </font>
    <font>
      <sz val="8"/>
      <name val="ＭＳ 明朝"/>
      <family val="1"/>
      <charset val="128"/>
    </font>
    <font>
      <sz val="8"/>
      <color theme="1"/>
      <name val="ＭＳ 明朝"/>
      <family val="1"/>
      <charset val="128"/>
    </font>
    <font>
      <sz val="12"/>
      <color theme="1"/>
      <name val="ＭＳ 明朝"/>
      <family val="1"/>
      <charset val="128"/>
    </font>
    <font>
      <sz val="12"/>
      <name val="ＭＳ 明朝"/>
      <family val="1"/>
      <charset val="128"/>
    </font>
    <font>
      <sz val="9"/>
      <color theme="1"/>
      <name val="ＭＳ Ｐゴシック"/>
      <family val="2"/>
      <charset val="128"/>
      <scheme val="minor"/>
    </font>
    <font>
      <sz val="11"/>
      <color rgb="FF0070C0"/>
      <name val="ＭＳ Ｐゴシック"/>
      <family val="3"/>
      <charset val="128"/>
    </font>
    <font>
      <sz val="11"/>
      <color theme="1"/>
      <name val="ＭＳ Ｐゴシック"/>
      <family val="2"/>
      <scheme val="minor"/>
    </font>
    <font>
      <sz val="12"/>
      <name val="ＭＳ ゴシック"/>
      <family val="3"/>
      <charset val="128"/>
    </font>
    <font>
      <b/>
      <sz val="16"/>
      <color theme="1"/>
      <name val="ＭＳ Ｐゴシック"/>
      <family val="3"/>
      <charset val="128"/>
      <scheme val="minor"/>
    </font>
    <font>
      <sz val="14"/>
      <name val="ＭＳ 明朝"/>
      <family val="1"/>
      <charset val="128"/>
    </font>
    <font>
      <b/>
      <sz val="14"/>
      <color rgb="FFFF0000"/>
      <name val="ＭＳ Ｐゴシック"/>
      <family val="3"/>
      <charset val="128"/>
    </font>
    <font>
      <sz val="6"/>
      <name val="ＭＳ Ｐゴシック"/>
      <family val="3"/>
      <charset val="128"/>
      <scheme val="minor"/>
    </font>
    <font>
      <sz val="12"/>
      <name val="ＭＳ Ｐゴシック"/>
      <family val="2"/>
      <scheme val="minor"/>
    </font>
    <font>
      <u/>
      <sz val="11"/>
      <color theme="10"/>
      <name val="ＭＳ Ｐゴシック"/>
      <family val="2"/>
      <charset val="128"/>
      <scheme val="minor"/>
    </font>
    <font>
      <u/>
      <sz val="12"/>
      <color theme="10"/>
      <name val="ＭＳ Ｐゴシック"/>
      <family val="2"/>
      <charset val="128"/>
      <scheme val="minor"/>
    </font>
    <font>
      <sz val="12"/>
      <color theme="1"/>
      <name val="ＭＳ Ｐゴシック"/>
      <family val="2"/>
      <scheme val="minor"/>
    </font>
    <font>
      <b/>
      <sz val="12"/>
      <color rgb="FFFF0000"/>
      <name val="ＭＳ ゴシック"/>
      <family val="3"/>
      <charset val="128"/>
    </font>
    <font>
      <sz val="12"/>
      <color rgb="FFFF0000"/>
      <name val="ＭＳ ゴシック"/>
      <family val="3"/>
      <charset val="128"/>
    </font>
    <font>
      <sz val="11"/>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name val="ＭＳ ゴシック"/>
      <family val="3"/>
      <charset val="128"/>
    </font>
    <font>
      <sz val="14"/>
      <color theme="1"/>
      <name val="ＭＳ Ｐゴシック"/>
      <family val="2"/>
      <scheme val="minor"/>
    </font>
    <font>
      <sz val="14"/>
      <color theme="1"/>
      <name val="ＭＳ Ｐゴシック"/>
      <family val="3"/>
      <charset val="128"/>
      <scheme val="minor"/>
    </font>
    <font>
      <b/>
      <sz val="8"/>
      <color rgb="FFFF0000"/>
      <name val="ＭＳ 明朝"/>
      <family val="1"/>
      <charset val="128"/>
    </font>
    <font>
      <b/>
      <sz val="11"/>
      <name val="ＭＳ Ｐゴシック"/>
      <family val="3"/>
      <charset val="128"/>
      <scheme val="minor"/>
    </font>
    <font>
      <b/>
      <u/>
      <sz val="14"/>
      <color theme="10"/>
      <name val="ＭＳ Ｐゴシック"/>
      <family val="3"/>
      <charset val="128"/>
      <scheme val="minor"/>
    </font>
    <font>
      <sz val="11"/>
      <name val="ＭＳ Ｐゴシック"/>
      <family val="2"/>
      <scheme val="minor"/>
    </font>
    <font>
      <sz val="14"/>
      <name val="ＭＳ ゴシック"/>
      <family val="3"/>
      <charset val="128"/>
    </font>
    <font>
      <b/>
      <sz val="11"/>
      <name val="ＭＳ ゴシック"/>
      <family val="3"/>
      <charset val="128"/>
    </font>
    <font>
      <b/>
      <sz val="11"/>
      <color rgb="FFFF0000"/>
      <name val="ＭＳ Ｐゴシック"/>
      <family val="3"/>
      <charset val="128"/>
    </font>
    <font>
      <b/>
      <sz val="11"/>
      <color theme="1"/>
      <name val="ＭＳ Ｐゴシック"/>
      <family val="3"/>
      <charset val="128"/>
      <scheme val="minor"/>
    </font>
    <font>
      <b/>
      <sz val="11"/>
      <color rgb="FFFFFF00"/>
      <name val="ＭＳ Ｐゴシック"/>
      <family val="3"/>
      <charset val="128"/>
      <scheme val="minor"/>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249977111117893"/>
        <bgColor indexed="64"/>
      </patternFill>
    </fill>
    <fill>
      <patternFill patternType="gray0625">
        <bgColor theme="0"/>
      </patternFill>
    </fill>
    <fill>
      <patternFill patternType="solid">
        <fgColor theme="4" tint="0.79998168889431442"/>
        <bgColor indexed="64"/>
      </patternFill>
    </fill>
    <fill>
      <patternFill patternType="solid">
        <fgColor theme="1"/>
        <bgColor indexed="64"/>
      </patternFill>
    </fill>
  </fills>
  <borders count="410">
    <border>
      <left/>
      <right/>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style="medium">
        <color auto="1"/>
      </top>
      <bottom/>
      <diagonal/>
    </border>
    <border>
      <left style="double">
        <color auto="1"/>
      </left>
      <right/>
      <top/>
      <bottom/>
      <diagonal/>
    </border>
    <border>
      <left style="double">
        <color auto="1"/>
      </left>
      <right style="dotted">
        <color auto="1"/>
      </right>
      <top style="thin">
        <color auto="1"/>
      </top>
      <bottom style="medium">
        <color indexed="64"/>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style="thin">
        <color rgb="FF000000"/>
      </top>
      <bottom/>
      <diagonal/>
    </border>
    <border>
      <left style="double">
        <color indexed="64"/>
      </left>
      <right style="double">
        <color indexed="64"/>
      </right>
      <top style="double">
        <color indexed="64"/>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thin">
        <color indexed="64"/>
      </left>
      <right style="medium">
        <color indexed="64"/>
      </right>
      <top style="dashed">
        <color indexed="64"/>
      </top>
      <bottom style="dashed">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top style="hair">
        <color indexed="64"/>
      </top>
      <bottom style="medium">
        <color indexed="64"/>
      </bottom>
      <diagonal/>
    </border>
    <border>
      <left style="dotted">
        <color indexed="64"/>
      </left>
      <right style="hair">
        <color indexed="64"/>
      </right>
      <top style="hair">
        <color indexed="64"/>
      </top>
      <bottom style="medium">
        <color indexed="64"/>
      </bottom>
      <diagonal/>
    </border>
    <border>
      <left style="thin">
        <color indexed="64"/>
      </left>
      <right/>
      <top style="dotted">
        <color indexed="64"/>
      </top>
      <bottom style="hair">
        <color indexed="64"/>
      </bottom>
      <diagonal/>
    </border>
    <border>
      <left/>
      <right style="hair">
        <color indexed="64"/>
      </right>
      <top style="hair">
        <color indexed="64"/>
      </top>
      <bottom style="hair">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medium">
        <color indexed="64"/>
      </bottom>
      <diagonal/>
    </border>
    <border>
      <left style="dotted">
        <color indexed="64"/>
      </left>
      <right/>
      <top style="dotted">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dotted">
        <color indexed="64"/>
      </left>
      <right/>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dotted">
        <color indexed="64"/>
      </bottom>
      <diagonal/>
    </border>
    <border>
      <left/>
      <right/>
      <top style="thin">
        <color indexed="64"/>
      </top>
      <bottom style="double">
        <color indexed="64"/>
      </bottom>
      <diagonal/>
    </border>
    <border>
      <left/>
      <right/>
      <top/>
      <bottom style="double">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right style="thin">
        <color indexed="64"/>
      </right>
      <top style="dashed">
        <color indexed="64"/>
      </top>
      <bottom style="medium">
        <color indexed="64"/>
      </bottom>
      <diagonal/>
    </border>
    <border>
      <left style="medium">
        <color auto="1"/>
      </left>
      <right style="double">
        <color auto="1"/>
      </right>
      <top style="thin">
        <color auto="1"/>
      </top>
      <bottom style="dashed">
        <color auto="1"/>
      </bottom>
      <diagonal/>
    </border>
    <border>
      <left style="medium">
        <color auto="1"/>
      </left>
      <right style="double">
        <color auto="1"/>
      </right>
      <top style="dashed">
        <color auto="1"/>
      </top>
      <bottom style="dashed">
        <color auto="1"/>
      </bottom>
      <diagonal/>
    </border>
    <border>
      <left style="medium">
        <color auto="1"/>
      </left>
      <right style="double">
        <color auto="1"/>
      </right>
      <top style="dashed">
        <color auto="1"/>
      </top>
      <bottom style="medium">
        <color auto="1"/>
      </bottom>
      <diagonal/>
    </border>
    <border>
      <left style="medium">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diagonalUp="1">
      <left style="thin">
        <color indexed="64"/>
      </left>
      <right style="dotted">
        <color indexed="64"/>
      </right>
      <top style="thin">
        <color indexed="64"/>
      </top>
      <bottom style="thin">
        <color indexed="64"/>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hair">
        <color indexed="64"/>
      </top>
      <bottom/>
      <diagonal/>
    </border>
    <border>
      <left/>
      <right style="dotted">
        <color indexed="64"/>
      </right>
      <top style="dotted">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double">
        <color indexed="64"/>
      </left>
      <right style="double">
        <color indexed="64"/>
      </right>
      <top style="double">
        <color indexed="64"/>
      </top>
      <bottom style="medium">
        <color indexed="64"/>
      </bottom>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double">
        <color indexed="64"/>
      </left>
      <right style="double">
        <color indexed="64"/>
      </right>
      <top/>
      <bottom style="thin">
        <color indexed="64"/>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double">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hair">
        <color indexed="64"/>
      </right>
      <top style="medium">
        <color indexed="64"/>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double">
        <color indexed="64"/>
      </left>
      <right style="double">
        <color indexed="64"/>
      </right>
      <top style="thin">
        <color indexed="64"/>
      </top>
      <bottom style="double">
        <color indexed="64"/>
      </bottom>
      <diagonal/>
    </border>
    <border>
      <left/>
      <right/>
      <top style="double">
        <color indexed="64"/>
      </top>
      <bottom/>
      <diagonal/>
    </border>
    <border>
      <left style="thin">
        <color indexed="64"/>
      </left>
      <right style="hair">
        <color indexed="64"/>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hair">
        <color indexed="64"/>
      </left>
      <right style="thin">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diagonal/>
    </border>
    <border>
      <left/>
      <right style="dotted">
        <color indexed="64"/>
      </right>
      <top style="dotted">
        <color indexed="64"/>
      </top>
      <bottom/>
      <diagonal/>
    </border>
    <border>
      <left style="thin">
        <color indexed="64"/>
      </left>
      <right style="dotted">
        <color indexed="64"/>
      </right>
      <top style="dotted">
        <color indexed="64"/>
      </top>
      <bottom/>
      <diagonal/>
    </border>
    <border>
      <left style="hair">
        <color indexed="64"/>
      </left>
      <right/>
      <top/>
      <bottom style="medium">
        <color indexed="64"/>
      </bottom>
      <diagonal/>
    </border>
    <border>
      <left/>
      <right style="dotted">
        <color indexed="64"/>
      </right>
      <top/>
      <bottom style="medium">
        <color indexed="64"/>
      </bottom>
      <diagonal/>
    </border>
    <border>
      <left/>
      <right/>
      <top style="hair">
        <color indexed="64"/>
      </top>
      <bottom style="medium">
        <color indexed="64"/>
      </bottom>
      <diagonal/>
    </border>
    <border>
      <left style="thin">
        <color indexed="64"/>
      </left>
      <right style="dotted">
        <color indexed="64"/>
      </right>
      <top/>
      <bottom style="medium">
        <color auto="1"/>
      </bottom>
      <diagonal/>
    </border>
    <border>
      <left style="thin">
        <color indexed="64"/>
      </left>
      <right style="hair">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diagonal/>
    </border>
    <border>
      <left style="hair">
        <color indexed="64"/>
      </left>
      <right/>
      <top style="dashed">
        <color indexed="64"/>
      </top>
      <bottom/>
      <diagonal/>
    </border>
    <border>
      <left/>
      <right style="thin">
        <color indexed="64"/>
      </right>
      <top style="dashed">
        <color indexed="64"/>
      </top>
      <bottom/>
      <diagonal/>
    </border>
    <border>
      <left/>
      <right/>
      <top style="dashed">
        <color indexed="64"/>
      </top>
      <bottom style="hair">
        <color indexed="64"/>
      </bottom>
      <diagonal/>
    </border>
    <border>
      <left/>
      <right style="dotted">
        <color indexed="64"/>
      </right>
      <top style="dashed">
        <color indexed="64"/>
      </top>
      <bottom style="hair">
        <color indexed="64"/>
      </bottom>
      <diagonal/>
    </border>
    <border>
      <left/>
      <right style="hair">
        <color indexed="64"/>
      </right>
      <top style="dashed">
        <color indexed="64"/>
      </top>
      <bottom style="hair">
        <color indexed="64"/>
      </bottom>
      <diagonal/>
    </border>
    <border>
      <left/>
      <right style="thin">
        <color indexed="64"/>
      </right>
      <top style="dashed">
        <color indexed="64"/>
      </top>
      <bottom style="hair">
        <color indexed="64"/>
      </bottom>
      <diagonal/>
    </border>
    <border>
      <left style="double">
        <color indexed="64"/>
      </left>
      <right style="double">
        <color indexed="64"/>
      </right>
      <top style="thin">
        <color indexed="64"/>
      </top>
      <bottom/>
      <diagonal/>
    </border>
    <border>
      <left style="hair">
        <color indexed="64"/>
      </left>
      <right/>
      <top/>
      <bottom/>
      <diagonal/>
    </border>
    <border>
      <left style="hair">
        <color indexed="64"/>
      </left>
      <right style="dotted">
        <color indexed="64"/>
      </right>
      <top style="hair">
        <color indexed="64"/>
      </top>
      <bottom/>
      <diagonal/>
    </border>
    <border>
      <left/>
      <right style="dotted">
        <color indexed="64"/>
      </right>
      <top style="hair">
        <color indexed="64"/>
      </top>
      <bottom/>
      <diagonal/>
    </border>
    <border>
      <left/>
      <right style="hair">
        <color indexed="64"/>
      </right>
      <top style="hair">
        <color indexed="64"/>
      </top>
      <bottom/>
      <diagonal/>
    </border>
    <border>
      <left style="thin">
        <color indexed="64"/>
      </left>
      <right style="dotted">
        <color indexed="64"/>
      </right>
      <top style="hair">
        <color indexed="64"/>
      </top>
      <bottom style="hair">
        <color indexed="64"/>
      </bottom>
      <diagonal/>
    </border>
    <border>
      <left style="hair">
        <color indexed="64"/>
      </left>
      <right/>
      <top/>
      <bottom style="dashed">
        <color indexed="64"/>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style="thin">
        <color indexed="64"/>
      </left>
      <right style="dotted">
        <color indexed="64"/>
      </right>
      <top style="hair">
        <color indexed="64"/>
      </top>
      <bottom style="dashed">
        <color indexed="64"/>
      </bottom>
      <diagonal/>
    </border>
    <border>
      <left style="hair">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right/>
      <top style="dashed">
        <color indexed="64"/>
      </top>
      <bottom style="dashed">
        <color indexed="64"/>
      </bottom>
      <diagonal/>
    </border>
    <border>
      <left style="hair">
        <color indexed="64"/>
      </left>
      <right/>
      <top style="dashed">
        <color indexed="64"/>
      </top>
      <bottom style="hair">
        <color indexed="64"/>
      </bottom>
      <diagonal/>
    </border>
    <border>
      <left style="thin">
        <color indexed="64"/>
      </left>
      <right/>
      <top style="dashed">
        <color indexed="64"/>
      </top>
      <bottom style="hair">
        <color indexed="64"/>
      </bottom>
      <diagonal/>
    </border>
    <border>
      <left style="dotted">
        <color indexed="64"/>
      </left>
      <right/>
      <top style="dashed">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hair">
        <color indexed="64"/>
      </right>
      <top/>
      <bottom/>
      <diagonal/>
    </border>
    <border>
      <left/>
      <right style="dotted">
        <color indexed="64"/>
      </right>
      <top style="dashed">
        <color indexed="64"/>
      </top>
      <bottom/>
      <diagonal/>
    </border>
    <border>
      <left/>
      <right/>
      <top style="dashed">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dotted">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dotted">
        <color indexed="64"/>
      </left>
      <right style="dotted">
        <color indexed="64"/>
      </right>
      <top style="dashed">
        <color indexed="64"/>
      </top>
      <bottom style="hair">
        <color indexed="64"/>
      </bottom>
      <diagonal/>
    </border>
    <border>
      <left style="thin">
        <color indexed="64"/>
      </left>
      <right style="dotted">
        <color indexed="64"/>
      </right>
      <top style="dashed">
        <color indexed="64"/>
      </top>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bottom/>
      <diagonal/>
    </border>
    <border>
      <left style="double">
        <color indexed="64"/>
      </left>
      <right style="double">
        <color indexed="64"/>
      </right>
      <top/>
      <bottom/>
      <diagonal/>
    </border>
    <border>
      <left style="dotted">
        <color indexed="64"/>
      </left>
      <right style="thin">
        <color indexed="64"/>
      </right>
      <top/>
      <bottom style="dashed">
        <color indexed="64"/>
      </bottom>
      <diagonal/>
    </border>
    <border>
      <left/>
      <right style="hair">
        <color indexed="64"/>
      </right>
      <top style="dashed">
        <color indexed="64"/>
      </top>
      <bottom/>
      <diagonal/>
    </border>
    <border>
      <left style="dotted">
        <color indexed="64"/>
      </left>
      <right style="dotted">
        <color indexed="64"/>
      </right>
      <top style="hair">
        <color indexed="64"/>
      </top>
      <bottom/>
      <diagonal/>
    </border>
    <border>
      <left style="dotted">
        <color indexed="64"/>
      </left>
      <right/>
      <top style="hair">
        <color indexed="64"/>
      </top>
      <bottom/>
      <diagonal/>
    </border>
    <border>
      <left style="hair">
        <color indexed="64"/>
      </left>
      <right/>
      <top style="thin">
        <color indexed="64"/>
      </top>
      <bottom/>
      <diagonal/>
    </border>
    <border>
      <left style="dotted">
        <color indexed="64"/>
      </left>
      <right style="dotted">
        <color indexed="64"/>
      </right>
      <top style="thin">
        <color indexed="64"/>
      </top>
      <bottom/>
      <diagonal/>
    </border>
    <border>
      <left/>
      <right style="hair">
        <color indexed="64"/>
      </right>
      <top style="thin">
        <color indexed="64"/>
      </top>
      <bottom/>
      <diagonal/>
    </border>
    <border diagonalUp="1">
      <left style="double">
        <color indexed="64"/>
      </left>
      <right style="double">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dotted">
        <color indexed="64"/>
      </left>
      <right/>
      <top style="hair">
        <color indexed="64"/>
      </top>
      <bottom style="thin">
        <color indexed="64"/>
      </bottom>
      <diagonal/>
    </border>
    <border>
      <left style="dotted">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dashed">
        <color indexed="64"/>
      </top>
      <bottom style="thin">
        <color indexed="64"/>
      </bottom>
      <diagonal/>
    </border>
    <border>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diagonalUp="1">
      <left style="medium">
        <color indexed="64"/>
      </left>
      <right style="medium">
        <color indexed="64"/>
      </right>
      <top style="medium">
        <color indexed="64"/>
      </top>
      <bottom style="thin">
        <color indexed="64"/>
      </bottom>
      <diagonal style="thin">
        <color indexed="64"/>
      </diagonal>
    </border>
    <border>
      <left style="hair">
        <color indexed="64"/>
      </left>
      <right/>
      <top style="dotted">
        <color indexed="64"/>
      </top>
      <bottom style="dotted">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left style="hair">
        <color indexed="64"/>
      </left>
      <right/>
      <top style="dotted">
        <color indexed="64"/>
      </top>
      <bottom style="thin">
        <color indexed="64"/>
      </bottom>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style="hair">
        <color indexed="64"/>
      </left>
      <right style="dotted">
        <color indexed="64"/>
      </right>
      <top style="medium">
        <color indexed="64"/>
      </top>
      <bottom style="dashed">
        <color indexed="64"/>
      </bottom>
      <diagonal/>
    </border>
    <border>
      <left style="hair">
        <color indexed="64"/>
      </left>
      <right style="dotted">
        <color indexed="64"/>
      </right>
      <top style="dashed">
        <color indexed="64"/>
      </top>
      <bottom style="dashed">
        <color indexed="64"/>
      </bottom>
      <diagonal/>
    </border>
    <border>
      <left style="hair">
        <color indexed="64"/>
      </left>
      <right style="dotted">
        <color indexed="64"/>
      </right>
      <top style="dashed">
        <color indexed="64"/>
      </top>
      <bottom style="thin">
        <color indexed="64"/>
      </bottom>
      <diagonal/>
    </border>
    <border>
      <left style="dotted">
        <color indexed="64"/>
      </left>
      <right/>
      <top style="dotted">
        <color indexed="64"/>
      </top>
      <bottom style="hair">
        <color indexed="64"/>
      </bottom>
      <diagonal/>
    </border>
    <border>
      <left style="dotted">
        <color indexed="64"/>
      </left>
      <right style="hair">
        <color indexed="64"/>
      </right>
      <top style="medium">
        <color indexed="64"/>
      </top>
      <bottom style="dashed">
        <color indexed="64"/>
      </bottom>
      <diagonal/>
    </border>
    <border>
      <left style="dotted">
        <color indexed="64"/>
      </left>
      <right style="hair">
        <color indexed="64"/>
      </right>
      <top style="dashed">
        <color indexed="64"/>
      </top>
      <bottom style="dashed">
        <color indexed="64"/>
      </bottom>
      <diagonal/>
    </border>
    <border>
      <left style="dotted">
        <color indexed="64"/>
      </left>
      <right style="hair">
        <color indexed="64"/>
      </right>
      <top style="dashed">
        <color indexed="64"/>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dotted">
        <color indexed="64"/>
      </left>
      <right style="thin">
        <color indexed="64"/>
      </right>
      <top style="medium">
        <color indexed="64"/>
      </top>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top style="dashed">
        <color indexed="64"/>
      </top>
      <bottom/>
      <diagonal/>
    </border>
    <border>
      <left style="thin">
        <color indexed="64"/>
      </left>
      <right style="dotted">
        <color indexed="64"/>
      </right>
      <top style="hair">
        <color indexed="64"/>
      </top>
      <bottom/>
      <diagonal/>
    </border>
    <border>
      <left style="double">
        <color indexed="64"/>
      </left>
      <right/>
      <top style="thin">
        <color indexed="64"/>
      </top>
      <bottom style="thin">
        <color indexed="64"/>
      </bottom>
      <diagonal/>
    </border>
    <border>
      <left style="hair">
        <color indexed="64"/>
      </left>
      <right style="dotted">
        <color indexed="64"/>
      </right>
      <top style="hair">
        <color indexed="64"/>
      </top>
      <bottom style="hair">
        <color indexed="64"/>
      </bottom>
      <diagonal/>
    </border>
    <border>
      <left/>
      <right style="hair">
        <color indexed="64"/>
      </right>
      <top style="thin">
        <color indexed="64"/>
      </top>
      <bottom style="thin">
        <color indexed="64"/>
      </bottom>
      <diagonal/>
    </border>
    <border>
      <left style="dotted">
        <color indexed="64"/>
      </left>
      <right/>
      <top/>
      <bottom style="medium">
        <color indexed="64"/>
      </bottom>
      <diagonal/>
    </border>
    <border>
      <left style="hair">
        <color indexed="64"/>
      </left>
      <right style="hair">
        <color indexed="64"/>
      </right>
      <top style="dashed">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tted">
        <color indexed="64"/>
      </right>
      <top style="medium">
        <color indexed="64"/>
      </top>
      <bottom style="hair">
        <color indexed="64"/>
      </bottom>
      <diagonal/>
    </border>
    <border>
      <left style="hair">
        <color indexed="64"/>
      </left>
      <right style="dotted">
        <color indexed="64"/>
      </right>
      <top style="thin">
        <color indexed="64"/>
      </top>
      <bottom style="medium">
        <color indexed="64"/>
      </bottom>
      <diagonal/>
    </border>
    <border>
      <left style="dotted">
        <color indexed="64"/>
      </left>
      <right/>
      <top style="thin">
        <color indexed="64"/>
      </top>
      <bottom style="dashed">
        <color indexed="64"/>
      </bottom>
      <diagonal/>
    </border>
    <border>
      <left/>
      <right style="dotted">
        <color indexed="64"/>
      </right>
      <top style="thin">
        <color indexed="64"/>
      </top>
      <bottom style="dashed">
        <color indexed="64"/>
      </bottom>
      <diagonal/>
    </border>
    <border>
      <left style="medium">
        <color indexed="64"/>
      </left>
      <right style="hair">
        <color indexed="64"/>
      </right>
      <top style="medium">
        <color indexed="64"/>
      </top>
      <bottom/>
      <diagonal/>
    </border>
    <border>
      <left style="medium">
        <color indexed="64"/>
      </left>
      <right/>
      <top style="dotted">
        <color indexed="64"/>
      </top>
      <bottom/>
      <diagonal/>
    </border>
    <border>
      <left/>
      <right/>
      <top style="medium">
        <color indexed="64"/>
      </top>
      <bottom style="dashed">
        <color indexed="64"/>
      </bottom>
      <diagonal/>
    </border>
    <border>
      <left style="dotted">
        <color indexed="64"/>
      </left>
      <right style="thin">
        <color indexed="64"/>
      </right>
      <top style="medium">
        <color indexed="64"/>
      </top>
      <bottom style="dashed">
        <color indexed="64"/>
      </bottom>
      <diagonal/>
    </border>
    <border>
      <left/>
      <right style="hair">
        <color indexed="64"/>
      </right>
      <top style="medium">
        <color indexed="64"/>
      </top>
      <bottom style="hair">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hair">
        <color indexed="64"/>
      </top>
      <bottom style="thin">
        <color indexed="64"/>
      </bottom>
      <diagonal/>
    </border>
    <border>
      <left style="hair">
        <color indexed="64"/>
      </left>
      <right style="dotted">
        <color indexed="64"/>
      </right>
      <top style="dashed">
        <color indexed="64"/>
      </top>
      <bottom style="hair">
        <color indexed="64"/>
      </bottom>
      <diagonal/>
    </border>
    <border>
      <left style="hair">
        <color indexed="64"/>
      </left>
      <right style="hair">
        <color indexed="64"/>
      </right>
      <top style="hair">
        <color indexed="64"/>
      </top>
      <bottom style="dashed">
        <color indexed="64"/>
      </bottom>
      <diagonal/>
    </border>
    <border>
      <left style="dotted">
        <color indexed="64"/>
      </left>
      <right/>
      <top style="medium">
        <color indexed="64"/>
      </top>
      <bottom style="hair">
        <color indexed="64"/>
      </bottom>
      <diagonal/>
    </border>
    <border>
      <left style="dotted">
        <color indexed="64"/>
      </left>
      <right/>
      <top style="hair">
        <color indexed="64"/>
      </top>
      <bottom style="dashed">
        <color indexed="64"/>
      </bottom>
      <diagonal/>
    </border>
    <border>
      <left/>
      <right/>
      <top style="hair">
        <color indexed="64"/>
      </top>
      <bottom style="dashed">
        <color indexed="64"/>
      </bottom>
      <diagonal/>
    </border>
    <border>
      <left/>
      <right style="hair">
        <color indexed="64"/>
      </right>
      <top style="hair">
        <color indexed="64"/>
      </top>
      <bottom style="dashed">
        <color indexed="64"/>
      </bottom>
      <diagonal/>
    </border>
    <border>
      <left style="dotted">
        <color indexed="64"/>
      </left>
      <right style="hair">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dashed">
        <color indexed="64"/>
      </top>
      <bottom/>
      <diagonal/>
    </border>
    <border>
      <left style="dotted">
        <color indexed="64"/>
      </left>
      <right style="thin">
        <color indexed="64"/>
      </right>
      <top style="thin">
        <color indexed="64"/>
      </top>
      <bottom/>
      <diagonal/>
    </border>
    <border>
      <left style="hair">
        <color indexed="64"/>
      </left>
      <right style="thin">
        <color indexed="64"/>
      </right>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diagonalUp="1">
      <left/>
      <right style="thin">
        <color indexed="64"/>
      </right>
      <top style="medium">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right style="thin">
        <color indexed="64"/>
      </right>
      <top style="dashed">
        <color indexed="64"/>
      </top>
      <bottom style="medium">
        <color indexed="64"/>
      </bottom>
      <diagonal style="thin">
        <color indexed="64"/>
      </diagonal>
    </border>
    <border diagonalUp="1">
      <left style="double">
        <color auto="1"/>
      </left>
      <right/>
      <top style="medium">
        <color indexed="64"/>
      </top>
      <bottom/>
      <diagonal style="thin">
        <color indexed="64"/>
      </diagonal>
    </border>
    <border diagonalUp="1">
      <left style="double">
        <color auto="1"/>
      </left>
      <right/>
      <top/>
      <bottom/>
      <diagonal style="thin">
        <color indexed="64"/>
      </diagonal>
    </border>
    <border diagonalUp="1">
      <left style="double">
        <color auto="1"/>
      </left>
      <right/>
      <top/>
      <bottom style="medium">
        <color indexed="64"/>
      </bottom>
      <diagonal style="thin">
        <color indexed="64"/>
      </diagonal>
    </border>
    <border diagonalUp="1">
      <left style="dotted">
        <color indexed="64"/>
      </left>
      <right style="thin">
        <color indexed="64"/>
      </right>
      <top style="medium">
        <color indexed="64"/>
      </top>
      <bottom/>
      <diagonal style="thin">
        <color indexed="64"/>
      </diagonal>
    </border>
    <border diagonalUp="1">
      <left style="dotted">
        <color indexed="64"/>
      </left>
      <right style="thin">
        <color indexed="64"/>
      </right>
      <top/>
      <bottom/>
      <diagonal style="thin">
        <color indexed="64"/>
      </diagonal>
    </border>
    <border diagonalUp="1">
      <left style="dotted">
        <color indexed="64"/>
      </left>
      <right style="thin">
        <color auto="1"/>
      </right>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6">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12" fillId="0" borderId="0"/>
    <xf numFmtId="0" fontId="13" fillId="0" borderId="0">
      <alignment vertical="center"/>
    </xf>
    <xf numFmtId="0" fontId="2" fillId="0" borderId="0">
      <alignment vertical="center"/>
    </xf>
    <xf numFmtId="0" fontId="20" fillId="0" borderId="0">
      <alignment vertical="center"/>
    </xf>
    <xf numFmtId="0" fontId="6" fillId="0" borderId="0">
      <alignment vertical="center"/>
    </xf>
    <xf numFmtId="0" fontId="58" fillId="0" borderId="0"/>
    <xf numFmtId="0" fontId="65" fillId="0" borderId="0" applyNumberFormat="0" applyFill="0" applyBorder="0" applyAlignment="0" applyProtection="0">
      <alignment vertical="center"/>
    </xf>
    <xf numFmtId="0" fontId="58" fillId="0" borderId="0"/>
    <xf numFmtId="0" fontId="13" fillId="0" borderId="0">
      <alignment vertical="center"/>
    </xf>
    <xf numFmtId="0" fontId="70" fillId="0" borderId="0"/>
  </cellStyleXfs>
  <cellXfs count="1838">
    <xf numFmtId="0" fontId="0" fillId="0" borderId="0" xfId="0">
      <alignment vertical="center"/>
    </xf>
    <xf numFmtId="0" fontId="18" fillId="7" borderId="15" xfId="3" applyNumberFormat="1" applyFont="1" applyFill="1" applyBorder="1" applyAlignment="1" applyProtection="1">
      <alignment horizontal="center" vertical="center"/>
    </xf>
    <xf numFmtId="0" fontId="19" fillId="7" borderId="6" xfId="3" applyNumberFormat="1" applyFont="1" applyFill="1" applyBorder="1" applyAlignment="1" applyProtection="1">
      <alignment horizontal="center" vertical="center"/>
    </xf>
    <xf numFmtId="0" fontId="19" fillId="7" borderId="17" xfId="3" applyNumberFormat="1" applyFont="1" applyFill="1" applyBorder="1" applyAlignment="1" applyProtection="1">
      <alignment horizontal="center" vertical="center"/>
    </xf>
    <xf numFmtId="0" fontId="19" fillId="7" borderId="18" xfId="3" applyNumberFormat="1" applyFont="1" applyFill="1" applyBorder="1" applyAlignment="1" applyProtection="1">
      <alignment horizontal="center" vertical="center"/>
    </xf>
    <xf numFmtId="0" fontId="19" fillId="7" borderId="14" xfId="3" applyNumberFormat="1" applyFont="1" applyFill="1" applyBorder="1" applyAlignment="1" applyProtection="1">
      <alignment horizontal="center" vertical="center"/>
    </xf>
    <xf numFmtId="0" fontId="18" fillId="7" borderId="19" xfId="3" applyNumberFormat="1" applyFont="1" applyFill="1" applyBorder="1" applyAlignment="1" applyProtection="1">
      <alignment horizontal="center" vertical="center"/>
    </xf>
    <xf numFmtId="0" fontId="18" fillId="7" borderId="31" xfId="3" applyNumberFormat="1" applyFont="1" applyFill="1" applyBorder="1" applyAlignment="1" applyProtection="1">
      <alignment horizontal="center" vertical="center"/>
    </xf>
    <xf numFmtId="0" fontId="18" fillId="7" borderId="16" xfId="3" applyNumberFormat="1" applyFont="1" applyFill="1" applyBorder="1" applyAlignment="1" applyProtection="1">
      <alignment horizontal="center" vertical="center"/>
    </xf>
    <xf numFmtId="0" fontId="18" fillId="7" borderId="0" xfId="3" applyNumberFormat="1" applyFont="1" applyFill="1" applyBorder="1" applyAlignment="1" applyProtection="1">
      <alignment horizontal="center" vertical="center"/>
    </xf>
    <xf numFmtId="0" fontId="18" fillId="0" borderId="0" xfId="9" applyFont="1" applyProtection="1">
      <alignment vertical="center"/>
    </xf>
    <xf numFmtId="0" fontId="18" fillId="0" borderId="0" xfId="9" applyFont="1" applyFill="1" applyAlignment="1" applyProtection="1">
      <alignment horizontal="center" vertical="center"/>
    </xf>
    <xf numFmtId="0" fontId="2" fillId="0" borderId="0" xfId="3" applyProtection="1"/>
    <xf numFmtId="0" fontId="19" fillId="7" borderId="8" xfId="3" applyNumberFormat="1" applyFont="1" applyFill="1" applyBorder="1" applyAlignment="1" applyProtection="1">
      <alignment horizontal="center" vertical="center"/>
    </xf>
    <xf numFmtId="0" fontId="19" fillId="7" borderId="4" xfId="3" applyNumberFormat="1" applyFont="1" applyFill="1" applyBorder="1" applyAlignment="1" applyProtection="1">
      <alignment horizontal="center" vertical="center"/>
    </xf>
    <xf numFmtId="0" fontId="19" fillId="7" borderId="8" xfId="3" applyNumberFormat="1" applyFont="1" applyFill="1" applyBorder="1" applyAlignment="1" applyProtection="1">
      <alignment horizontal="center" vertical="center" wrapText="1"/>
    </xf>
    <xf numFmtId="0" fontId="21" fillId="0" borderId="0" xfId="3" applyNumberFormat="1" applyFont="1" applyBorder="1" applyAlignment="1" applyProtection="1">
      <alignment horizontal="center" vertical="center"/>
    </xf>
    <xf numFmtId="0" fontId="21" fillId="0" borderId="21" xfId="3" applyNumberFormat="1" applyFont="1" applyBorder="1" applyAlignment="1" applyProtection="1">
      <alignment horizontal="center" vertical="center"/>
    </xf>
    <xf numFmtId="0" fontId="18" fillId="0" borderId="0" xfId="3" applyNumberFormat="1" applyFont="1" applyFill="1" applyAlignment="1" applyProtection="1">
      <alignment horizontal="center" vertical="center"/>
    </xf>
    <xf numFmtId="0" fontId="19" fillId="8" borderId="19" xfId="9" applyFont="1" applyFill="1" applyBorder="1" applyAlignment="1" applyProtection="1">
      <alignment vertical="center" wrapText="1"/>
    </xf>
    <xf numFmtId="0" fontId="19" fillId="0" borderId="31" xfId="9" applyFont="1" applyBorder="1" applyAlignment="1" applyProtection="1">
      <alignment vertical="center" wrapText="1"/>
    </xf>
    <xf numFmtId="0" fontId="2" fillId="0" borderId="31" xfId="3" applyBorder="1" applyAlignment="1" applyProtection="1">
      <alignment wrapText="1"/>
    </xf>
    <xf numFmtId="0" fontId="2" fillId="0" borderId="31" xfId="3" applyBorder="1" applyProtection="1"/>
    <xf numFmtId="0" fontId="2" fillId="0" borderId="16" xfId="3" applyBorder="1" applyProtection="1"/>
    <xf numFmtId="0" fontId="19" fillId="0" borderId="84" xfId="3" applyNumberFormat="1" applyFont="1" applyFill="1" applyBorder="1" applyAlignment="1" applyProtection="1">
      <alignment horizontal="center" vertical="center"/>
    </xf>
    <xf numFmtId="0" fontId="19" fillId="0" borderId="19" xfId="3" applyNumberFormat="1" applyFont="1" applyFill="1" applyBorder="1" applyAlignment="1" applyProtection="1">
      <alignment horizontal="center" vertical="center"/>
    </xf>
    <xf numFmtId="0" fontId="18" fillId="0" borderId="0" xfId="3" applyNumberFormat="1" applyFont="1" applyFill="1" applyAlignment="1" applyProtection="1">
      <alignment vertical="center"/>
    </xf>
    <xf numFmtId="0" fontId="19" fillId="0" borderId="0" xfId="9" applyFont="1" applyProtection="1">
      <alignment vertical="center"/>
    </xf>
    <xf numFmtId="0" fontId="19" fillId="0" borderId="0" xfId="9" applyFont="1" applyFill="1" applyAlignment="1" applyProtection="1">
      <alignment horizontal="center" vertical="center"/>
    </xf>
    <xf numFmtId="0" fontId="19" fillId="0" borderId="21" xfId="9" applyNumberFormat="1" applyFont="1" applyFill="1" applyBorder="1" applyProtection="1">
      <alignment vertical="center"/>
    </xf>
    <xf numFmtId="0" fontId="19" fillId="0" borderId="0" xfId="9" applyNumberFormat="1" applyFont="1" applyFill="1" applyBorder="1" applyProtection="1">
      <alignment vertical="center"/>
    </xf>
    <xf numFmtId="0" fontId="2" fillId="0" borderId="0" xfId="3" applyBorder="1" applyProtection="1"/>
    <xf numFmtId="0" fontId="2" fillId="0" borderId="15" xfId="3" applyBorder="1" applyProtection="1"/>
    <xf numFmtId="0" fontId="19" fillId="0" borderId="0" xfId="3" applyNumberFormat="1" applyFont="1" applyFill="1" applyBorder="1" applyAlignment="1" applyProtection="1">
      <alignment horizontal="center" vertical="center"/>
    </xf>
    <xf numFmtId="0" fontId="19" fillId="9" borderId="21" xfId="9" applyNumberFormat="1" applyFont="1" applyFill="1" applyBorder="1" applyProtection="1">
      <alignment vertical="center"/>
    </xf>
    <xf numFmtId="0" fontId="19" fillId="0" borderId="21" xfId="9" applyFont="1" applyBorder="1" applyProtection="1">
      <alignment vertical="center"/>
    </xf>
    <xf numFmtId="0" fontId="19" fillId="0" borderId="0" xfId="9" applyFont="1" applyBorder="1" applyProtection="1">
      <alignment vertical="center"/>
    </xf>
    <xf numFmtId="0" fontId="18" fillId="0" borderId="0" xfId="9" applyFont="1" applyBorder="1" applyProtection="1">
      <alignment vertical="center"/>
    </xf>
    <xf numFmtId="0" fontId="22" fillId="0" borderId="19" xfId="3" applyNumberFormat="1" applyFont="1" applyFill="1" applyBorder="1" applyAlignment="1" applyProtection="1">
      <alignment horizontal="center" vertical="center"/>
    </xf>
    <xf numFmtId="0" fontId="19" fillId="0" borderId="20" xfId="9" applyFont="1" applyBorder="1" applyProtection="1">
      <alignment vertical="center"/>
    </xf>
    <xf numFmtId="0" fontId="19" fillId="0" borderId="10" xfId="9" applyFont="1" applyBorder="1" applyProtection="1">
      <alignment vertical="center"/>
    </xf>
    <xf numFmtId="0" fontId="18" fillId="0" borderId="10" xfId="9" applyFont="1" applyBorder="1" applyProtection="1">
      <alignment vertical="center"/>
    </xf>
    <xf numFmtId="0" fontId="2" fillId="0" borderId="10" xfId="3" applyBorder="1" applyProtection="1"/>
    <xf numFmtId="0" fontId="2" fillId="0" borderId="13" xfId="3" applyBorder="1" applyProtection="1"/>
    <xf numFmtId="0" fontId="22" fillId="0" borderId="0" xfId="9" applyFont="1" applyProtection="1">
      <alignment vertical="center"/>
    </xf>
    <xf numFmtId="0" fontId="19" fillId="0" borderId="19" xfId="3" applyNumberFormat="1" applyFont="1" applyFill="1" applyBorder="1" applyAlignment="1" applyProtection="1">
      <alignment horizontal="center" vertical="center" shrinkToFit="1"/>
    </xf>
    <xf numFmtId="0" fontId="18" fillId="0" borderId="0"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vertical="center"/>
    </xf>
    <xf numFmtId="0" fontId="19" fillId="0" borderId="19" xfId="3" applyNumberFormat="1" applyFont="1" applyFill="1" applyBorder="1" applyAlignment="1" applyProtection="1">
      <alignment vertical="center"/>
    </xf>
    <xf numFmtId="0" fontId="22" fillId="0" borderId="19" xfId="3" applyNumberFormat="1" applyFont="1" applyFill="1" applyBorder="1" applyAlignment="1" applyProtection="1">
      <alignment vertical="center"/>
    </xf>
    <xf numFmtId="0" fontId="18" fillId="0" borderId="31" xfId="3" applyNumberFormat="1" applyFont="1" applyFill="1" applyBorder="1" applyAlignment="1" applyProtection="1">
      <alignment horizontal="center" vertical="center"/>
    </xf>
    <xf numFmtId="0" fontId="23" fillId="0" borderId="19" xfId="3" applyNumberFormat="1" applyFont="1" applyFill="1" applyBorder="1" applyAlignment="1" applyProtection="1">
      <alignment horizontal="center" vertical="center" shrinkToFit="1"/>
    </xf>
    <xf numFmtId="0" fontId="23" fillId="0" borderId="19" xfId="3" applyNumberFormat="1" applyFont="1" applyFill="1" applyBorder="1" applyAlignment="1" applyProtection="1">
      <alignment horizontal="center" vertical="center"/>
    </xf>
    <xf numFmtId="0" fontId="18" fillId="0" borderId="19" xfId="3" applyNumberFormat="1" applyFont="1" applyFill="1" applyBorder="1" applyAlignment="1" applyProtection="1">
      <alignment horizontal="center" vertical="center" shrinkToFit="1"/>
    </xf>
    <xf numFmtId="0" fontId="18" fillId="0" borderId="19" xfId="3" applyNumberFormat="1" applyFont="1" applyFill="1" applyBorder="1" applyAlignment="1" applyProtection="1">
      <alignment horizontal="right" vertical="center"/>
    </xf>
    <xf numFmtId="0" fontId="21" fillId="10" borderId="84" xfId="3" applyFont="1" applyFill="1" applyBorder="1" applyAlignment="1" applyProtection="1">
      <alignment vertical="center"/>
    </xf>
    <xf numFmtId="0" fontId="21" fillId="0" borderId="19" xfId="3" applyNumberFormat="1" applyFont="1" applyBorder="1" applyAlignment="1" applyProtection="1">
      <alignment horizontal="center" vertical="center"/>
    </xf>
    <xf numFmtId="0" fontId="21" fillId="0" borderId="19" xfId="3" applyFont="1" applyBorder="1" applyAlignment="1" applyProtection="1">
      <alignment horizontal="center" vertical="center"/>
    </xf>
    <xf numFmtId="0" fontId="21" fillId="0" borderId="19" xfId="3" applyFont="1" applyBorder="1" applyAlignment="1" applyProtection="1">
      <alignment vertical="center"/>
    </xf>
    <xf numFmtId="0" fontId="21" fillId="0" borderId="19" xfId="3" applyFont="1" applyFill="1" applyBorder="1" applyAlignment="1" applyProtection="1">
      <alignment vertical="center"/>
    </xf>
    <xf numFmtId="0" fontId="21" fillId="0" borderId="19" xfId="3" applyFont="1" applyFill="1" applyBorder="1" applyAlignment="1" applyProtection="1">
      <alignment horizontal="center" vertical="center"/>
    </xf>
    <xf numFmtId="1" fontId="18" fillId="0" borderId="0" xfId="3" applyNumberFormat="1" applyFont="1" applyAlignment="1" applyProtection="1">
      <alignment vertical="center"/>
    </xf>
    <xf numFmtId="0" fontId="4" fillId="2" borderId="145" xfId="3" applyFont="1" applyFill="1" applyBorder="1" applyAlignment="1" applyProtection="1">
      <alignment horizontal="center" vertical="center" shrinkToFit="1"/>
    </xf>
    <xf numFmtId="0" fontId="4" fillId="2" borderId="129" xfId="3" applyFont="1" applyFill="1" applyBorder="1" applyAlignment="1" applyProtection="1">
      <alignment horizontal="center" vertical="center" shrinkToFit="1"/>
    </xf>
    <xf numFmtId="0" fontId="4" fillId="0" borderId="0" xfId="3" applyFont="1" applyAlignment="1" applyProtection="1">
      <alignment shrinkToFit="1"/>
    </xf>
    <xf numFmtId="0" fontId="29" fillId="0" borderId="0" xfId="3" applyFont="1" applyFill="1" applyBorder="1" applyAlignment="1" applyProtection="1">
      <alignment horizontal="left"/>
    </xf>
    <xf numFmtId="0" fontId="2" fillId="0" borderId="0" xfId="3" applyAlignment="1">
      <alignment horizontal="left"/>
    </xf>
    <xf numFmtId="0" fontId="2" fillId="0" borderId="0" xfId="3" applyFill="1" applyBorder="1" applyAlignment="1">
      <alignment horizontal="left"/>
    </xf>
    <xf numFmtId="0" fontId="2" fillId="0" borderId="0" xfId="3"/>
    <xf numFmtId="0" fontId="24" fillId="0" borderId="0" xfId="3" applyFont="1" applyFill="1" applyBorder="1" applyAlignment="1" applyProtection="1">
      <alignment horizontal="left" vertical="center"/>
    </xf>
    <xf numFmtId="0" fontId="5" fillId="10" borderId="111" xfId="3" applyFont="1" applyFill="1" applyBorder="1" applyAlignment="1">
      <alignment horizontal="center" vertical="center"/>
    </xf>
    <xf numFmtId="0" fontId="5" fillId="10" borderId="147" xfId="3" applyFont="1" applyFill="1" applyBorder="1" applyAlignment="1">
      <alignment horizontal="center" vertical="center"/>
    </xf>
    <xf numFmtId="0" fontId="5" fillId="3" borderId="110" xfId="3" applyFont="1" applyFill="1" applyBorder="1" applyAlignment="1">
      <alignment horizontal="center" vertical="center"/>
    </xf>
    <xf numFmtId="0" fontId="5" fillId="3" borderId="147" xfId="3" applyFont="1" applyFill="1" applyBorder="1" applyAlignment="1">
      <alignment horizontal="center" vertical="center"/>
    </xf>
    <xf numFmtId="191" fontId="2" fillId="11" borderId="110" xfId="3" applyNumberFormat="1" applyFill="1" applyBorder="1" applyAlignment="1" applyProtection="1">
      <alignment horizontal="left" shrinkToFit="1"/>
      <protection locked="0"/>
    </xf>
    <xf numFmtId="191" fontId="2" fillId="11" borderId="147" xfId="3" applyNumberFormat="1" applyFill="1" applyBorder="1" applyAlignment="1" applyProtection="1">
      <alignment horizontal="left" shrinkToFit="1"/>
      <protection locked="0"/>
    </xf>
    <xf numFmtId="14" fontId="2" fillId="0" borderId="0" xfId="3" applyNumberFormat="1"/>
    <xf numFmtId="0" fontId="11" fillId="0" borderId="0" xfId="0" applyFont="1" applyFill="1" applyBorder="1" applyAlignment="1" applyProtection="1">
      <alignment horizontal="left" vertical="center" wrapText="1"/>
    </xf>
    <xf numFmtId="0" fontId="11" fillId="0" borderId="0" xfId="0" applyFont="1" applyBorder="1" applyAlignment="1" applyProtection="1">
      <alignment vertical="center"/>
    </xf>
    <xf numFmtId="0" fontId="11" fillId="0" borderId="0" xfId="0" applyFont="1" applyFill="1" applyAlignment="1" applyProtection="1">
      <alignment vertical="center"/>
    </xf>
    <xf numFmtId="0" fontId="11" fillId="0" borderId="0" xfId="0" applyFont="1" applyFill="1" applyBorder="1" applyAlignment="1" applyProtection="1">
      <alignment vertical="center" wrapText="1"/>
    </xf>
    <xf numFmtId="0" fontId="11" fillId="0" borderId="0" xfId="0" applyFont="1" applyFill="1" applyBorder="1" applyAlignment="1" applyProtection="1">
      <alignment vertical="center"/>
    </xf>
    <xf numFmtId="0" fontId="11" fillId="0" borderId="0" xfId="0" applyFont="1" applyAlignment="1" applyProtection="1">
      <alignment vertical="center"/>
    </xf>
    <xf numFmtId="0" fontId="11" fillId="0" borderId="6" xfId="0" applyFont="1" applyBorder="1" applyAlignment="1" applyProtection="1">
      <alignment vertical="center"/>
    </xf>
    <xf numFmtId="0" fontId="11" fillId="0" borderId="17" xfId="0" applyFont="1" applyBorder="1" applyAlignment="1" applyProtection="1">
      <alignment vertical="center"/>
    </xf>
    <xf numFmtId="0" fontId="11" fillId="0" borderId="19" xfId="0" applyFont="1" applyBorder="1" applyAlignment="1" applyProtection="1">
      <alignment vertical="center"/>
    </xf>
    <xf numFmtId="0" fontId="11" fillId="0" borderId="4" xfId="0" applyFont="1" applyBorder="1" applyAlignment="1" applyProtection="1">
      <alignment vertical="center"/>
    </xf>
    <xf numFmtId="0" fontId="11" fillId="0" borderId="14" xfId="0" applyFont="1" applyBorder="1" applyAlignment="1" applyProtection="1">
      <alignment vertical="center"/>
    </xf>
    <xf numFmtId="0" fontId="11" fillId="0" borderId="4" xfId="0" applyFont="1" applyFill="1" applyBorder="1" applyAlignment="1" applyProtection="1">
      <alignment vertical="center"/>
    </xf>
    <xf numFmtId="0" fontId="11" fillId="0" borderId="9" xfId="0" applyFont="1" applyFill="1" applyBorder="1" applyAlignment="1" applyProtection="1">
      <alignment vertical="center"/>
    </xf>
    <xf numFmtId="0" fontId="11" fillId="0" borderId="17" xfId="0" applyFont="1" applyFill="1" applyBorder="1" applyAlignment="1" applyProtection="1">
      <alignment vertical="center"/>
    </xf>
    <xf numFmtId="0" fontId="8" fillId="0" borderId="0" xfId="0" applyFont="1" applyAlignment="1" applyProtection="1">
      <alignment vertical="center"/>
    </xf>
    <xf numFmtId="0" fontId="8" fillId="0" borderId="0" xfId="0" applyFont="1" applyProtection="1">
      <alignment vertical="center"/>
    </xf>
    <xf numFmtId="0" fontId="4" fillId="0" borderId="4" xfId="3" applyFont="1" applyBorder="1" applyAlignment="1" applyProtection="1">
      <alignment horizontal="center" vertical="center" shrinkToFit="1"/>
    </xf>
    <xf numFmtId="0" fontId="37" fillId="0" borderId="0" xfId="3" applyFont="1" applyAlignment="1" applyProtection="1">
      <alignment vertical="center" shrinkToFit="1"/>
    </xf>
    <xf numFmtId="0" fontId="8" fillId="0" borderId="4" xfId="0" applyFont="1" applyBorder="1" applyProtection="1">
      <alignment vertical="center"/>
    </xf>
    <xf numFmtId="0" fontId="8" fillId="0" borderId="17" xfId="0" applyFont="1" applyBorder="1" applyProtection="1">
      <alignment vertical="center"/>
    </xf>
    <xf numFmtId="0" fontId="8" fillId="0" borderId="34" xfId="0" applyFont="1" applyBorder="1" applyAlignment="1" applyProtection="1">
      <alignment vertical="center"/>
    </xf>
    <xf numFmtId="0" fontId="37" fillId="0" borderId="0" xfId="3" applyFont="1" applyAlignment="1" applyProtection="1">
      <alignment horizontal="right" vertical="center" textRotation="180" shrinkToFit="1"/>
    </xf>
    <xf numFmtId="0" fontId="37" fillId="2" borderId="0" xfId="3" applyFont="1" applyFill="1" applyAlignment="1" applyProtection="1">
      <alignment horizontal="left" vertical="center"/>
    </xf>
    <xf numFmtId="0" fontId="37" fillId="2" borderId="0" xfId="3" applyFont="1" applyFill="1" applyAlignment="1" applyProtection="1">
      <alignment vertical="center" shrinkToFit="1"/>
    </xf>
    <xf numFmtId="0" fontId="4" fillId="2" borderId="4" xfId="3" applyFont="1" applyFill="1" applyBorder="1" applyAlignment="1" applyProtection="1">
      <alignment horizontal="center" vertical="center" shrinkToFit="1"/>
    </xf>
    <xf numFmtId="0" fontId="4" fillId="0" borderId="4" xfId="3" applyFont="1" applyBorder="1" applyAlignment="1" applyProtection="1">
      <alignment shrinkToFit="1"/>
    </xf>
    <xf numFmtId="0" fontId="4" fillId="0" borderId="0" xfId="3" applyFont="1" applyAlignment="1" applyProtection="1">
      <alignment horizontal="right" vertical="center" textRotation="180" shrinkToFit="1"/>
    </xf>
    <xf numFmtId="0" fontId="37" fillId="2" borderId="39" xfId="3" applyFont="1" applyFill="1" applyBorder="1" applyAlignment="1" applyProtection="1">
      <alignment horizontal="right" vertical="center" shrinkToFit="1"/>
    </xf>
    <xf numFmtId="0" fontId="4" fillId="2" borderId="0" xfId="3" applyFont="1" applyFill="1" applyBorder="1" applyAlignment="1" applyProtection="1">
      <alignment vertical="center" shrinkToFit="1"/>
    </xf>
    <xf numFmtId="0" fontId="4" fillId="0" borderId="0" xfId="3" applyFont="1" applyAlignment="1" applyProtection="1">
      <alignment vertical="top" textRotation="180" shrinkToFit="1"/>
    </xf>
    <xf numFmtId="0" fontId="4" fillId="2" borderId="0" xfId="3" applyFont="1" applyFill="1" applyBorder="1" applyAlignment="1" applyProtection="1">
      <alignment horizontal="right" vertical="center"/>
    </xf>
    <xf numFmtId="0" fontId="4" fillId="2" borderId="0" xfId="3" applyFont="1" applyFill="1" applyAlignment="1" applyProtection="1">
      <alignment shrinkToFit="1"/>
    </xf>
    <xf numFmtId="0" fontId="4" fillId="0" borderId="0" xfId="3" applyFont="1" applyBorder="1" applyAlignment="1" applyProtection="1">
      <alignment shrinkToFit="1"/>
    </xf>
    <xf numFmtId="0" fontId="4" fillId="0" borderId="31" xfId="3" applyFont="1" applyBorder="1" applyAlignment="1" applyProtection="1">
      <alignment shrinkToFit="1"/>
    </xf>
    <xf numFmtId="189" fontId="4" fillId="0" borderId="0" xfId="3" applyNumberFormat="1" applyFont="1" applyBorder="1" applyAlignment="1" applyProtection="1">
      <alignment horizontal="center" vertical="center" shrinkToFit="1"/>
    </xf>
    <xf numFmtId="189" fontId="4" fillId="0" borderId="0" xfId="3" applyNumberFormat="1" applyFont="1" applyAlignment="1" applyProtection="1">
      <alignment shrinkToFit="1"/>
    </xf>
    <xf numFmtId="0" fontId="7" fillId="2" borderId="0" xfId="3" applyFont="1" applyFill="1" applyAlignment="1" applyProtection="1">
      <alignment vertical="center" shrinkToFit="1"/>
    </xf>
    <xf numFmtId="0" fontId="7" fillId="2" borderId="0" xfId="3" applyFont="1" applyFill="1" applyBorder="1" applyAlignment="1" applyProtection="1">
      <alignment vertical="center" shrinkToFit="1"/>
    </xf>
    <xf numFmtId="0" fontId="25" fillId="0" borderId="0" xfId="0" applyFont="1" applyAlignment="1" applyProtection="1">
      <alignment vertical="center"/>
    </xf>
    <xf numFmtId="0" fontId="11" fillId="0" borderId="18" xfId="0" applyFont="1" applyBorder="1" applyProtection="1">
      <alignment vertical="center"/>
    </xf>
    <xf numFmtId="0" fontId="11" fillId="0" borderId="4" xfId="0" applyFont="1" applyBorder="1" applyProtection="1">
      <alignment vertical="center"/>
    </xf>
    <xf numFmtId="0" fontId="11" fillId="0" borderId="4" xfId="0" applyFont="1" applyFill="1" applyBorder="1" applyProtection="1">
      <alignment vertical="center"/>
    </xf>
    <xf numFmtId="0" fontId="11" fillId="0" borderId="14" xfId="0" applyFont="1" applyBorder="1" applyProtection="1">
      <alignment vertical="center"/>
    </xf>
    <xf numFmtId="0" fontId="9" fillId="0" borderId="4" xfId="0" applyFont="1" applyBorder="1" applyProtection="1">
      <alignment vertical="center"/>
    </xf>
    <xf numFmtId="0" fontId="11" fillId="0" borderId="18" xfId="0" applyFont="1" applyFill="1" applyBorder="1" applyProtection="1">
      <alignment vertical="center"/>
    </xf>
    <xf numFmtId="0" fontId="8" fillId="0" borderId="4" xfId="0" applyFont="1" applyBorder="1" applyAlignment="1" applyProtection="1"/>
    <xf numFmtId="0" fontId="11" fillId="0" borderId="0" xfId="0" applyFont="1" applyFill="1" applyProtection="1">
      <alignment vertical="center"/>
    </xf>
    <xf numFmtId="0" fontId="11" fillId="0" borderId="0" xfId="0" applyFont="1" applyProtection="1">
      <alignment vertical="center"/>
    </xf>
    <xf numFmtId="0" fontId="8" fillId="0" borderId="17" xfId="0" applyFont="1" applyFill="1" applyBorder="1" applyProtection="1">
      <alignment vertical="center"/>
    </xf>
    <xf numFmtId="0" fontId="8" fillId="0" borderId="4" xfId="0" applyFont="1" applyFill="1" applyBorder="1" applyProtection="1">
      <alignment vertical="center"/>
    </xf>
    <xf numFmtId="0" fontId="8" fillId="0" borderId="0" xfId="0" applyFont="1" applyFill="1" applyBorder="1" applyProtection="1">
      <alignment vertical="center"/>
    </xf>
    <xf numFmtId="49" fontId="25" fillId="0" borderId="4" xfId="10" applyNumberFormat="1" applyFont="1" applyFill="1" applyBorder="1" applyAlignment="1" applyProtection="1">
      <alignment horizontal="center" vertical="center" shrinkToFit="1"/>
    </xf>
    <xf numFmtId="49" fontId="26" fillId="0" borderId="4" xfId="10" applyNumberFormat="1" applyFont="1" applyFill="1" applyBorder="1" applyAlignment="1" applyProtection="1">
      <alignment vertical="center" shrinkToFit="1"/>
    </xf>
    <xf numFmtId="49" fontId="25" fillId="0" borderId="4" xfId="10" applyNumberFormat="1" applyFont="1" applyFill="1" applyBorder="1" applyAlignment="1" applyProtection="1">
      <alignment vertical="center" shrinkToFit="1"/>
    </xf>
    <xf numFmtId="49" fontId="27" fillId="0" borderId="4" xfId="10" applyNumberFormat="1" applyFont="1" applyFill="1" applyBorder="1" applyAlignment="1" applyProtection="1">
      <alignment vertical="center" shrinkToFit="1"/>
    </xf>
    <xf numFmtId="0" fontId="25" fillId="0" borderId="0" xfId="10" applyNumberFormat="1" applyFont="1" applyFill="1" applyBorder="1" applyProtection="1">
      <alignment vertical="center"/>
    </xf>
    <xf numFmtId="49" fontId="28" fillId="0" borderId="0" xfId="2" applyNumberFormat="1" applyFont="1" applyFill="1" applyBorder="1" applyAlignment="1" applyProtection="1">
      <alignment horizontal="right" vertical="center" shrinkToFit="1"/>
    </xf>
    <xf numFmtId="0" fontId="25" fillId="0" borderId="0" xfId="0" applyFont="1" applyProtection="1">
      <alignment vertical="center"/>
    </xf>
    <xf numFmtId="0" fontId="11" fillId="0" borderId="0" xfId="3" applyFont="1" applyBorder="1" applyAlignment="1" applyProtection="1">
      <alignment vertical="center"/>
    </xf>
    <xf numFmtId="0" fontId="25" fillId="0" borderId="0" xfId="0" applyFont="1" applyBorder="1" applyAlignment="1" applyProtection="1">
      <alignment vertical="center"/>
    </xf>
    <xf numFmtId="0" fontId="11" fillId="0" borderId="0" xfId="0" applyFont="1" applyBorder="1" applyAlignment="1" applyProtection="1">
      <alignment horizontal="center" vertical="center"/>
    </xf>
    <xf numFmtId="0" fontId="8" fillId="5" borderId="155" xfId="0" applyFont="1" applyFill="1" applyBorder="1" applyAlignment="1" applyProtection="1">
      <alignment horizontal="center" vertical="center" shrinkToFit="1"/>
      <protection locked="0"/>
    </xf>
    <xf numFmtId="0" fontId="8" fillId="5" borderId="156" xfId="0" applyFont="1" applyFill="1" applyBorder="1" applyAlignment="1" applyProtection="1">
      <alignment horizontal="center" vertical="center" shrinkToFit="1"/>
      <protection locked="0"/>
    </xf>
    <xf numFmtId="0" fontId="8" fillId="5" borderId="157" xfId="0" applyFont="1" applyFill="1" applyBorder="1" applyAlignment="1" applyProtection="1">
      <alignment horizontal="center" vertical="center" shrinkToFit="1"/>
      <protection locked="0"/>
    </xf>
    <xf numFmtId="0" fontId="8" fillId="5" borderId="158" xfId="0" applyFont="1" applyFill="1" applyBorder="1" applyAlignment="1" applyProtection="1">
      <alignment horizontal="center" vertical="center" shrinkToFit="1"/>
      <protection locked="0"/>
    </xf>
    <xf numFmtId="0" fontId="8" fillId="5" borderId="159" xfId="0" applyFont="1" applyFill="1" applyBorder="1" applyAlignment="1" applyProtection="1">
      <alignment horizontal="center" vertical="center" shrinkToFit="1"/>
      <protection locked="0"/>
    </xf>
    <xf numFmtId="0" fontId="8" fillId="5" borderId="160" xfId="0" applyFont="1" applyFill="1" applyBorder="1" applyAlignment="1" applyProtection="1">
      <alignment horizontal="center" vertical="center" shrinkToFit="1"/>
      <protection locked="0"/>
    </xf>
    <xf numFmtId="0" fontId="4" fillId="2" borderId="164" xfId="3" applyFont="1" applyFill="1" applyBorder="1" applyAlignment="1" applyProtection="1">
      <alignment horizontal="center" vertical="center" shrinkToFit="1"/>
    </xf>
    <xf numFmtId="190" fontId="28" fillId="4" borderId="155" xfId="3" applyNumberFormat="1" applyFont="1" applyFill="1" applyBorder="1" applyAlignment="1" applyProtection="1">
      <alignment horizontal="right" vertical="center" shrinkToFit="1"/>
      <protection locked="0"/>
    </xf>
    <xf numFmtId="0" fontId="4" fillId="2" borderId="167" xfId="3" applyFont="1" applyFill="1" applyBorder="1" applyAlignment="1" applyProtection="1">
      <alignment horizontal="center" vertical="center" shrinkToFit="1"/>
    </xf>
    <xf numFmtId="190" fontId="28" fillId="4" borderId="157" xfId="3" applyNumberFormat="1" applyFont="1" applyFill="1" applyBorder="1" applyAlignment="1" applyProtection="1">
      <alignment horizontal="right" vertical="center" shrinkToFit="1"/>
      <protection locked="0"/>
    </xf>
    <xf numFmtId="0" fontId="4" fillId="2" borderId="169" xfId="3" applyFont="1" applyFill="1" applyBorder="1" applyAlignment="1" applyProtection="1">
      <alignment horizontal="center" vertical="center" shrinkToFit="1"/>
    </xf>
    <xf numFmtId="190" fontId="28" fillId="4" borderId="159" xfId="3" applyNumberFormat="1" applyFont="1" applyFill="1" applyBorder="1" applyAlignment="1" applyProtection="1">
      <alignment horizontal="right" vertical="center" shrinkToFit="1"/>
      <protection locked="0"/>
    </xf>
    <xf numFmtId="14" fontId="11" fillId="4" borderId="168" xfId="3" applyNumberFormat="1" applyFont="1" applyFill="1" applyBorder="1" applyAlignment="1" applyProtection="1">
      <alignment vertical="center" shrinkToFit="1"/>
      <protection locked="0"/>
    </xf>
    <xf numFmtId="0" fontId="0" fillId="0" borderId="4" xfId="0" applyBorder="1" applyProtection="1">
      <alignment vertical="center"/>
    </xf>
    <xf numFmtId="0" fontId="0" fillId="0" borderId="4" xfId="0" applyBorder="1" applyAlignment="1" applyProtection="1">
      <alignment horizontal="center" vertical="center"/>
    </xf>
    <xf numFmtId="0" fontId="0" fillId="0" borderId="0" xfId="0" applyProtection="1">
      <alignment vertical="center"/>
    </xf>
    <xf numFmtId="14" fontId="0" fillId="0" borderId="4" xfId="0" applyNumberFormat="1" applyBorder="1" applyProtection="1">
      <alignment vertical="center"/>
    </xf>
    <xf numFmtId="0" fontId="0" fillId="0" borderId="6" xfId="0" applyBorder="1" applyAlignment="1" applyProtection="1">
      <alignment horizontal="center" vertical="center"/>
    </xf>
    <xf numFmtId="0" fontId="0" fillId="0" borderId="23" xfId="0" applyBorder="1" applyProtection="1">
      <alignment vertical="center"/>
    </xf>
    <xf numFmtId="0" fontId="0" fillId="0" borderId="86" xfId="0" applyBorder="1" applyProtection="1">
      <alignment vertical="center"/>
    </xf>
    <xf numFmtId="0" fontId="11" fillId="0" borderId="4" xfId="0" applyFont="1" applyFill="1" applyBorder="1" applyAlignment="1" applyProtection="1">
      <alignment horizontal="center" vertical="center"/>
    </xf>
    <xf numFmtId="0" fontId="11" fillId="0" borderId="14" xfId="0" applyFont="1" applyFill="1" applyBorder="1" applyAlignment="1" applyProtection="1">
      <alignment horizontal="center" vertical="center"/>
    </xf>
    <xf numFmtId="0" fontId="25" fillId="0" borderId="0" xfId="0" applyFont="1" applyBorder="1" applyAlignment="1" applyProtection="1">
      <alignment horizontal="center" vertical="center"/>
    </xf>
    <xf numFmtId="0" fontId="8" fillId="0" borderId="4" xfId="0" applyFont="1" applyBorder="1" applyAlignment="1" applyProtection="1">
      <alignment horizontal="center" vertical="center"/>
    </xf>
    <xf numFmtId="0" fontId="11" fillId="0" borderId="0" xfId="3" applyFont="1" applyBorder="1" applyAlignment="1" applyProtection="1">
      <alignment horizontal="left" vertical="center"/>
    </xf>
    <xf numFmtId="0" fontId="25" fillId="0" borderId="0" xfId="0" applyFont="1" applyBorder="1" applyAlignment="1" applyProtection="1">
      <alignment horizontal="left" vertical="center"/>
    </xf>
    <xf numFmtId="191" fontId="2" fillId="11" borderId="147" xfId="3" applyNumberFormat="1" applyFont="1" applyFill="1" applyBorder="1" applyAlignment="1" applyProtection="1">
      <alignment horizontal="left" shrinkToFit="1"/>
      <protection locked="0"/>
    </xf>
    <xf numFmtId="191" fontId="2" fillId="11" borderId="110" xfId="3" applyNumberFormat="1" applyFont="1" applyFill="1" applyBorder="1" applyAlignment="1" applyProtection="1">
      <alignment horizontal="left" shrinkToFit="1"/>
      <protection locked="0"/>
    </xf>
    <xf numFmtId="0" fontId="42" fillId="2" borderId="0" xfId="0" applyFont="1" applyFill="1" applyProtection="1">
      <alignment vertical="center"/>
    </xf>
    <xf numFmtId="0" fontId="25" fillId="2" borderId="0" xfId="0" applyFont="1" applyFill="1" applyProtection="1">
      <alignment vertical="center"/>
    </xf>
    <xf numFmtId="0" fontId="25" fillId="0" borderId="4" xfId="0" applyFont="1" applyBorder="1" applyAlignment="1" applyProtection="1">
      <alignment horizontal="center" vertical="center"/>
    </xf>
    <xf numFmtId="0" fontId="25" fillId="0" borderId="0" xfId="0" applyFont="1" applyAlignment="1" applyProtection="1">
      <alignment vertical="center" shrinkToFit="1"/>
    </xf>
    <xf numFmtId="0" fontId="26" fillId="2" borderId="0" xfId="0" applyFont="1" applyFill="1" applyProtection="1">
      <alignment vertical="center"/>
    </xf>
    <xf numFmtId="0" fontId="25" fillId="2" borderId="0" xfId="0" applyFont="1" applyFill="1" applyAlignment="1" applyProtection="1">
      <alignment vertical="center" shrinkToFit="1"/>
    </xf>
    <xf numFmtId="0" fontId="44" fillId="2" borderId="0" xfId="0" applyFont="1" applyFill="1" applyProtection="1">
      <alignment vertical="center"/>
    </xf>
    <xf numFmtId="186" fontId="44" fillId="2" borderId="10" xfId="0" applyNumberFormat="1" applyFont="1" applyFill="1" applyBorder="1" applyAlignment="1" applyProtection="1">
      <alignment horizontal="center" vertical="center"/>
    </xf>
    <xf numFmtId="0" fontId="11" fillId="2" borderId="0" xfId="3" applyFont="1" applyFill="1" applyBorder="1" applyAlignment="1" applyProtection="1">
      <alignment horizontal="center" vertical="center"/>
    </xf>
    <xf numFmtId="0" fontId="14" fillId="2" borderId="0" xfId="3" applyFont="1" applyFill="1" applyBorder="1" applyAlignment="1" applyProtection="1">
      <alignment horizontal="center" vertical="center" shrinkToFit="1"/>
    </xf>
    <xf numFmtId="0" fontId="25" fillId="0" borderId="51" xfId="0" applyFont="1" applyBorder="1" applyAlignment="1" applyProtection="1">
      <alignment vertical="center" shrinkToFit="1"/>
    </xf>
    <xf numFmtId="0" fontId="44" fillId="12" borderId="110" xfId="0" applyFont="1" applyFill="1" applyBorder="1" applyAlignment="1" applyProtection="1">
      <alignment horizontal="center" vertical="center" shrinkToFit="1"/>
    </xf>
    <xf numFmtId="0" fontId="44" fillId="12" borderId="180" xfId="0" applyFont="1" applyFill="1" applyBorder="1" applyAlignment="1" applyProtection="1">
      <alignment horizontal="center" vertical="center"/>
    </xf>
    <xf numFmtId="0" fontId="44" fillId="12" borderId="147" xfId="0" applyFont="1" applyFill="1" applyBorder="1" applyAlignment="1" applyProtection="1">
      <alignment horizontal="center" vertical="center"/>
    </xf>
    <xf numFmtId="0" fontId="44" fillId="12" borderId="110" xfId="0" applyFont="1" applyFill="1" applyBorder="1" applyAlignment="1" applyProtection="1">
      <alignment horizontal="center" vertical="center"/>
    </xf>
    <xf numFmtId="0" fontId="25" fillId="0" borderId="39" xfId="0" applyFont="1" applyBorder="1" applyAlignment="1" applyProtection="1">
      <alignment horizontal="center" vertical="center" shrinkToFit="1"/>
    </xf>
    <xf numFmtId="0" fontId="25" fillId="0" borderId="40" xfId="0" applyFont="1" applyBorder="1" applyAlignment="1" applyProtection="1">
      <alignment horizontal="center" vertical="center" shrinkToFit="1"/>
    </xf>
    <xf numFmtId="0" fontId="25" fillId="0" borderId="41" xfId="0" applyFont="1" applyBorder="1" applyAlignment="1" applyProtection="1">
      <alignment horizontal="center" vertical="center" shrinkToFit="1"/>
    </xf>
    <xf numFmtId="187" fontId="25" fillId="2" borderId="182" xfId="0" applyNumberFormat="1" applyFont="1" applyFill="1" applyBorder="1" applyAlignment="1" applyProtection="1">
      <alignment horizontal="center" vertical="center"/>
    </xf>
    <xf numFmtId="188" fontId="25" fillId="2" borderId="182" xfId="0" applyNumberFormat="1" applyFont="1" applyFill="1" applyBorder="1" applyAlignment="1" applyProtection="1">
      <alignment horizontal="center" vertical="center"/>
    </xf>
    <xf numFmtId="188" fontId="25" fillId="2" borderId="183" xfId="0" applyNumberFormat="1" applyFont="1" applyFill="1" applyBorder="1" applyAlignment="1" applyProtection="1">
      <alignment horizontal="center" vertical="center"/>
    </xf>
    <xf numFmtId="38" fontId="25" fillId="4" borderId="181" xfId="4" applyFont="1" applyFill="1" applyBorder="1" applyAlignment="1" applyProtection="1">
      <alignment horizontal="center" vertical="center"/>
      <protection locked="0"/>
    </xf>
    <xf numFmtId="0" fontId="25" fillId="2" borderId="183" xfId="0" applyFont="1" applyFill="1" applyBorder="1" applyAlignment="1" applyProtection="1">
      <alignment horizontal="center" vertical="center"/>
    </xf>
    <xf numFmtId="0" fontId="11" fillId="0" borderId="6" xfId="3" applyFont="1" applyBorder="1" applyAlignment="1" applyProtection="1">
      <alignment horizontal="center" vertical="center" shrinkToFit="1"/>
    </xf>
    <xf numFmtId="187" fontId="25" fillId="2" borderId="185" xfId="0" applyNumberFormat="1" applyFont="1" applyFill="1" applyBorder="1" applyAlignment="1" applyProtection="1">
      <alignment horizontal="center" vertical="center"/>
    </xf>
    <xf numFmtId="188" fontId="25" fillId="2" borderId="185" xfId="0" applyNumberFormat="1" applyFont="1" applyFill="1" applyBorder="1" applyAlignment="1" applyProtection="1">
      <alignment horizontal="center" vertical="center"/>
    </xf>
    <xf numFmtId="188" fontId="25" fillId="2" borderId="186" xfId="0" applyNumberFormat="1" applyFont="1" applyFill="1" applyBorder="1" applyAlignment="1" applyProtection="1">
      <alignment horizontal="center" vertical="center"/>
    </xf>
    <xf numFmtId="38" fontId="25" fillId="4" borderId="184" xfId="4" applyFont="1" applyFill="1" applyBorder="1" applyAlignment="1" applyProtection="1">
      <alignment horizontal="center" vertical="center"/>
      <protection locked="0"/>
    </xf>
    <xf numFmtId="0" fontId="25" fillId="2" borderId="186" xfId="0" applyFont="1" applyFill="1" applyBorder="1" applyAlignment="1" applyProtection="1">
      <alignment horizontal="center" vertical="center"/>
    </xf>
    <xf numFmtId="0" fontId="25" fillId="0" borderId="6" xfId="0" applyFont="1" applyBorder="1" applyAlignment="1" applyProtection="1">
      <alignment horizontal="center" vertical="center" shrinkToFit="1"/>
    </xf>
    <xf numFmtId="0" fontId="11" fillId="0" borderId="4" xfId="3" applyFont="1" applyBorder="1" applyAlignment="1" applyProtection="1">
      <alignment horizontal="center" vertical="center" shrinkToFit="1"/>
    </xf>
    <xf numFmtId="0" fontId="25" fillId="0" borderId="4" xfId="0" applyFont="1" applyFill="1" applyBorder="1" applyAlignment="1" applyProtection="1">
      <alignment horizontal="center" vertical="center"/>
    </xf>
    <xf numFmtId="0" fontId="25" fillId="0" borderId="4" xfId="0" applyFont="1" applyBorder="1" applyAlignment="1" applyProtection="1">
      <alignment horizontal="center" vertical="center" shrinkToFit="1"/>
    </xf>
    <xf numFmtId="187" fontId="25" fillId="2" borderId="188" xfId="0" applyNumberFormat="1" applyFont="1" applyFill="1" applyBorder="1" applyAlignment="1" applyProtection="1">
      <alignment horizontal="center" vertical="center"/>
    </xf>
    <xf numFmtId="188" fontId="25" fillId="2" borderId="188" xfId="0" applyNumberFormat="1" applyFont="1" applyFill="1" applyBorder="1" applyAlignment="1" applyProtection="1">
      <alignment horizontal="center" vertical="center"/>
    </xf>
    <xf numFmtId="188" fontId="25" fillId="2" borderId="189" xfId="0" applyNumberFormat="1" applyFont="1" applyFill="1" applyBorder="1" applyAlignment="1" applyProtection="1">
      <alignment horizontal="center" vertical="center"/>
    </xf>
    <xf numFmtId="0" fontId="25" fillId="4" borderId="187" xfId="0" applyFont="1" applyFill="1" applyBorder="1" applyAlignment="1" applyProtection="1">
      <alignment horizontal="center" vertical="center"/>
      <protection locked="0"/>
    </xf>
    <xf numFmtId="0" fontId="25" fillId="2" borderId="189" xfId="0" applyFont="1" applyFill="1" applyBorder="1" applyAlignment="1" applyProtection="1">
      <alignment horizontal="center" vertical="center"/>
    </xf>
    <xf numFmtId="0" fontId="25" fillId="0" borderId="0" xfId="0" applyFont="1" applyBorder="1" applyAlignment="1" applyProtection="1">
      <alignment vertical="center" shrinkToFit="1"/>
    </xf>
    <xf numFmtId="188" fontId="25" fillId="2" borderId="147" xfId="0" applyNumberFormat="1" applyFont="1" applyFill="1" applyBorder="1" applyAlignment="1" applyProtection="1">
      <alignment horizontal="center" vertical="center"/>
    </xf>
    <xf numFmtId="0" fontId="25" fillId="2" borderId="190" xfId="0" applyFont="1" applyFill="1" applyBorder="1" applyProtection="1">
      <alignment vertical="center"/>
    </xf>
    <xf numFmtId="0" fontId="44" fillId="2" borderId="142" xfId="0" applyFont="1" applyFill="1" applyBorder="1" applyAlignment="1" applyProtection="1">
      <alignment horizontal="center" vertical="center"/>
    </xf>
    <xf numFmtId="188" fontId="25" fillId="2" borderId="0" xfId="0" applyNumberFormat="1" applyFont="1" applyFill="1" applyBorder="1" applyAlignment="1" applyProtection="1">
      <alignment horizontal="center" vertical="center"/>
    </xf>
    <xf numFmtId="0" fontId="25" fillId="2" borderId="0" xfId="0" applyFont="1" applyFill="1" applyBorder="1" applyProtection="1">
      <alignment vertical="center"/>
    </xf>
    <xf numFmtId="0" fontId="44" fillId="2" borderId="143" xfId="0" applyFont="1" applyFill="1" applyBorder="1" applyAlignment="1" applyProtection="1">
      <alignment horizontal="center" vertical="center"/>
    </xf>
    <xf numFmtId="0" fontId="25" fillId="2" borderId="0" xfId="0" applyFont="1" applyFill="1" applyAlignment="1" applyProtection="1">
      <alignment horizontal="center" vertical="center"/>
    </xf>
    <xf numFmtId="0" fontId="14" fillId="2" borderId="143" xfId="3" applyFont="1" applyFill="1" applyBorder="1" applyAlignment="1" applyProtection="1">
      <alignment horizontal="center" vertical="center"/>
    </xf>
    <xf numFmtId="0" fontId="11" fillId="2" borderId="0" xfId="0" applyFont="1" applyFill="1" applyAlignment="1" applyProtection="1">
      <alignment horizontal="left" vertical="center"/>
    </xf>
    <xf numFmtId="0" fontId="14" fillId="2" borderId="0" xfId="3" applyFont="1" applyFill="1" applyAlignment="1" applyProtection="1">
      <alignment vertical="center"/>
    </xf>
    <xf numFmtId="0" fontId="11" fillId="2" borderId="0" xfId="3" applyFont="1" applyFill="1" applyAlignment="1" applyProtection="1">
      <alignment vertical="center"/>
    </xf>
    <xf numFmtId="0" fontId="11" fillId="0" borderId="0" xfId="0" applyFont="1" applyFill="1" applyBorder="1" applyAlignment="1" applyProtection="1">
      <alignment vertical="center" shrinkToFit="1"/>
    </xf>
    <xf numFmtId="0" fontId="38" fillId="2" borderId="0" xfId="3" applyFont="1" applyFill="1" applyAlignment="1" applyProtection="1">
      <alignment vertical="center"/>
    </xf>
    <xf numFmtId="0" fontId="11" fillId="2" borderId="0" xfId="0" applyFont="1" applyFill="1" applyBorder="1" applyAlignment="1" applyProtection="1">
      <alignment vertical="center" shrinkToFit="1"/>
    </xf>
    <xf numFmtId="0" fontId="45" fillId="2" borderId="0" xfId="3" applyFont="1" applyFill="1" applyAlignment="1" applyProtection="1">
      <alignment vertical="center"/>
    </xf>
    <xf numFmtId="0" fontId="11" fillId="2" borderId="0" xfId="3" applyNumberFormat="1" applyFont="1" applyFill="1" applyBorder="1" applyAlignment="1" applyProtection="1">
      <alignment horizontal="right" vertical="center"/>
    </xf>
    <xf numFmtId="0" fontId="11" fillId="2" borderId="1" xfId="3" applyFont="1" applyFill="1" applyBorder="1" applyAlignment="1" applyProtection="1">
      <alignment horizontal="center" vertical="center" wrapText="1"/>
    </xf>
    <xf numFmtId="0" fontId="11" fillId="3" borderId="196" xfId="3" applyFont="1" applyFill="1" applyBorder="1" applyAlignment="1" applyProtection="1">
      <alignment horizontal="center" vertical="center"/>
    </xf>
    <xf numFmtId="0" fontId="11" fillId="3" borderId="116" xfId="3" applyFont="1" applyFill="1" applyBorder="1" applyAlignment="1" applyProtection="1">
      <alignment horizontal="center" vertical="center"/>
    </xf>
    <xf numFmtId="0" fontId="11" fillId="3" borderId="197" xfId="3" applyFont="1" applyFill="1" applyBorder="1" applyAlignment="1" applyProtection="1">
      <alignment horizontal="center" vertical="center"/>
    </xf>
    <xf numFmtId="0" fontId="45" fillId="2" borderId="0" xfId="3" applyFont="1" applyFill="1" applyBorder="1" applyAlignment="1" applyProtection="1">
      <alignment vertical="center"/>
    </xf>
    <xf numFmtId="0" fontId="11" fillId="2" borderId="0" xfId="3" applyFont="1" applyFill="1" applyBorder="1" applyAlignment="1" applyProtection="1">
      <alignment vertical="center" shrinkToFit="1"/>
    </xf>
    <xf numFmtId="0" fontId="40" fillId="2" borderId="0" xfId="0" applyFont="1" applyFill="1" applyBorder="1" applyAlignment="1" applyProtection="1">
      <alignment horizontal="right" vertical="center"/>
    </xf>
    <xf numFmtId="0" fontId="46" fillId="2" borderId="0" xfId="3" applyFont="1" applyFill="1" applyBorder="1" applyAlignment="1" applyProtection="1">
      <alignment horizontal="right" vertical="center" shrinkToFit="1"/>
    </xf>
    <xf numFmtId="2" fontId="46" fillId="0" borderId="0" xfId="3" applyNumberFormat="1" applyFont="1" applyBorder="1" applyAlignment="1" applyProtection="1">
      <alignment vertical="center"/>
    </xf>
    <xf numFmtId="2" fontId="46" fillId="0" borderId="0" xfId="3" applyNumberFormat="1" applyFont="1" applyBorder="1" applyAlignment="1" applyProtection="1">
      <alignment horizontal="center" vertical="center"/>
    </xf>
    <xf numFmtId="0" fontId="11" fillId="2" borderId="0" xfId="3" applyFont="1" applyFill="1" applyBorder="1" applyAlignment="1" applyProtection="1">
      <alignment vertical="center"/>
    </xf>
    <xf numFmtId="2" fontId="46" fillId="2" borderId="0" xfId="3" applyNumberFormat="1" applyFont="1" applyFill="1" applyBorder="1" applyAlignment="1" applyProtection="1">
      <alignment vertical="center"/>
    </xf>
    <xf numFmtId="2" fontId="46" fillId="2" borderId="0" xfId="3" applyNumberFormat="1" applyFont="1" applyFill="1" applyBorder="1" applyAlignment="1" applyProtection="1">
      <alignment horizontal="center" vertical="center"/>
    </xf>
    <xf numFmtId="0" fontId="25" fillId="0" borderId="204" xfId="0" applyFont="1" applyBorder="1" applyAlignment="1" applyProtection="1">
      <alignment horizontal="center" vertical="center" shrinkToFit="1"/>
    </xf>
    <xf numFmtId="0" fontId="25" fillId="0" borderId="204" xfId="0" applyFont="1" applyBorder="1" applyAlignment="1" applyProtection="1">
      <alignment horizontal="center" vertical="center"/>
    </xf>
    <xf numFmtId="0" fontId="25" fillId="0" borderId="205" xfId="0" applyFont="1" applyBorder="1" applyAlignment="1" applyProtection="1">
      <alignment horizontal="center" vertical="center"/>
    </xf>
    <xf numFmtId="0" fontId="25" fillId="0" borderId="206" xfId="0" applyFont="1" applyBorder="1" applyAlignment="1" applyProtection="1">
      <alignment horizontal="center" vertical="center"/>
    </xf>
    <xf numFmtId="0" fontId="25" fillId="0" borderId="44" xfId="0" applyFont="1" applyBorder="1" applyAlignment="1" applyProtection="1">
      <alignment horizontal="center" vertical="center" shrinkToFit="1"/>
    </xf>
    <xf numFmtId="0" fontId="25" fillId="0" borderId="3" xfId="0" applyFont="1" applyBorder="1" applyAlignment="1" applyProtection="1">
      <alignment horizontal="center" vertical="center" shrinkToFit="1"/>
    </xf>
    <xf numFmtId="0" fontId="25" fillId="0" borderId="45" xfId="0" applyFont="1" applyBorder="1" applyAlignment="1" applyProtection="1">
      <alignment horizontal="center" vertical="center" shrinkToFit="1"/>
    </xf>
    <xf numFmtId="0" fontId="25" fillId="0" borderId="208" xfId="0" applyFont="1" applyBorder="1" applyAlignment="1" applyProtection="1">
      <alignment vertical="center"/>
    </xf>
    <xf numFmtId="0" fontId="25" fillId="0" borderId="47" xfId="0" applyFont="1" applyBorder="1" applyAlignment="1" applyProtection="1">
      <alignment vertical="center"/>
    </xf>
    <xf numFmtId="0" fontId="25" fillId="0" borderId="151" xfId="0" applyFont="1" applyBorder="1" applyAlignment="1" applyProtection="1">
      <alignment horizontal="center" vertical="center" shrinkToFit="1"/>
    </xf>
    <xf numFmtId="0" fontId="25" fillId="0" borderId="209" xfId="0" applyFont="1" applyBorder="1" applyAlignment="1" applyProtection="1">
      <alignment horizontal="center" vertical="center" shrinkToFit="1"/>
    </xf>
    <xf numFmtId="0" fontId="25" fillId="0" borderId="210" xfId="0" applyFont="1" applyBorder="1" applyAlignment="1" applyProtection="1">
      <alignment vertical="center"/>
    </xf>
    <xf numFmtId="0" fontId="25" fillId="0" borderId="83" xfId="0" applyFont="1" applyBorder="1" applyAlignment="1" applyProtection="1">
      <alignment vertical="center" shrinkToFit="1"/>
    </xf>
    <xf numFmtId="0" fontId="25" fillId="0" borderId="20" xfId="0" applyFont="1" applyBorder="1" applyAlignment="1" applyProtection="1">
      <alignment vertical="center" shrinkToFit="1"/>
    </xf>
    <xf numFmtId="0" fontId="25" fillId="0" borderId="211" xfId="0" applyFont="1" applyBorder="1" applyAlignment="1" applyProtection="1">
      <alignment vertical="center" shrinkToFit="1"/>
    </xf>
    <xf numFmtId="0" fontId="25" fillId="0" borderId="43" xfId="0" applyFont="1" applyBorder="1" applyAlignment="1" applyProtection="1">
      <alignment vertical="center" shrinkToFit="1"/>
    </xf>
    <xf numFmtId="0" fontId="25" fillId="0" borderId="63" xfId="0" applyFont="1" applyBorder="1" applyAlignment="1" applyProtection="1">
      <alignment horizontal="center" vertical="center" shrinkToFit="1"/>
    </xf>
    <xf numFmtId="0" fontId="25" fillId="0" borderId="61" xfId="0" applyFont="1" applyBorder="1" applyAlignment="1" applyProtection="1">
      <alignment horizontal="center" vertical="center" shrinkToFit="1"/>
    </xf>
    <xf numFmtId="0" fontId="25" fillId="0" borderId="112" xfId="0" applyFont="1" applyBorder="1" applyAlignment="1" applyProtection="1">
      <alignment horizontal="center" vertical="center" shrinkToFit="1"/>
    </xf>
    <xf numFmtId="0" fontId="25" fillId="0" borderId="112" xfId="0" applyFont="1" applyBorder="1" applyAlignment="1" applyProtection="1">
      <alignment vertical="center"/>
    </xf>
    <xf numFmtId="0" fontId="25" fillId="0" borderId="57" xfId="0" applyFont="1" applyBorder="1" applyAlignment="1" applyProtection="1">
      <alignment vertical="center"/>
    </xf>
    <xf numFmtId="0" fontId="25" fillId="0" borderId="216" xfId="0" applyFont="1" applyBorder="1" applyAlignment="1" applyProtection="1">
      <alignment vertical="center"/>
    </xf>
    <xf numFmtId="0" fontId="25" fillId="0" borderId="17" xfId="0" applyFont="1" applyBorder="1" applyAlignment="1" applyProtection="1">
      <alignment vertical="center" shrinkToFit="1"/>
    </xf>
    <xf numFmtId="0" fontId="25" fillId="0" borderId="217" xfId="0" applyFont="1" applyBorder="1" applyProtection="1">
      <alignment vertical="center"/>
    </xf>
    <xf numFmtId="14" fontId="25" fillId="0" borderId="25" xfId="0" applyNumberFormat="1" applyFont="1" applyBorder="1" applyAlignment="1" applyProtection="1">
      <alignment vertical="center" shrinkToFit="1"/>
    </xf>
    <xf numFmtId="0" fontId="25" fillId="0" borderId="30" xfId="0" applyFont="1" applyBorder="1" applyAlignment="1" applyProtection="1">
      <alignment horizontal="center" vertical="center" shrinkToFit="1"/>
    </xf>
    <xf numFmtId="0" fontId="25" fillId="0" borderId="5" xfId="0" applyFont="1" applyBorder="1" applyAlignment="1" applyProtection="1">
      <alignment horizontal="center" vertical="center" shrinkToFit="1"/>
    </xf>
    <xf numFmtId="0" fontId="25" fillId="0" borderId="62" xfId="0" applyFont="1" applyBorder="1" applyAlignment="1" applyProtection="1">
      <alignment horizontal="center" vertical="center" shrinkToFit="1"/>
    </xf>
    <xf numFmtId="0" fontId="25" fillId="0" borderId="113" xfId="0" applyFont="1" applyBorder="1" applyAlignment="1" applyProtection="1">
      <alignment horizontal="center" vertical="center" shrinkToFit="1"/>
    </xf>
    <xf numFmtId="0" fontId="11" fillId="0" borderId="113" xfId="3" applyFont="1" applyBorder="1" applyAlignment="1" applyProtection="1">
      <alignment vertical="center" shrinkToFit="1"/>
    </xf>
    <xf numFmtId="0" fontId="11" fillId="0" borderId="222" xfId="3" applyFont="1" applyBorder="1" applyAlignment="1" applyProtection="1">
      <alignment vertical="center" shrinkToFit="1"/>
    </xf>
    <xf numFmtId="0" fontId="11" fillId="0" borderId="223" xfId="3" applyFont="1" applyBorder="1" applyAlignment="1" applyProtection="1">
      <alignment vertical="center" shrinkToFit="1"/>
    </xf>
    <xf numFmtId="0" fontId="25" fillId="0" borderId="81" xfId="0" applyFont="1" applyBorder="1" applyAlignment="1" applyProtection="1">
      <alignment vertical="center" shrinkToFit="1"/>
    </xf>
    <xf numFmtId="0" fontId="25" fillId="0" borderId="4" xfId="0" applyFont="1" applyBorder="1" applyAlignment="1" applyProtection="1">
      <alignment vertical="center"/>
    </xf>
    <xf numFmtId="0" fontId="25" fillId="0" borderId="33" xfId="0" applyFont="1" applyBorder="1" applyAlignment="1" applyProtection="1">
      <alignment vertical="center" shrinkToFit="1"/>
    </xf>
    <xf numFmtId="0" fontId="11" fillId="4" borderId="225" xfId="3" applyFont="1" applyFill="1" applyBorder="1" applyAlignment="1" applyProtection="1">
      <alignment horizontal="center" vertical="center" shrinkToFit="1"/>
      <protection locked="0"/>
    </xf>
    <xf numFmtId="0" fontId="11" fillId="5" borderId="227" xfId="3" applyFont="1" applyFill="1" applyBorder="1" applyAlignment="1" applyProtection="1">
      <alignment horizontal="center" vertical="center" shrinkToFit="1"/>
      <protection locked="0"/>
    </xf>
    <xf numFmtId="14" fontId="11" fillId="4" borderId="226" xfId="3" applyNumberFormat="1" applyFont="1" applyFill="1" applyBorder="1" applyAlignment="1" applyProtection="1">
      <alignment vertical="center" shrinkToFit="1"/>
      <protection locked="0"/>
    </xf>
    <xf numFmtId="0" fontId="11" fillId="4" borderId="226" xfId="3" applyFont="1" applyFill="1" applyBorder="1" applyAlignment="1" applyProtection="1">
      <alignment vertical="center" shrinkToFit="1"/>
      <protection locked="0"/>
    </xf>
    <xf numFmtId="183" fontId="25" fillId="0" borderId="44" xfId="0" applyNumberFormat="1" applyFont="1" applyBorder="1" applyAlignment="1" applyProtection="1">
      <alignment horizontal="right" vertical="center" shrinkToFit="1"/>
    </xf>
    <xf numFmtId="183" fontId="25" fillId="0" borderId="3" xfId="0" applyNumberFormat="1" applyFont="1" applyBorder="1" applyAlignment="1" applyProtection="1">
      <alignment horizontal="right" vertical="center" shrinkToFit="1"/>
    </xf>
    <xf numFmtId="183" fontId="25" fillId="0" borderId="45" xfId="0" applyNumberFormat="1" applyFont="1" applyBorder="1" applyAlignment="1" applyProtection="1">
      <alignment horizontal="right" vertical="center" shrinkToFit="1"/>
    </xf>
    <xf numFmtId="0" fontId="25" fillId="0" borderId="151" xfId="0" applyFont="1" applyBorder="1" applyAlignment="1" applyProtection="1">
      <alignment horizontal="right" vertical="center" shrinkToFit="1"/>
    </xf>
    <xf numFmtId="0" fontId="25" fillId="0" borderId="45" xfId="0" applyFont="1" applyBorder="1" applyAlignment="1" applyProtection="1">
      <alignment horizontal="right" vertical="center" shrinkToFit="1"/>
    </xf>
    <xf numFmtId="0" fontId="25" fillId="0" borderId="209" xfId="0" applyFont="1" applyBorder="1" applyAlignment="1" applyProtection="1">
      <alignment horizontal="right" vertical="center" shrinkToFit="1"/>
    </xf>
    <xf numFmtId="0" fontId="25" fillId="0" borderId="210" xfId="0" applyFont="1" applyBorder="1" applyAlignment="1" applyProtection="1">
      <alignment horizontal="right" vertical="center" shrinkToFit="1"/>
    </xf>
    <xf numFmtId="0" fontId="11" fillId="2" borderId="230" xfId="3" applyNumberFormat="1" applyFont="1" applyFill="1" applyBorder="1" applyAlignment="1" applyProtection="1">
      <alignment horizontal="center" vertical="center" shrinkToFit="1"/>
    </xf>
    <xf numFmtId="0" fontId="11" fillId="4" borderId="158" xfId="3" applyFont="1" applyFill="1" applyBorder="1" applyAlignment="1" applyProtection="1">
      <alignment horizontal="center" vertical="center" shrinkToFit="1"/>
      <protection locked="0"/>
    </xf>
    <xf numFmtId="0" fontId="11" fillId="5" borderId="231" xfId="3" applyFont="1" applyFill="1" applyBorder="1" applyAlignment="1" applyProtection="1">
      <alignment horizontal="center" vertical="center" shrinkToFit="1"/>
      <protection locked="0"/>
    </xf>
    <xf numFmtId="0" fontId="11" fillId="2" borderId="232" xfId="3" applyFont="1" applyFill="1" applyBorder="1" applyAlignment="1" applyProtection="1">
      <alignment horizontal="center" vertical="center" shrinkToFit="1"/>
      <protection locked="0"/>
    </xf>
    <xf numFmtId="0" fontId="11" fillId="4" borderId="168" xfId="3" applyFont="1" applyFill="1" applyBorder="1" applyAlignment="1" applyProtection="1">
      <alignment vertical="center" shrinkToFit="1"/>
      <protection locked="0"/>
    </xf>
    <xf numFmtId="183" fontId="25" fillId="0" borderId="63" xfId="0" applyNumberFormat="1" applyFont="1" applyBorder="1" applyAlignment="1" applyProtection="1">
      <alignment horizontal="right" vertical="center" shrinkToFit="1"/>
    </xf>
    <xf numFmtId="183" fontId="25" fillId="0" borderId="4" xfId="0" applyNumberFormat="1" applyFont="1" applyBorder="1" applyAlignment="1" applyProtection="1">
      <alignment horizontal="right" vertical="center" shrinkToFit="1"/>
    </xf>
    <xf numFmtId="183" fontId="25" fillId="0" borderId="61" xfId="0" applyNumberFormat="1" applyFont="1" applyBorder="1" applyAlignment="1" applyProtection="1">
      <alignment horizontal="right" vertical="center" shrinkToFit="1"/>
    </xf>
    <xf numFmtId="0" fontId="25" fillId="0" borderId="112" xfId="0" applyFont="1" applyBorder="1" applyAlignment="1" applyProtection="1">
      <alignment horizontal="right" vertical="center" shrinkToFit="1"/>
    </xf>
    <xf numFmtId="0" fontId="25" fillId="0" borderId="4" xfId="0" applyFont="1" applyBorder="1" applyAlignment="1" applyProtection="1">
      <alignment horizontal="right" vertical="center" shrinkToFit="1"/>
    </xf>
    <xf numFmtId="0" fontId="25" fillId="0" borderId="57" xfId="0" applyFont="1" applyBorder="1" applyAlignment="1" applyProtection="1">
      <alignment horizontal="right" vertical="center" shrinkToFit="1"/>
    </xf>
    <xf numFmtId="0" fontId="25" fillId="0" borderId="233" xfId="0" applyFont="1" applyBorder="1" applyAlignment="1" applyProtection="1">
      <alignment horizontal="right" vertical="center" shrinkToFit="1"/>
    </xf>
    <xf numFmtId="0" fontId="25" fillId="0" borderId="234" xfId="0" applyFont="1" applyBorder="1" applyAlignment="1" applyProtection="1">
      <alignment horizontal="right" vertical="center" shrinkToFit="1"/>
    </xf>
    <xf numFmtId="0" fontId="25" fillId="0" borderId="4" xfId="0" applyFont="1" applyBorder="1" applyAlignment="1" applyProtection="1">
      <alignment vertical="center" shrinkToFit="1"/>
    </xf>
    <xf numFmtId="0" fontId="25" fillId="0" borderId="235" xfId="0" applyFont="1" applyBorder="1" applyProtection="1">
      <alignment vertical="center"/>
    </xf>
    <xf numFmtId="0" fontId="25" fillId="0" borderId="46" xfId="0" applyFont="1" applyBorder="1" applyAlignment="1" applyProtection="1">
      <alignment vertical="center" shrinkToFit="1"/>
    </xf>
    <xf numFmtId="0" fontId="11" fillId="2" borderId="237" xfId="3" applyNumberFormat="1" applyFont="1" applyFill="1" applyBorder="1" applyAlignment="1" applyProtection="1">
      <alignment horizontal="center" vertical="center" shrinkToFit="1"/>
    </xf>
    <xf numFmtId="0" fontId="11" fillId="4" borderId="179" xfId="3" applyFont="1" applyFill="1" applyBorder="1" applyAlignment="1" applyProtection="1">
      <alignment horizontal="center" vertical="center" shrinkToFit="1"/>
      <protection locked="0"/>
    </xf>
    <xf numFmtId="0" fontId="11" fillId="5" borderId="238" xfId="3" applyFont="1" applyFill="1" applyBorder="1" applyAlignment="1" applyProtection="1">
      <alignment horizontal="center" vertical="center" shrinkToFit="1"/>
      <protection locked="0"/>
    </xf>
    <xf numFmtId="0" fontId="11" fillId="2" borderId="239" xfId="3" applyFont="1" applyFill="1" applyBorder="1" applyAlignment="1" applyProtection="1">
      <alignment horizontal="center" vertical="center" shrinkToFit="1"/>
      <protection locked="0"/>
    </xf>
    <xf numFmtId="14" fontId="11" fillId="4" borderId="177" xfId="3" applyNumberFormat="1" applyFont="1" applyFill="1" applyBorder="1" applyAlignment="1" applyProtection="1">
      <alignment vertical="center" shrinkToFit="1"/>
      <protection locked="0"/>
    </xf>
    <xf numFmtId="0" fontId="11" fillId="4" borderId="177" xfId="3" applyFont="1" applyFill="1" applyBorder="1" applyAlignment="1" applyProtection="1">
      <alignment vertical="center" shrinkToFit="1"/>
      <protection locked="0"/>
    </xf>
    <xf numFmtId="183" fontId="25" fillId="0" borderId="30" xfId="0" applyNumberFormat="1" applyFont="1" applyBorder="1" applyAlignment="1" applyProtection="1">
      <alignment horizontal="right" vertical="center" shrinkToFit="1"/>
    </xf>
    <xf numFmtId="183" fontId="25" fillId="0" borderId="5" xfId="0" applyNumberFormat="1" applyFont="1" applyBorder="1" applyAlignment="1" applyProtection="1">
      <alignment horizontal="right" vertical="center" shrinkToFit="1"/>
    </xf>
    <xf numFmtId="183" fontId="25" fillId="0" borderId="62" xfId="0" applyNumberFormat="1" applyFont="1" applyBorder="1" applyAlignment="1" applyProtection="1">
      <alignment horizontal="right" vertical="center" shrinkToFit="1"/>
    </xf>
    <xf numFmtId="0" fontId="25" fillId="0" borderId="113" xfId="0" applyFont="1" applyBorder="1" applyAlignment="1" applyProtection="1">
      <alignment horizontal="right" vertical="center" shrinkToFit="1"/>
    </xf>
    <xf numFmtId="0" fontId="25" fillId="0" borderId="5" xfId="0" applyFont="1" applyBorder="1" applyAlignment="1" applyProtection="1">
      <alignment horizontal="right" vertical="center" shrinkToFit="1"/>
    </xf>
    <xf numFmtId="0" fontId="25" fillId="0" borderId="222" xfId="0" applyFont="1" applyBorder="1" applyAlignment="1" applyProtection="1">
      <alignment horizontal="right" vertical="center" shrinkToFit="1"/>
    </xf>
    <xf numFmtId="0" fontId="25" fillId="0" borderId="240" xfId="0" applyFont="1" applyBorder="1" applyAlignment="1" applyProtection="1">
      <alignment horizontal="right" vertical="center" shrinkToFit="1"/>
    </xf>
    <xf numFmtId="0" fontId="25" fillId="0" borderId="241" xfId="0" applyFont="1" applyBorder="1" applyAlignment="1" applyProtection="1">
      <alignment horizontal="right" vertical="center" shrinkToFit="1"/>
    </xf>
    <xf numFmtId="0" fontId="25" fillId="0" borderId="63" xfId="0" applyFont="1" applyBorder="1" applyAlignment="1" applyProtection="1">
      <alignment vertical="center"/>
    </xf>
    <xf numFmtId="0" fontId="25" fillId="2" borderId="0" xfId="0" applyFont="1" applyFill="1" applyAlignment="1" applyProtection="1">
      <alignment vertical="center"/>
    </xf>
    <xf numFmtId="0" fontId="25" fillId="0" borderId="0" xfId="0" applyFont="1" applyBorder="1" applyAlignment="1" applyProtection="1">
      <alignment horizontal="center" vertical="center" shrinkToFit="1"/>
    </xf>
    <xf numFmtId="0" fontId="25" fillId="0" borderId="30" xfId="0" applyFont="1" applyBorder="1" applyAlignment="1" applyProtection="1">
      <alignment vertical="center"/>
    </xf>
    <xf numFmtId="0" fontId="25" fillId="0" borderId="37" xfId="0" applyFont="1" applyBorder="1" applyAlignment="1" applyProtection="1">
      <alignment vertical="center" shrinkToFit="1"/>
    </xf>
    <xf numFmtId="0" fontId="25" fillId="0" borderId="38" xfId="0" applyFont="1" applyBorder="1" applyAlignment="1" applyProtection="1">
      <alignment vertical="center" shrinkToFit="1"/>
    </xf>
    <xf numFmtId="0" fontId="25" fillId="2" borderId="0" xfId="0" applyFont="1" applyFill="1" applyBorder="1" applyAlignment="1" applyProtection="1">
      <alignment vertical="center"/>
    </xf>
    <xf numFmtId="0" fontId="11" fillId="2" borderId="0" xfId="0" applyFont="1" applyFill="1" applyAlignment="1" applyProtection="1">
      <alignment vertical="center"/>
    </xf>
    <xf numFmtId="0" fontId="26" fillId="0" borderId="23" xfId="0" applyFont="1" applyBorder="1" applyAlignment="1" applyProtection="1">
      <alignment horizontal="center" vertical="center" shrinkToFit="1"/>
    </xf>
    <xf numFmtId="0" fontId="26" fillId="0" borderId="86" xfId="0" applyFont="1" applyBorder="1" applyAlignment="1" applyProtection="1">
      <alignment horizontal="center" vertical="center" shrinkToFit="1"/>
    </xf>
    <xf numFmtId="0" fontId="26" fillId="0" borderId="109" xfId="0" applyFont="1" applyBorder="1" applyAlignment="1" applyProtection="1">
      <alignment horizontal="center" vertical="center"/>
    </xf>
    <xf numFmtId="0" fontId="26" fillId="0" borderId="24" xfId="0" applyFont="1" applyBorder="1" applyAlignment="1" applyProtection="1">
      <alignment horizontal="center" vertical="center"/>
    </xf>
    <xf numFmtId="0" fontId="26" fillId="0" borderId="86" xfId="0" applyFont="1" applyBorder="1" applyAlignment="1" applyProtection="1">
      <alignment horizontal="center" vertical="center"/>
    </xf>
    <xf numFmtId="0" fontId="25" fillId="0" borderId="7" xfId="0" applyFont="1" applyBorder="1" applyAlignment="1" applyProtection="1">
      <alignment vertical="center"/>
    </xf>
    <xf numFmtId="0" fontId="26" fillId="0" borderId="64" xfId="0" applyFont="1" applyBorder="1" applyAlignment="1" applyProtection="1">
      <alignment horizontal="center" vertical="center" shrinkToFit="1"/>
    </xf>
    <xf numFmtId="0" fontId="26" fillId="0" borderId="3" xfId="0" applyFont="1" applyBorder="1" applyAlignment="1" applyProtection="1">
      <alignment horizontal="center" vertical="center" shrinkToFit="1"/>
    </xf>
    <xf numFmtId="0" fontId="25" fillId="0" borderId="45" xfId="0" applyFont="1" applyBorder="1" applyAlignment="1" applyProtection="1">
      <alignment vertical="center"/>
    </xf>
    <xf numFmtId="183" fontId="25" fillId="0" borderId="4" xfId="0" applyNumberFormat="1" applyFont="1" applyBorder="1" applyAlignment="1" applyProtection="1">
      <alignment horizontal="center" vertical="center" shrinkToFit="1"/>
    </xf>
    <xf numFmtId="0" fontId="25" fillId="0" borderId="14" xfId="0" applyFont="1" applyBorder="1" applyAlignment="1" applyProtection="1">
      <alignment vertical="center"/>
    </xf>
    <xf numFmtId="0" fontId="25" fillId="0" borderId="61" xfId="0" applyFont="1" applyBorder="1" applyAlignment="1" applyProtection="1">
      <alignment vertical="center"/>
    </xf>
    <xf numFmtId="0" fontId="11" fillId="0" borderId="50" xfId="3" applyFont="1" applyBorder="1" applyAlignment="1" applyProtection="1">
      <alignment vertical="center" shrinkToFit="1"/>
    </xf>
    <xf numFmtId="0" fontId="11" fillId="0" borderId="5" xfId="3" applyFont="1" applyBorder="1" applyAlignment="1" applyProtection="1">
      <alignment vertical="center" shrinkToFit="1"/>
    </xf>
    <xf numFmtId="0" fontId="11" fillId="0" borderId="62" xfId="3" applyFont="1" applyBorder="1" applyAlignment="1" applyProtection="1">
      <alignment vertical="center" shrinkToFit="1"/>
    </xf>
    <xf numFmtId="0" fontId="11" fillId="0" borderId="224" xfId="3" applyNumberFormat="1" applyFont="1" applyBorder="1" applyAlignment="1" applyProtection="1">
      <alignment horizontal="center" vertical="center" shrinkToFit="1"/>
    </xf>
    <xf numFmtId="0" fontId="11" fillId="4" borderId="156" xfId="3" applyFont="1" applyFill="1" applyBorder="1" applyAlignment="1" applyProtection="1">
      <alignment horizontal="center" vertical="center" shrinkToFit="1"/>
      <protection locked="0"/>
    </xf>
    <xf numFmtId="0" fontId="11" fillId="5" borderId="165" xfId="3" applyFont="1" applyFill="1" applyBorder="1" applyAlignment="1" applyProtection="1">
      <alignment horizontal="center" vertical="center" shrinkToFit="1"/>
      <protection locked="0"/>
    </xf>
    <xf numFmtId="0" fontId="11" fillId="5" borderId="242" xfId="3" applyFont="1" applyFill="1" applyBorder="1" applyAlignment="1" applyProtection="1">
      <alignment horizontal="center" vertical="center" shrinkToFit="1"/>
      <protection locked="0"/>
    </xf>
    <xf numFmtId="0" fontId="11" fillId="2" borderId="243" xfId="3" applyFont="1" applyFill="1" applyBorder="1" applyAlignment="1" applyProtection="1">
      <alignment horizontal="center" vertical="center" shrinkToFit="1"/>
      <protection locked="0"/>
    </xf>
    <xf numFmtId="195" fontId="11" fillId="2" borderId="156" xfId="3" applyNumberFormat="1" applyFont="1" applyFill="1" applyBorder="1" applyAlignment="1" applyProtection="1">
      <alignment horizontal="right" vertical="center" shrinkToFit="1"/>
    </xf>
    <xf numFmtId="14" fontId="11" fillId="4" borderId="165" xfId="3" applyNumberFormat="1" applyFont="1" applyFill="1" applyBorder="1" applyAlignment="1" applyProtection="1">
      <alignment vertical="center" shrinkToFit="1"/>
      <protection locked="0"/>
    </xf>
    <xf numFmtId="0" fontId="11" fillId="4" borderId="165" xfId="3" applyFont="1" applyFill="1" applyBorder="1" applyAlignment="1" applyProtection="1">
      <alignment vertical="center" shrinkToFit="1"/>
      <protection locked="0"/>
    </xf>
    <xf numFmtId="0" fontId="25" fillId="2" borderId="155" xfId="0" applyFont="1" applyFill="1" applyBorder="1" applyAlignment="1" applyProtection="1">
      <alignment horizontal="center" vertical="center" shrinkToFit="1"/>
    </xf>
    <xf numFmtId="0" fontId="25" fillId="0" borderId="44" xfId="0" applyFont="1" applyBorder="1" applyAlignment="1" applyProtection="1">
      <alignment horizontal="right" vertical="center" shrinkToFit="1"/>
    </xf>
    <xf numFmtId="0" fontId="25" fillId="0" borderId="3" xfId="0" applyFont="1" applyBorder="1" applyAlignment="1" applyProtection="1">
      <alignment horizontal="right" vertical="center" shrinkToFit="1"/>
    </xf>
    <xf numFmtId="0" fontId="25" fillId="0" borderId="26" xfId="0" applyFont="1" applyBorder="1" applyAlignment="1" applyProtection="1">
      <alignment horizontal="right" vertical="center" shrinkToFit="1"/>
    </xf>
    <xf numFmtId="0" fontId="11" fillId="0" borderId="230" xfId="3" applyNumberFormat="1" applyFont="1" applyBorder="1" applyAlignment="1" applyProtection="1">
      <alignment horizontal="center" vertical="center" shrinkToFit="1"/>
    </xf>
    <xf numFmtId="0" fontId="11" fillId="5" borderId="168" xfId="3" applyFont="1" applyFill="1" applyBorder="1" applyAlignment="1" applyProtection="1">
      <alignment horizontal="center" vertical="center" shrinkToFit="1"/>
      <protection locked="0"/>
    </xf>
    <xf numFmtId="195" fontId="11" fillId="2" borderId="158" xfId="3" applyNumberFormat="1" applyFont="1" applyFill="1" applyBorder="1" applyAlignment="1" applyProtection="1">
      <alignment horizontal="right" vertical="center" shrinkToFit="1"/>
    </xf>
    <xf numFmtId="0" fontId="25" fillId="2" borderId="157" xfId="0" applyFont="1" applyFill="1" applyBorder="1" applyAlignment="1" applyProtection="1">
      <alignment horizontal="center" vertical="center" shrinkToFit="1"/>
    </xf>
    <xf numFmtId="0" fontId="25" fillId="0" borderId="63" xfId="0" applyFont="1" applyBorder="1" applyAlignment="1" applyProtection="1">
      <alignment horizontal="right" vertical="center" shrinkToFit="1"/>
    </xf>
    <xf numFmtId="0" fontId="25" fillId="0" borderId="20" xfId="0" applyFont="1" applyBorder="1" applyAlignment="1" applyProtection="1">
      <alignment horizontal="right" vertical="center" shrinkToFit="1"/>
    </xf>
    <xf numFmtId="0" fontId="25" fillId="0" borderId="47" xfId="0" applyFont="1" applyBorder="1" applyAlignment="1" applyProtection="1">
      <alignment horizontal="right" vertical="center" shrinkToFit="1"/>
    </xf>
    <xf numFmtId="0" fontId="11" fillId="0" borderId="237" xfId="3" applyNumberFormat="1" applyFont="1" applyBorder="1" applyAlignment="1" applyProtection="1">
      <alignment horizontal="center" vertical="center" shrinkToFit="1"/>
    </xf>
    <xf numFmtId="0" fontId="11" fillId="5" borderId="177" xfId="3" applyFont="1" applyFill="1" applyBorder="1" applyAlignment="1" applyProtection="1">
      <alignment horizontal="center" vertical="center" shrinkToFit="1"/>
      <protection locked="0"/>
    </xf>
    <xf numFmtId="195" fontId="11" fillId="2" borderId="179" xfId="3" applyNumberFormat="1" applyFont="1" applyFill="1" applyBorder="1" applyAlignment="1" applyProtection="1">
      <alignment horizontal="right" vertical="center" shrinkToFit="1"/>
    </xf>
    <xf numFmtId="0" fontId="25" fillId="2" borderId="173" xfId="0" applyFont="1" applyFill="1" applyBorder="1" applyAlignment="1" applyProtection="1">
      <alignment horizontal="center" vertical="center" shrinkToFit="1"/>
    </xf>
    <xf numFmtId="0" fontId="25" fillId="0" borderId="30" xfId="0" applyFont="1" applyBorder="1" applyAlignment="1" applyProtection="1">
      <alignment horizontal="right" vertical="center" shrinkToFit="1"/>
    </xf>
    <xf numFmtId="0" fontId="25" fillId="0" borderId="51" xfId="0" applyFont="1" applyBorder="1" applyAlignment="1" applyProtection="1">
      <alignment horizontal="right" vertical="center" shrinkToFit="1"/>
    </xf>
    <xf numFmtId="0" fontId="25" fillId="0" borderId="62" xfId="0" applyFont="1" applyBorder="1" applyAlignment="1" applyProtection="1">
      <alignment horizontal="right" vertical="center" shrinkToFit="1"/>
    </xf>
    <xf numFmtId="0" fontId="25" fillId="0" borderId="148" xfId="0" applyFont="1" applyFill="1" applyBorder="1" applyAlignment="1" applyProtection="1">
      <alignment horizontal="right" vertical="center" shrinkToFit="1"/>
    </xf>
    <xf numFmtId="0" fontId="25" fillId="0" borderId="65" xfId="0" applyFont="1" applyBorder="1" applyAlignment="1" applyProtection="1">
      <alignment horizontal="right" vertical="center" shrinkToFit="1"/>
    </xf>
    <xf numFmtId="0" fontId="25" fillId="0" borderId="0" xfId="0" applyFont="1" applyBorder="1" applyProtection="1">
      <alignment vertical="center"/>
    </xf>
    <xf numFmtId="0" fontId="25" fillId="0" borderId="149" xfId="0" applyFont="1" applyFill="1" applyBorder="1" applyAlignment="1" applyProtection="1">
      <alignment horizontal="right" vertical="center" shrinkToFit="1"/>
    </xf>
    <xf numFmtId="0" fontId="25" fillId="0" borderId="18" xfId="0" applyFont="1" applyBorder="1" applyAlignment="1" applyProtection="1">
      <alignment horizontal="right" vertical="center" shrinkToFit="1"/>
    </xf>
    <xf numFmtId="0" fontId="26" fillId="0" borderId="22" xfId="0" applyFont="1" applyBorder="1" applyAlignment="1" applyProtection="1">
      <alignment horizontal="right" vertical="center" shrinkToFit="1"/>
    </xf>
    <xf numFmtId="0" fontId="25" fillId="0" borderId="61" xfId="0" applyFont="1" applyBorder="1" applyAlignment="1" applyProtection="1">
      <alignment horizontal="right" vertical="center" shrinkToFit="1"/>
    </xf>
    <xf numFmtId="0" fontId="25" fillId="0" borderId="14" xfId="0" applyFont="1" applyBorder="1" applyAlignment="1" applyProtection="1">
      <alignment horizontal="right" vertical="center" shrinkToFit="1"/>
    </xf>
    <xf numFmtId="0" fontId="25" fillId="0" borderId="150" xfId="0" applyFont="1" applyFill="1" applyBorder="1" applyAlignment="1" applyProtection="1">
      <alignment horizontal="right" vertical="center" shrinkToFit="1"/>
    </xf>
    <xf numFmtId="0" fontId="25" fillId="0" borderId="50" xfId="0" applyFont="1" applyBorder="1" applyAlignment="1" applyProtection="1">
      <alignment horizontal="right" vertical="center" shrinkToFit="1"/>
    </xf>
    <xf numFmtId="0" fontId="11" fillId="0" borderId="0" xfId="3" applyFont="1" applyAlignment="1" applyProtection="1">
      <alignment vertical="center"/>
    </xf>
    <xf numFmtId="0" fontId="4" fillId="2" borderId="37" xfId="3" applyFont="1" applyFill="1" applyBorder="1" applyAlignment="1" applyProtection="1">
      <alignment horizontal="center" vertical="center"/>
    </xf>
    <xf numFmtId="0" fontId="37" fillId="2" borderId="3" xfId="3" applyFont="1" applyFill="1" applyBorder="1" applyAlignment="1" applyProtection="1">
      <alignment horizontal="center" vertical="center" shrinkToFit="1"/>
    </xf>
    <xf numFmtId="0" fontId="37" fillId="2" borderId="9" xfId="3" applyFont="1" applyFill="1" applyBorder="1" applyAlignment="1" applyProtection="1">
      <alignment horizontal="center" vertical="center" shrinkToFit="1"/>
    </xf>
    <xf numFmtId="0" fontId="4" fillId="2" borderId="244" xfId="3" applyFont="1" applyFill="1" applyBorder="1" applyAlignment="1" applyProtection="1">
      <alignment horizontal="center" vertical="center" shrinkToFit="1"/>
    </xf>
    <xf numFmtId="4" fontId="28" fillId="2" borderId="166" xfId="2" applyNumberFormat="1" applyFont="1" applyFill="1" applyBorder="1" applyAlignment="1" applyProtection="1">
      <alignment horizontal="right" vertical="center" shrinkToFit="1"/>
    </xf>
    <xf numFmtId="0" fontId="4" fillId="2" borderId="245" xfId="3" applyFont="1" applyFill="1" applyBorder="1" applyAlignment="1" applyProtection="1">
      <alignment horizontal="center" vertical="center" shrinkToFit="1"/>
    </xf>
    <xf numFmtId="4" fontId="28" fillId="2" borderId="114" xfId="2" applyNumberFormat="1" applyFont="1" applyFill="1" applyBorder="1" applyAlignment="1" applyProtection="1">
      <alignment horizontal="right" vertical="center" shrinkToFit="1"/>
    </xf>
    <xf numFmtId="0" fontId="4" fillId="2" borderId="246" xfId="3" applyFont="1" applyFill="1" applyBorder="1" applyAlignment="1" applyProtection="1">
      <alignment horizontal="center" vertical="center" shrinkToFit="1"/>
    </xf>
    <xf numFmtId="4" fontId="28" fillId="2" borderId="171" xfId="2" applyNumberFormat="1" applyFont="1" applyFill="1" applyBorder="1" applyAlignment="1" applyProtection="1">
      <alignment horizontal="right" vertical="center" shrinkToFit="1"/>
    </xf>
    <xf numFmtId="190" fontId="4" fillId="2" borderId="24" xfId="3" applyNumberFormat="1" applyFont="1" applyFill="1" applyBorder="1" applyAlignment="1" applyProtection="1">
      <alignment shrinkToFit="1"/>
    </xf>
    <xf numFmtId="0" fontId="44" fillId="2" borderId="0" xfId="0" applyFont="1" applyFill="1" applyAlignment="1" applyProtection="1">
      <alignment vertical="center"/>
    </xf>
    <xf numFmtId="0" fontId="11" fillId="0" borderId="0" xfId="0" applyFont="1" applyFill="1" applyBorder="1" applyAlignment="1" applyProtection="1">
      <alignment horizontal="center" vertical="center" shrinkToFit="1"/>
    </xf>
    <xf numFmtId="0" fontId="25" fillId="0" borderId="0" xfId="0" applyFont="1" applyFill="1" applyAlignment="1" applyProtection="1">
      <alignment vertical="center"/>
    </xf>
    <xf numFmtId="0" fontId="25" fillId="0" borderId="4" xfId="0" applyFont="1" applyFill="1" applyBorder="1" applyAlignment="1" applyProtection="1">
      <alignment vertical="center" shrinkToFit="1"/>
    </xf>
    <xf numFmtId="0" fontId="25" fillId="0" borderId="17" xfId="0" applyFont="1" applyFill="1" applyBorder="1" applyAlignment="1" applyProtection="1">
      <alignment vertical="center" shrinkToFit="1"/>
    </xf>
    <xf numFmtId="0" fontId="25" fillId="0" borderId="61" xfId="0" applyFont="1" applyFill="1" applyBorder="1" applyAlignment="1" applyProtection="1">
      <alignment vertical="center" shrinkToFit="1"/>
    </xf>
    <xf numFmtId="0" fontId="25" fillId="0" borderId="0" xfId="0" applyFont="1" applyFill="1" applyBorder="1" applyAlignment="1" applyProtection="1">
      <alignment vertical="center" shrinkToFit="1"/>
    </xf>
    <xf numFmtId="0" fontId="25" fillId="0" borderId="6" xfId="0" applyFont="1" applyFill="1" applyBorder="1" applyAlignment="1" applyProtection="1">
      <alignment vertical="center" shrinkToFit="1"/>
    </xf>
    <xf numFmtId="0" fontId="47" fillId="2" borderId="0" xfId="0" applyFont="1" applyFill="1" applyAlignment="1" applyProtection="1">
      <alignment vertical="center"/>
    </xf>
    <xf numFmtId="0" fontId="47" fillId="0" borderId="0" xfId="0" applyFont="1" applyFill="1" applyAlignment="1" applyProtection="1">
      <alignment horizontal="center" vertical="center"/>
    </xf>
    <xf numFmtId="0" fontId="25" fillId="0" borderId="0" xfId="0" applyFont="1" applyFill="1" applyAlignment="1" applyProtection="1">
      <alignment horizontal="right" vertical="center"/>
    </xf>
    <xf numFmtId="0" fontId="26" fillId="0" borderId="85" xfId="0" applyFont="1" applyFill="1" applyBorder="1" applyAlignment="1" applyProtection="1">
      <alignment vertical="center" shrinkToFit="1"/>
    </xf>
    <xf numFmtId="0" fontId="25" fillId="0" borderId="63" xfId="0" applyFont="1" applyFill="1" applyBorder="1" applyAlignment="1" applyProtection="1">
      <alignment horizontal="center" vertical="center" shrinkToFit="1"/>
    </xf>
    <xf numFmtId="0" fontId="25" fillId="0" borderId="17" xfId="0" applyFont="1" applyFill="1" applyBorder="1" applyAlignment="1" applyProtection="1">
      <alignment horizontal="center" vertical="center" shrinkToFit="1"/>
    </xf>
    <xf numFmtId="0" fontId="25" fillId="0" borderId="63" xfId="0" applyFont="1" applyFill="1" applyBorder="1" applyAlignment="1" applyProtection="1">
      <alignment horizontal="center" vertical="center" wrapText="1" shrinkToFit="1"/>
    </xf>
    <xf numFmtId="0" fontId="25" fillId="0" borderId="4" xfId="0" applyFont="1" applyFill="1" applyBorder="1" applyAlignment="1" applyProtection="1">
      <alignment horizontal="center" vertical="center" wrapText="1" shrinkToFit="1"/>
    </xf>
    <xf numFmtId="0" fontId="25" fillId="0" borderId="61" xfId="0" applyFont="1" applyFill="1" applyBorder="1" applyAlignment="1" applyProtection="1">
      <alignment vertical="center"/>
    </xf>
    <xf numFmtId="0" fontId="44" fillId="2" borderId="0" xfId="0" applyFont="1" applyFill="1" applyAlignment="1" applyProtection="1">
      <alignment horizontal="right" vertical="center"/>
    </xf>
    <xf numFmtId="0" fontId="44" fillId="2" borderId="0" xfId="0" applyFont="1" applyFill="1" applyAlignment="1" applyProtection="1">
      <alignment horizontal="center" vertical="center"/>
    </xf>
    <xf numFmtId="0" fontId="44" fillId="2" borderId="0" xfId="0" applyFont="1" applyFill="1" applyAlignment="1" applyProtection="1">
      <alignment horizontal="left" vertical="center"/>
    </xf>
    <xf numFmtId="0" fontId="25" fillId="0" borderId="63" xfId="0" applyFont="1" applyFill="1" applyBorder="1" applyAlignment="1" applyProtection="1">
      <alignment vertical="center"/>
    </xf>
    <xf numFmtId="0" fontId="25" fillId="0" borderId="0" xfId="0" applyFont="1" applyFill="1" applyBorder="1" applyAlignment="1" applyProtection="1">
      <alignment horizontal="center" vertical="center"/>
    </xf>
    <xf numFmtId="0" fontId="25" fillId="0" borderId="30" xfId="0" applyFont="1" applyFill="1" applyBorder="1" applyAlignment="1" applyProtection="1">
      <alignment horizontal="center" vertical="center" shrinkToFit="1"/>
    </xf>
    <xf numFmtId="0" fontId="25" fillId="0" borderId="5" xfId="0" applyFont="1" applyFill="1" applyBorder="1" applyAlignment="1" applyProtection="1">
      <alignment horizontal="center" vertical="center" shrinkToFit="1"/>
    </xf>
    <xf numFmtId="0" fontId="25" fillId="0" borderId="27" xfId="0" applyFont="1" applyFill="1" applyBorder="1" applyAlignment="1" applyProtection="1">
      <alignment horizontal="center" vertical="center" shrinkToFit="1"/>
    </xf>
    <xf numFmtId="0" fontId="25" fillId="0" borderId="36" xfId="0" applyFont="1" applyFill="1" applyBorder="1" applyAlignment="1" applyProtection="1">
      <alignment vertical="center"/>
    </xf>
    <xf numFmtId="0" fontId="25" fillId="0" borderId="46" xfId="0" applyFont="1" applyFill="1" applyBorder="1" applyAlignment="1" applyProtection="1">
      <alignment horizontal="center" vertical="center" shrinkToFit="1"/>
    </xf>
    <xf numFmtId="0" fontId="25" fillId="0" borderId="46" xfId="0" applyFont="1" applyFill="1" applyBorder="1" applyAlignment="1" applyProtection="1">
      <alignment horizontal="center" vertical="center" wrapText="1" shrinkToFit="1"/>
    </xf>
    <xf numFmtId="0" fontId="25" fillId="0" borderId="6" xfId="0" applyFont="1" applyFill="1" applyBorder="1" applyAlignment="1" applyProtection="1">
      <alignment horizontal="center" vertical="center" wrapText="1" shrinkToFit="1"/>
    </xf>
    <xf numFmtId="0" fontId="25" fillId="0" borderId="106" xfId="0" applyFont="1" applyFill="1" applyBorder="1" applyAlignment="1" applyProtection="1">
      <alignment vertical="center"/>
    </xf>
    <xf numFmtId="0" fontId="25" fillId="0" borderId="23" xfId="0" applyFont="1" applyFill="1" applyBorder="1" applyAlignment="1" applyProtection="1">
      <alignment horizontal="center" vertical="center" shrinkToFit="1"/>
    </xf>
    <xf numFmtId="0" fontId="25" fillId="0" borderId="24" xfId="0" applyFont="1" applyFill="1" applyBorder="1" applyAlignment="1" applyProtection="1">
      <alignment horizontal="center" vertical="center" shrinkToFit="1"/>
    </xf>
    <xf numFmtId="0" fontId="25" fillId="0" borderId="40" xfId="0" applyFont="1" applyFill="1" applyBorder="1" applyAlignment="1" applyProtection="1">
      <alignment horizontal="center" vertical="center" shrinkToFit="1"/>
    </xf>
    <xf numFmtId="0" fontId="25" fillId="0" borderId="39" xfId="0" applyFont="1" applyFill="1" applyBorder="1" applyAlignment="1" applyProtection="1">
      <alignment horizontal="center" vertical="center" shrinkToFit="1"/>
    </xf>
    <xf numFmtId="0" fontId="26" fillId="0" borderId="207" xfId="0" applyFont="1" applyFill="1" applyBorder="1" applyAlignment="1" applyProtection="1">
      <alignment horizontal="center" vertical="center" shrinkToFit="1"/>
    </xf>
    <xf numFmtId="0" fontId="25" fillId="0" borderId="109" xfId="0" applyFont="1" applyFill="1" applyBorder="1" applyAlignment="1" applyProtection="1">
      <alignment horizontal="center" vertical="center" shrinkToFit="1"/>
    </xf>
    <xf numFmtId="0" fontId="25" fillId="0" borderId="247" xfId="0" applyFont="1" applyFill="1" applyBorder="1" applyAlignment="1" applyProtection="1">
      <alignment horizontal="center" vertical="center" shrinkToFit="1"/>
    </xf>
    <xf numFmtId="0" fontId="25" fillId="0" borderId="41" xfId="0" applyFont="1" applyFill="1" applyBorder="1" applyAlignment="1" applyProtection="1">
      <alignment vertical="center"/>
    </xf>
    <xf numFmtId="0" fontId="25" fillId="0" borderId="44" xfId="0" applyFont="1" applyFill="1" applyBorder="1" applyAlignment="1" applyProtection="1">
      <alignment horizontal="center" vertical="center" shrinkToFit="1"/>
    </xf>
    <xf numFmtId="0" fontId="25" fillId="0" borderId="3" xfId="0" applyFont="1" applyFill="1" applyBorder="1" applyAlignment="1" applyProtection="1">
      <alignment horizontal="center" vertical="center" shrinkToFit="1"/>
    </xf>
    <xf numFmtId="0" fontId="25" fillId="0" borderId="49" xfId="0" applyFont="1" applyFill="1" applyBorder="1" applyAlignment="1" applyProtection="1">
      <alignment horizontal="center" vertical="center" shrinkToFit="1"/>
    </xf>
    <xf numFmtId="0" fontId="25" fillId="0" borderId="107" xfId="0" applyFont="1" applyFill="1" applyBorder="1" applyAlignment="1" applyProtection="1">
      <alignment horizontal="center" vertical="center" shrinkToFit="1"/>
    </xf>
    <xf numFmtId="0" fontId="25" fillId="0" borderId="248" xfId="0" applyFont="1" applyFill="1" applyBorder="1" applyAlignment="1" applyProtection="1">
      <alignment horizontal="center" vertical="center" shrinkToFit="1"/>
    </xf>
    <xf numFmtId="0" fontId="25" fillId="0" borderId="64" xfId="0" applyFont="1" applyFill="1" applyBorder="1" applyAlignment="1" applyProtection="1">
      <alignment horizontal="center" vertical="center" shrinkToFit="1"/>
    </xf>
    <xf numFmtId="0" fontId="25" fillId="0" borderId="211" xfId="0" applyFont="1" applyFill="1" applyBorder="1" applyAlignment="1" applyProtection="1">
      <alignment horizontal="center" vertical="center" shrinkToFit="1"/>
    </xf>
    <xf numFmtId="38" fontId="25" fillId="0" borderId="13" xfId="4" applyFont="1" applyFill="1" applyBorder="1" applyAlignment="1" applyProtection="1">
      <alignment vertical="center"/>
    </xf>
    <xf numFmtId="0" fontId="25" fillId="0" borderId="103" xfId="0" applyFont="1" applyFill="1" applyBorder="1" applyAlignment="1" applyProtection="1">
      <alignment vertical="center"/>
    </xf>
    <xf numFmtId="0" fontId="25" fillId="0" borderId="81" xfId="0" applyFont="1" applyFill="1" applyBorder="1" applyAlignment="1" applyProtection="1">
      <alignment horizontal="center" vertical="center" shrinkToFit="1"/>
    </xf>
    <xf numFmtId="0" fontId="25" fillId="0" borderId="217" xfId="0" applyFont="1" applyFill="1" applyBorder="1" applyAlignment="1" applyProtection="1">
      <alignment horizontal="center" vertical="center" shrinkToFit="1"/>
    </xf>
    <xf numFmtId="0" fontId="25" fillId="0" borderId="18" xfId="0" applyFont="1" applyFill="1" applyBorder="1" applyAlignment="1" applyProtection="1">
      <alignment horizontal="center" vertical="center" shrinkToFit="1"/>
    </xf>
    <xf numFmtId="0" fontId="25" fillId="0" borderId="14" xfId="0" applyFont="1" applyFill="1" applyBorder="1" applyAlignment="1" applyProtection="1">
      <alignment horizontal="center" vertical="center" shrinkToFit="1"/>
    </xf>
    <xf numFmtId="0" fontId="25" fillId="0" borderId="235"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25" fillId="0" borderId="0" xfId="0" applyFont="1" applyFill="1" applyBorder="1" applyAlignment="1" applyProtection="1">
      <alignment vertical="center"/>
    </xf>
    <xf numFmtId="0" fontId="25" fillId="0" borderId="0" xfId="0" applyFont="1" applyFill="1" applyProtection="1">
      <alignment vertical="center"/>
    </xf>
    <xf numFmtId="0" fontId="25" fillId="2" borderId="0" xfId="0" applyFont="1" applyFill="1" applyBorder="1" applyAlignment="1" applyProtection="1">
      <alignment horizontal="center" vertical="center" shrinkToFit="1"/>
    </xf>
    <xf numFmtId="0" fontId="25" fillId="2" borderId="0" xfId="0" applyFont="1" applyFill="1" applyBorder="1" applyAlignment="1" applyProtection="1">
      <alignment vertical="center" shrinkToFit="1"/>
    </xf>
    <xf numFmtId="0" fontId="48" fillId="0" borderId="37" xfId="0" applyFont="1" applyFill="1" applyBorder="1" applyAlignment="1" applyProtection="1">
      <alignment vertical="center" wrapText="1"/>
    </xf>
    <xf numFmtId="0" fontId="25" fillId="0" borderId="37" xfId="0" applyFont="1" applyFill="1" applyBorder="1" applyAlignment="1" applyProtection="1">
      <alignment vertical="center"/>
    </xf>
    <xf numFmtId="0" fontId="44" fillId="0" borderId="46" xfId="0" applyFont="1" applyFill="1" applyBorder="1" applyAlignment="1" applyProtection="1">
      <alignment horizontal="center" vertical="center"/>
    </xf>
    <xf numFmtId="0" fontId="44" fillId="0" borderId="5" xfId="0" applyFont="1" applyFill="1" applyBorder="1" applyAlignment="1" applyProtection="1">
      <alignment horizontal="center" vertical="center" shrinkToFit="1"/>
    </xf>
    <xf numFmtId="0" fontId="44" fillId="0" borderId="19" xfId="0" applyFont="1" applyFill="1" applyBorder="1" applyAlignment="1" applyProtection="1">
      <alignment horizontal="center" vertical="center" shrinkToFit="1"/>
    </xf>
    <xf numFmtId="0" fontId="25" fillId="0" borderId="148" xfId="0" applyFont="1" applyFill="1" applyBorder="1" applyAlignment="1" applyProtection="1">
      <alignment horizontal="center" vertical="center" shrinkToFit="1"/>
    </xf>
    <xf numFmtId="0" fontId="44" fillId="0" borderId="19" xfId="0" applyFont="1" applyFill="1" applyBorder="1" applyAlignment="1" applyProtection="1">
      <alignment horizontal="center" vertical="center"/>
    </xf>
    <xf numFmtId="0" fontId="44" fillId="0" borderId="0" xfId="0" applyFont="1" applyFill="1" applyBorder="1" applyAlignment="1" applyProtection="1">
      <alignment horizontal="center" vertical="center"/>
    </xf>
    <xf numFmtId="0" fontId="25" fillId="0" borderId="13" xfId="0" applyFont="1" applyFill="1" applyBorder="1" applyAlignment="1" applyProtection="1">
      <alignment horizontal="center" vertical="center" shrinkToFit="1"/>
    </xf>
    <xf numFmtId="0" fontId="25" fillId="0" borderId="20" xfId="0" applyFont="1" applyFill="1" applyBorder="1" applyAlignment="1" applyProtection="1">
      <alignment horizontal="center" vertical="center" shrinkToFit="1"/>
    </xf>
    <xf numFmtId="0" fontId="25" fillId="0" borderId="0" xfId="0" applyFont="1" applyFill="1" applyBorder="1" applyAlignment="1" applyProtection="1">
      <alignment vertical="center" wrapText="1"/>
    </xf>
    <xf numFmtId="2" fontId="25" fillId="2" borderId="267" xfId="0" applyNumberFormat="1" applyFont="1" applyFill="1" applyBorder="1" applyAlignment="1" applyProtection="1">
      <alignment horizontal="center" vertical="center" shrinkToFit="1"/>
    </xf>
    <xf numFmtId="0" fontId="26" fillId="0" borderId="268" xfId="0" applyFont="1" applyFill="1" applyBorder="1" applyAlignment="1" applyProtection="1">
      <alignment vertical="center" shrinkToFit="1"/>
    </xf>
    <xf numFmtId="0" fontId="26" fillId="0" borderId="217" xfId="0" applyFont="1" applyFill="1" applyBorder="1" applyAlignment="1" applyProtection="1">
      <alignment horizontal="center" vertical="center" shrinkToFit="1"/>
    </xf>
    <xf numFmtId="0" fontId="26" fillId="0" borderId="268" xfId="0" applyFont="1" applyFill="1" applyBorder="1" applyAlignment="1" applyProtection="1">
      <alignment horizontal="center" vertical="center" shrinkToFit="1"/>
    </xf>
    <xf numFmtId="0" fontId="25" fillId="0" borderId="61" xfId="0" applyFont="1" applyFill="1" applyBorder="1" applyAlignment="1" applyProtection="1">
      <alignment horizontal="center" vertical="center" shrinkToFit="1"/>
    </xf>
    <xf numFmtId="0" fontId="25" fillId="2" borderId="272" xfId="0" applyFont="1" applyFill="1" applyBorder="1" applyAlignment="1" applyProtection="1">
      <alignment horizontal="center" vertical="center" shrinkToFit="1"/>
    </xf>
    <xf numFmtId="2" fontId="25" fillId="2" borderId="60" xfId="0" applyNumberFormat="1" applyFont="1" applyFill="1" applyBorder="1" applyAlignment="1" applyProtection="1">
      <alignment horizontal="center" vertical="center" shrinkToFit="1"/>
    </xf>
    <xf numFmtId="0" fontId="25" fillId="2" borderId="273" xfId="0" applyFont="1" applyFill="1" applyBorder="1" applyAlignment="1" applyProtection="1">
      <alignment horizontal="center" vertical="center" shrinkToFit="1"/>
    </xf>
    <xf numFmtId="0" fontId="25" fillId="0" borderId="25" xfId="0" applyFont="1" applyFill="1" applyBorder="1" applyAlignment="1" applyProtection="1">
      <alignment horizontal="center" vertical="center" shrinkToFit="1"/>
    </xf>
    <xf numFmtId="2" fontId="26" fillId="0" borderId="217" xfId="0" applyNumberFormat="1" applyFont="1" applyFill="1" applyBorder="1" applyAlignment="1" applyProtection="1">
      <alignment horizontal="center" vertical="center" shrinkToFit="1"/>
    </xf>
    <xf numFmtId="0" fontId="25" fillId="2" borderId="59" xfId="0" applyFont="1" applyFill="1" applyBorder="1" applyAlignment="1" applyProtection="1">
      <alignment horizontal="center" vertical="center" shrinkToFit="1"/>
    </xf>
    <xf numFmtId="2" fontId="25" fillId="2" borderId="59" xfId="0" applyNumberFormat="1" applyFont="1" applyFill="1" applyBorder="1" applyAlignment="1" applyProtection="1">
      <alignment horizontal="center" vertical="center" shrinkToFit="1"/>
    </xf>
    <xf numFmtId="0" fontId="25" fillId="2" borderId="277" xfId="0" applyFont="1" applyFill="1" applyBorder="1" applyAlignment="1" applyProtection="1">
      <alignment horizontal="center" vertical="center" shrinkToFit="1"/>
    </xf>
    <xf numFmtId="38" fontId="25" fillId="0" borderId="18" xfId="0" applyNumberFormat="1" applyFont="1" applyFill="1" applyBorder="1" applyAlignment="1" applyProtection="1">
      <alignment horizontal="center" vertical="center" shrinkToFit="1"/>
    </xf>
    <xf numFmtId="38" fontId="26" fillId="0" borderId="217" xfId="0" applyNumberFormat="1" applyFont="1" applyFill="1" applyBorder="1" applyAlignment="1" applyProtection="1">
      <alignment horizontal="center" vertical="center" shrinkToFit="1"/>
    </xf>
    <xf numFmtId="38" fontId="25" fillId="0" borderId="14" xfId="0" applyNumberFormat="1" applyFont="1" applyFill="1" applyBorder="1" applyAlignment="1" applyProtection="1">
      <alignment horizontal="center" vertical="center" shrinkToFit="1"/>
    </xf>
    <xf numFmtId="38" fontId="25" fillId="0" borderId="17" xfId="0" applyNumberFormat="1" applyFont="1" applyFill="1" applyBorder="1" applyAlignment="1" applyProtection="1">
      <alignment horizontal="center" vertical="center" shrinkToFit="1"/>
    </xf>
    <xf numFmtId="0" fontId="25" fillId="0" borderId="0" xfId="0" applyFont="1" applyFill="1" applyBorder="1" applyProtection="1">
      <alignment vertical="center"/>
    </xf>
    <xf numFmtId="0" fontId="26" fillId="0" borderId="217" xfId="0" applyFont="1" applyFill="1" applyBorder="1" applyAlignment="1" applyProtection="1">
      <alignment vertical="center" shrinkToFit="1"/>
    </xf>
    <xf numFmtId="2" fontId="25" fillId="2" borderId="292" xfId="0" applyNumberFormat="1" applyFont="1" applyFill="1" applyBorder="1" applyAlignment="1" applyProtection="1">
      <alignment horizontal="center" vertical="center" shrinkToFit="1"/>
    </xf>
    <xf numFmtId="2" fontId="25" fillId="2" borderId="98" xfId="0" applyNumberFormat="1" applyFont="1" applyFill="1" applyBorder="1" applyAlignment="1" applyProtection="1">
      <alignment horizontal="center" vertical="center" shrinkToFit="1"/>
    </xf>
    <xf numFmtId="0" fontId="25" fillId="2" borderId="181" xfId="0" applyFont="1" applyFill="1" applyBorder="1" applyAlignment="1" applyProtection="1">
      <alignment horizontal="center" vertical="center" shrinkToFit="1"/>
    </xf>
    <xf numFmtId="2" fontId="25" fillId="2" borderId="272" xfId="0" applyNumberFormat="1" applyFont="1" applyFill="1" applyBorder="1" applyAlignment="1" applyProtection="1">
      <alignment horizontal="center" vertical="center" shrinkToFit="1"/>
    </xf>
    <xf numFmtId="2" fontId="25" fillId="2" borderId="305" xfId="0" applyNumberFormat="1" applyFont="1" applyFill="1" applyBorder="1" applyAlignment="1" applyProtection="1">
      <alignment horizontal="center" vertical="center" shrinkToFit="1"/>
    </xf>
    <xf numFmtId="2" fontId="25" fillId="2" borderId="31" xfId="0" applyNumberFormat="1" applyFont="1" applyFill="1" applyBorder="1" applyAlignment="1" applyProtection="1">
      <alignment horizontal="center" vertical="center" shrinkToFit="1"/>
    </xf>
    <xf numFmtId="0" fontId="25" fillId="2" borderId="111" xfId="0" applyFont="1" applyFill="1" applyBorder="1" applyAlignment="1" applyProtection="1">
      <alignment horizontal="center" vertical="center" shrinkToFit="1"/>
    </xf>
    <xf numFmtId="0" fontId="25" fillId="0" borderId="31" xfId="0" applyFont="1" applyFill="1" applyBorder="1" applyAlignment="1" applyProtection="1">
      <alignment horizontal="center" vertical="center" shrinkToFit="1"/>
    </xf>
    <xf numFmtId="0" fontId="25" fillId="0" borderId="16" xfId="0" applyFont="1" applyFill="1" applyBorder="1" applyAlignment="1" applyProtection="1">
      <alignment horizontal="center" vertical="center" shrinkToFit="1"/>
    </xf>
    <xf numFmtId="0" fontId="25" fillId="0" borderId="19" xfId="0" applyFont="1" applyFill="1" applyBorder="1" applyAlignment="1" applyProtection="1">
      <alignment horizontal="center" vertical="center" shrinkToFit="1"/>
    </xf>
    <xf numFmtId="0" fontId="25" fillId="2" borderId="266" xfId="0" applyFont="1" applyFill="1" applyBorder="1" applyAlignment="1" applyProtection="1">
      <alignment horizontal="center" vertical="center" shrinkToFit="1"/>
    </xf>
    <xf numFmtId="0" fontId="25" fillId="2" borderId="121" xfId="0" applyFont="1" applyFill="1" applyBorder="1" applyAlignment="1" applyProtection="1">
      <alignment horizontal="center" vertical="center" shrinkToFit="1"/>
    </xf>
    <xf numFmtId="0" fontId="26" fillId="0" borderId="306" xfId="0" applyFont="1" applyFill="1" applyBorder="1" applyAlignment="1" applyProtection="1">
      <alignment horizontal="center" vertical="center" shrinkToFit="1"/>
    </xf>
    <xf numFmtId="0" fontId="25" fillId="0" borderId="76" xfId="0" applyFont="1" applyFill="1" applyBorder="1" applyAlignment="1" applyProtection="1">
      <alignment horizontal="center" vertical="center" shrinkToFit="1"/>
    </xf>
    <xf numFmtId="0" fontId="25" fillId="0" borderId="77" xfId="0" applyFont="1" applyFill="1" applyBorder="1" applyAlignment="1" applyProtection="1">
      <alignment horizontal="center" vertical="center" shrinkToFit="1"/>
    </xf>
    <xf numFmtId="0" fontId="25" fillId="0" borderId="75" xfId="0" applyFont="1" applyFill="1" applyBorder="1" applyAlignment="1" applyProtection="1">
      <alignment horizontal="center" vertical="center" shrinkToFit="1"/>
    </xf>
    <xf numFmtId="0" fontId="25" fillId="0" borderId="307" xfId="0" applyFont="1" applyFill="1" applyBorder="1" applyAlignment="1" applyProtection="1">
      <alignment horizontal="center" vertical="center" shrinkToFit="1"/>
    </xf>
    <xf numFmtId="0" fontId="25" fillId="0" borderId="306" xfId="0" applyFont="1" applyFill="1" applyBorder="1" applyAlignment="1" applyProtection="1">
      <alignment horizontal="center" vertical="center" shrinkToFit="1"/>
    </xf>
    <xf numFmtId="0" fontId="25" fillId="0" borderId="216" xfId="0" applyFont="1" applyFill="1" applyBorder="1" applyAlignment="1" applyProtection="1">
      <alignment horizontal="center" vertical="center" shrinkToFit="1"/>
    </xf>
    <xf numFmtId="2" fontId="25" fillId="0" borderId="20" xfId="0" applyNumberFormat="1" applyFont="1" applyFill="1" applyBorder="1" applyAlignment="1" applyProtection="1">
      <alignment horizontal="center" vertical="center" shrinkToFit="1"/>
    </xf>
    <xf numFmtId="2" fontId="26" fillId="0" borderId="211" xfId="0" applyNumberFormat="1" applyFont="1" applyFill="1" applyBorder="1" applyAlignment="1" applyProtection="1">
      <alignment horizontal="center" vertical="center" shrinkToFit="1"/>
    </xf>
    <xf numFmtId="2" fontId="25" fillId="2" borderId="121" xfId="0" applyNumberFormat="1" applyFont="1" applyFill="1" applyBorder="1" applyAlignment="1" applyProtection="1">
      <alignment horizontal="center" vertical="center" shrinkToFit="1"/>
    </xf>
    <xf numFmtId="2" fontId="25" fillId="2" borderId="79" xfId="0" applyNumberFormat="1" applyFont="1" applyFill="1" applyBorder="1" applyAlignment="1" applyProtection="1">
      <alignment horizontal="center" vertical="center" shrinkToFit="1"/>
    </xf>
    <xf numFmtId="180" fontId="25" fillId="0" borderId="0" xfId="0" applyNumberFormat="1" applyFont="1" applyFill="1" applyAlignment="1" applyProtection="1">
      <alignment vertical="center"/>
    </xf>
    <xf numFmtId="2" fontId="25" fillId="2" borderId="310" xfId="0" applyNumberFormat="1" applyFont="1" applyFill="1" applyBorder="1" applyAlignment="1" applyProtection="1">
      <alignment horizontal="center" vertical="center" shrinkToFit="1"/>
    </xf>
    <xf numFmtId="2" fontId="25" fillId="2" borderId="56" xfId="0" applyNumberFormat="1" applyFont="1" applyFill="1" applyBorder="1" applyAlignment="1" applyProtection="1">
      <alignment horizontal="center" vertical="center" shrinkToFit="1"/>
    </xf>
    <xf numFmtId="2" fontId="25" fillId="2" borderId="179" xfId="0" applyNumberFormat="1" applyFont="1" applyFill="1" applyBorder="1" applyAlignment="1" applyProtection="1">
      <alignment horizontal="center" vertical="center" shrinkToFit="1"/>
    </xf>
    <xf numFmtId="2" fontId="25" fillId="0" borderId="17" xfId="0" applyNumberFormat="1" applyFont="1" applyFill="1" applyBorder="1" applyAlignment="1" applyProtection="1">
      <alignment horizontal="center" vertical="center" shrinkToFit="1"/>
    </xf>
    <xf numFmtId="0" fontId="25" fillId="2" borderId="0" xfId="0" applyFont="1" applyFill="1" applyBorder="1" applyAlignment="1" applyProtection="1">
      <alignment horizontal="left" vertical="center"/>
    </xf>
    <xf numFmtId="0" fontId="25" fillId="0" borderId="2" xfId="0" applyFont="1" applyFill="1" applyBorder="1" applyAlignment="1" applyProtection="1">
      <alignment horizontal="center" vertical="center" shrinkToFit="1"/>
    </xf>
    <xf numFmtId="0" fontId="25" fillId="3" borderId="29" xfId="0" applyFont="1" applyFill="1" applyBorder="1" applyAlignment="1" applyProtection="1">
      <alignment vertical="center"/>
    </xf>
    <xf numFmtId="0" fontId="41" fillId="2" borderId="0" xfId="0" applyFont="1" applyFill="1" applyBorder="1" applyAlignment="1" applyProtection="1">
      <alignment vertical="center" wrapText="1"/>
    </xf>
    <xf numFmtId="0" fontId="25" fillId="3" borderId="116" xfId="0" applyFont="1" applyFill="1" applyBorder="1" applyAlignment="1" applyProtection="1">
      <alignment horizontal="center" vertical="center" shrinkToFit="1"/>
    </xf>
    <xf numFmtId="0" fontId="25" fillId="3" borderId="118" xfId="0" applyFont="1" applyFill="1" applyBorder="1" applyAlignment="1" applyProtection="1">
      <alignment horizontal="center" vertical="center" shrinkToFit="1"/>
    </xf>
    <xf numFmtId="0" fontId="26" fillId="0" borderId="11" xfId="0" applyFont="1" applyFill="1" applyBorder="1" applyProtection="1">
      <alignment vertical="center"/>
    </xf>
    <xf numFmtId="0" fontId="25" fillId="0" borderId="34" xfId="0" applyFont="1" applyFill="1" applyBorder="1" applyAlignment="1" applyProtection="1">
      <alignment horizontal="center" vertical="center"/>
    </xf>
    <xf numFmtId="0" fontId="25" fillId="0" borderId="34" xfId="0" applyFont="1" applyFill="1" applyBorder="1" applyAlignment="1" applyProtection="1">
      <alignment vertical="center"/>
    </xf>
    <xf numFmtId="0" fontId="25" fillId="0" borderId="29" xfId="0" applyFont="1" applyFill="1" applyBorder="1" applyAlignment="1" applyProtection="1">
      <alignment horizontal="center" vertical="center"/>
    </xf>
    <xf numFmtId="0" fontId="25" fillId="2" borderId="152" xfId="0" applyFont="1" applyFill="1" applyBorder="1" applyAlignment="1" applyProtection="1">
      <alignment horizontal="center" vertical="center" shrinkToFit="1"/>
    </xf>
    <xf numFmtId="2" fontId="25" fillId="2" borderId="318" xfId="0" applyNumberFormat="1" applyFont="1" applyFill="1" applyBorder="1" applyAlignment="1" applyProtection="1">
      <alignment vertical="center"/>
    </xf>
    <xf numFmtId="197" fontId="44" fillId="2" borderId="321" xfId="0" applyNumberFormat="1" applyFont="1" applyFill="1" applyBorder="1" applyAlignment="1" applyProtection="1">
      <alignment horizontal="right" vertical="center"/>
    </xf>
    <xf numFmtId="2" fontId="25" fillId="2" borderId="0" xfId="0" applyNumberFormat="1" applyFont="1" applyFill="1" applyBorder="1" applyAlignment="1" applyProtection="1">
      <alignment horizontal="center" vertical="center"/>
    </xf>
    <xf numFmtId="0" fontId="26" fillId="0" borderId="36" xfId="0" applyFont="1" applyFill="1" applyBorder="1" applyAlignment="1" applyProtection="1">
      <alignment vertical="center"/>
    </xf>
    <xf numFmtId="0" fontId="25" fillId="0" borderId="37" xfId="0" applyFont="1" applyFill="1" applyBorder="1" applyProtection="1">
      <alignment vertical="center"/>
    </xf>
    <xf numFmtId="0" fontId="25" fillId="0" borderId="38" xfId="0" applyFont="1" applyFill="1" applyBorder="1" applyProtection="1">
      <alignment vertical="center"/>
    </xf>
    <xf numFmtId="0" fontId="25" fillId="2" borderId="322" xfId="0" applyFont="1" applyFill="1" applyBorder="1" applyAlignment="1" applyProtection="1">
      <alignment horizontal="center" vertical="center" shrinkToFit="1"/>
    </xf>
    <xf numFmtId="2" fontId="25" fillId="2" borderId="323" xfId="0" applyNumberFormat="1" applyFont="1" applyFill="1" applyBorder="1" applyAlignment="1" applyProtection="1">
      <alignment vertical="center"/>
    </xf>
    <xf numFmtId="2" fontId="25" fillId="2" borderId="137" xfId="0" applyNumberFormat="1" applyFont="1" applyFill="1" applyBorder="1" applyAlignment="1" applyProtection="1">
      <alignment horizontal="center" vertical="center"/>
    </xf>
    <xf numFmtId="2" fontId="25" fillId="2" borderId="324" xfId="0" applyNumberFormat="1" applyFont="1" applyFill="1" applyBorder="1" applyAlignment="1" applyProtection="1">
      <alignment horizontal="center" vertical="center"/>
    </xf>
    <xf numFmtId="0" fontId="14" fillId="0" borderId="82" xfId="0" applyFont="1" applyFill="1" applyBorder="1" applyAlignment="1" applyProtection="1">
      <alignment horizontal="center" vertical="center"/>
    </xf>
    <xf numFmtId="0" fontId="25" fillId="2" borderId="127" xfId="0" applyFont="1" applyFill="1" applyBorder="1" applyAlignment="1" applyProtection="1">
      <alignment horizontal="center" vertical="center" shrinkToFit="1"/>
    </xf>
    <xf numFmtId="2" fontId="25" fillId="2" borderId="198" xfId="0" applyNumberFormat="1" applyFont="1" applyFill="1" applyBorder="1" applyAlignment="1" applyProtection="1">
      <alignment vertical="center"/>
    </xf>
    <xf numFmtId="2" fontId="25" fillId="2" borderId="88" xfId="0" applyNumberFormat="1" applyFont="1" applyFill="1" applyBorder="1" applyAlignment="1" applyProtection="1">
      <alignment horizontal="center" vertical="center"/>
    </xf>
    <xf numFmtId="2" fontId="25" fillId="2" borderId="199" xfId="0" applyNumberFormat="1" applyFont="1" applyFill="1" applyBorder="1" applyAlignment="1" applyProtection="1">
      <alignment horizontal="center" vertical="center"/>
    </xf>
    <xf numFmtId="0" fontId="14" fillId="0" borderId="25" xfId="0" applyFont="1" applyFill="1" applyBorder="1" applyAlignment="1" applyProtection="1">
      <alignment horizontal="center" vertical="center"/>
    </xf>
    <xf numFmtId="2" fontId="25" fillId="13" borderId="199" xfId="0" applyNumberFormat="1" applyFont="1" applyFill="1" applyBorder="1" applyAlignment="1" applyProtection="1">
      <alignment horizontal="center" vertical="center"/>
    </xf>
    <xf numFmtId="198" fontId="44" fillId="2" borderId="200" xfId="0" applyNumberFormat="1" applyFont="1" applyFill="1" applyBorder="1" applyAlignment="1" applyProtection="1">
      <alignment horizontal="right" vertical="center"/>
    </xf>
    <xf numFmtId="0" fontId="14" fillId="0" borderId="46" xfId="0" applyFont="1" applyFill="1" applyBorder="1" applyAlignment="1" applyProtection="1">
      <alignment horizontal="center" vertical="center"/>
    </xf>
    <xf numFmtId="0" fontId="14" fillId="0" borderId="42" xfId="0" applyFont="1" applyFill="1" applyBorder="1" applyAlignment="1" applyProtection="1">
      <alignment horizontal="center" vertical="center"/>
    </xf>
    <xf numFmtId="2" fontId="25" fillId="13" borderId="327" xfId="0" applyNumberFormat="1" applyFont="1" applyFill="1" applyBorder="1" applyAlignment="1" applyProtection="1">
      <alignment horizontal="center" vertical="center"/>
    </xf>
    <xf numFmtId="0" fontId="33" fillId="0" borderId="29" xfId="0" applyFont="1" applyFill="1" applyBorder="1" applyAlignment="1" applyProtection="1">
      <alignment horizontal="center" vertical="center" wrapText="1"/>
    </xf>
    <xf numFmtId="0" fontId="11" fillId="0" borderId="44" xfId="0" applyFont="1" applyFill="1" applyBorder="1" applyAlignment="1" applyProtection="1">
      <alignment horizontal="center" vertical="center"/>
    </xf>
    <xf numFmtId="0" fontId="11" fillId="0" borderId="3" xfId="0" applyFont="1" applyFill="1" applyBorder="1" applyAlignment="1" applyProtection="1">
      <alignment horizontal="center" vertical="center"/>
    </xf>
    <xf numFmtId="0" fontId="11" fillId="0" borderId="45" xfId="0" applyFont="1" applyFill="1" applyBorder="1" applyAlignment="1" applyProtection="1">
      <alignment horizontal="center" vertical="center"/>
    </xf>
    <xf numFmtId="0" fontId="11" fillId="0" borderId="44" xfId="0" applyFont="1" applyFill="1" applyBorder="1" applyAlignment="1" applyProtection="1">
      <alignment horizontal="center" vertical="center" shrinkToFit="1"/>
    </xf>
    <xf numFmtId="0" fontId="25" fillId="2" borderId="153" xfId="0" applyFont="1" applyFill="1" applyBorder="1" applyAlignment="1" applyProtection="1">
      <alignment horizontal="center" vertical="center" shrinkToFit="1"/>
    </xf>
    <xf numFmtId="2" fontId="25" fillId="2" borderId="201" xfId="0" applyNumberFormat="1" applyFont="1" applyFill="1" applyBorder="1" applyAlignment="1" applyProtection="1">
      <alignment vertical="center"/>
    </xf>
    <xf numFmtId="2" fontId="25" fillId="2" borderId="91" xfId="0" applyNumberFormat="1" applyFont="1" applyFill="1" applyBorder="1" applyAlignment="1" applyProtection="1">
      <alignment horizontal="center" vertical="center"/>
    </xf>
    <xf numFmtId="2" fontId="25" fillId="2" borderId="202" xfId="0" applyNumberFormat="1" applyFont="1" applyFill="1" applyBorder="1" applyAlignment="1" applyProtection="1">
      <alignment horizontal="center" vertical="center"/>
    </xf>
    <xf numFmtId="197" fontId="44" fillId="2" borderId="203" xfId="0" applyNumberFormat="1" applyFont="1" applyFill="1" applyBorder="1" applyAlignment="1" applyProtection="1">
      <alignment horizontal="right" vertical="center"/>
    </xf>
    <xf numFmtId="0" fontId="33" fillId="0" borderId="33" xfId="0" applyFont="1" applyFill="1" applyBorder="1" applyAlignment="1" applyProtection="1">
      <alignment horizontal="center" vertical="center" wrapText="1"/>
    </xf>
    <xf numFmtId="0" fontId="11" fillId="0" borderId="63" xfId="0" applyFont="1" applyFill="1" applyBorder="1" applyAlignment="1" applyProtection="1">
      <alignment horizontal="center" vertical="center"/>
    </xf>
    <xf numFmtId="0" fontId="11" fillId="0" borderId="61" xfId="0" applyFont="1" applyFill="1" applyBorder="1" applyAlignment="1" applyProtection="1">
      <alignment horizontal="center" vertical="center"/>
    </xf>
    <xf numFmtId="0" fontId="11" fillId="0" borderId="63" xfId="0" applyNumberFormat="1" applyFont="1" applyFill="1" applyBorder="1" applyAlignment="1" applyProtection="1">
      <alignment horizontal="center" vertical="center" shrinkToFit="1"/>
    </xf>
    <xf numFmtId="0" fontId="25" fillId="2" borderId="0" xfId="0" applyFont="1" applyFill="1" applyBorder="1" applyAlignment="1" applyProtection="1">
      <alignment horizontal="right" vertical="center"/>
    </xf>
    <xf numFmtId="0" fontId="11" fillId="0" borderId="63" xfId="0" applyFont="1" applyFill="1" applyBorder="1" applyAlignment="1" applyProtection="1">
      <alignment horizontal="center" vertical="center" shrinkToFit="1"/>
    </xf>
    <xf numFmtId="0" fontId="11" fillId="0" borderId="14" xfId="0" applyFont="1" applyFill="1" applyBorder="1" applyAlignment="1" applyProtection="1">
      <alignment vertical="center"/>
    </xf>
    <xf numFmtId="0" fontId="11" fillId="0" borderId="0" xfId="1" applyFont="1" applyFill="1" applyBorder="1" applyAlignment="1" applyProtection="1">
      <alignment horizontal="center" vertical="center" wrapText="1" shrinkToFit="1"/>
    </xf>
    <xf numFmtId="0" fontId="33" fillId="0" borderId="38" xfId="0" applyFont="1" applyFill="1" applyBorder="1" applyAlignment="1" applyProtection="1">
      <alignment horizontal="center" vertical="center" wrapText="1"/>
    </xf>
    <xf numFmtId="0" fontId="51" fillId="0" borderId="46" xfId="0" applyFont="1" applyFill="1" applyBorder="1" applyAlignment="1" applyProtection="1">
      <alignment vertical="center" wrapText="1"/>
    </xf>
    <xf numFmtId="0" fontId="51" fillId="0" borderId="6" xfId="0" applyFont="1" applyFill="1" applyBorder="1" applyAlignment="1" applyProtection="1">
      <alignment vertical="center" wrapText="1"/>
    </xf>
    <xf numFmtId="0" fontId="11" fillId="0" borderId="5" xfId="0" applyFont="1" applyFill="1" applyBorder="1" applyAlignment="1" applyProtection="1">
      <alignment vertical="center"/>
    </xf>
    <xf numFmtId="0" fontId="11" fillId="0" borderId="50" xfId="0" applyFont="1" applyFill="1" applyBorder="1" applyAlignment="1" applyProtection="1">
      <alignment vertical="center"/>
    </xf>
    <xf numFmtId="0" fontId="11" fillId="0" borderId="62" xfId="0" applyFont="1" applyFill="1" applyBorder="1" applyAlignment="1" applyProtection="1">
      <alignment vertical="center"/>
    </xf>
    <xf numFmtId="0" fontId="11" fillId="0" borderId="30" xfId="0" applyFont="1" applyFill="1" applyBorder="1" applyAlignment="1" applyProtection="1">
      <alignment vertical="center"/>
    </xf>
    <xf numFmtId="0" fontId="25" fillId="3" borderId="115" xfId="0" applyFont="1" applyFill="1" applyBorder="1" applyAlignment="1" applyProtection="1">
      <alignment horizontal="center" vertical="center"/>
    </xf>
    <xf numFmtId="0" fontId="11" fillId="3" borderId="334" xfId="1" applyFont="1" applyFill="1" applyBorder="1" applyAlignment="1" applyProtection="1">
      <alignment horizontal="center" vertical="center" wrapText="1" shrinkToFit="1"/>
    </xf>
    <xf numFmtId="184" fontId="11" fillId="0" borderId="0" xfId="1" applyNumberFormat="1" applyFont="1" applyFill="1" applyBorder="1" applyAlignment="1" applyProtection="1">
      <alignment horizontal="center" vertical="center" shrinkToFit="1"/>
    </xf>
    <xf numFmtId="200" fontId="11" fillId="2" borderId="335" xfId="1" applyNumberFormat="1" applyFont="1" applyFill="1" applyBorder="1" applyAlignment="1" applyProtection="1">
      <alignment horizontal="center" vertical="center" shrinkToFit="1"/>
    </xf>
    <xf numFmtId="177" fontId="11" fillId="0" borderId="0" xfId="1" applyNumberFormat="1" applyFont="1" applyFill="1" applyBorder="1" applyAlignment="1" applyProtection="1">
      <alignment horizontal="right" vertical="center" shrinkToFit="1"/>
    </xf>
    <xf numFmtId="0" fontId="11" fillId="0" borderId="0" xfId="1" applyFont="1" applyFill="1" applyBorder="1" applyAlignment="1" applyProtection="1">
      <alignment vertical="center" shrinkToFit="1"/>
    </xf>
    <xf numFmtId="199" fontId="25" fillId="2" borderId="139" xfId="4" applyNumberFormat="1" applyFont="1" applyFill="1" applyBorder="1" applyAlignment="1" applyProtection="1">
      <alignment horizontal="right" vertical="center" shrinkToFit="1"/>
    </xf>
    <xf numFmtId="197" fontId="44" fillId="2" borderId="4" xfId="4" applyNumberFormat="1" applyFont="1" applyFill="1" applyBorder="1" applyAlignment="1" applyProtection="1">
      <alignment horizontal="right" vertical="center" shrinkToFit="1"/>
    </xf>
    <xf numFmtId="192" fontId="44" fillId="0" borderId="0" xfId="4" applyNumberFormat="1" applyFont="1" applyFill="1" applyBorder="1" applyAlignment="1" applyProtection="1">
      <alignment vertical="center" shrinkToFit="1"/>
    </xf>
    <xf numFmtId="199" fontId="11" fillId="2" borderId="341" xfId="1" applyNumberFormat="1" applyFont="1" applyFill="1" applyBorder="1" applyAlignment="1" applyProtection="1">
      <alignment horizontal="right" vertical="center" shrinkToFit="1"/>
    </xf>
    <xf numFmtId="192" fontId="11" fillId="0" borderId="0" xfId="1" applyNumberFormat="1" applyFont="1" applyFill="1" applyBorder="1" applyAlignment="1" applyProtection="1">
      <alignment horizontal="right" vertical="center" shrinkToFit="1"/>
    </xf>
    <xf numFmtId="199" fontId="25" fillId="2" borderId="139" xfId="0" applyNumberFormat="1" applyFont="1" applyFill="1" applyBorder="1" applyAlignment="1" applyProtection="1">
      <alignment horizontal="right" vertical="center" shrinkToFit="1"/>
    </xf>
    <xf numFmtId="193" fontId="25" fillId="2" borderId="4" xfId="0" applyNumberFormat="1" applyFont="1" applyFill="1" applyBorder="1" applyAlignment="1" applyProtection="1">
      <alignment horizontal="right" vertical="center" shrinkToFit="1"/>
    </xf>
    <xf numFmtId="197" fontId="25" fillId="2" borderId="4" xfId="0" applyNumberFormat="1" applyFont="1" applyFill="1" applyBorder="1" applyAlignment="1" applyProtection="1">
      <alignment horizontal="right" vertical="center" shrinkToFit="1"/>
    </xf>
    <xf numFmtId="199" fontId="25" fillId="0" borderId="0" xfId="0" applyNumberFormat="1" applyFont="1" applyBorder="1" applyAlignment="1" applyProtection="1">
      <alignment horizontal="right" vertical="center"/>
    </xf>
    <xf numFmtId="193" fontId="25" fillId="0" borderId="0" xfId="0" applyNumberFormat="1" applyFont="1" applyBorder="1" applyAlignment="1" applyProtection="1">
      <alignment horizontal="right" vertical="center"/>
    </xf>
    <xf numFmtId="193" fontId="44" fillId="0" borderId="0" xfId="4" applyNumberFormat="1" applyFont="1" applyBorder="1" applyAlignment="1" applyProtection="1">
      <alignment horizontal="right" vertical="center" shrinkToFit="1"/>
    </xf>
    <xf numFmtId="0" fontId="31" fillId="0" borderId="0" xfId="0" applyFont="1" applyBorder="1" applyProtection="1">
      <alignment vertical="center"/>
    </xf>
    <xf numFmtId="184" fontId="11" fillId="0" borderId="0" xfId="1" applyNumberFormat="1" applyFont="1" applyFill="1" applyBorder="1" applyAlignment="1" applyProtection="1">
      <alignment vertical="center" shrinkToFit="1"/>
    </xf>
    <xf numFmtId="0" fontId="25" fillId="0" borderId="0" xfId="0" applyFont="1" applyFill="1" applyBorder="1" applyAlignment="1" applyProtection="1">
      <alignment vertical="center" wrapText="1" shrinkToFit="1"/>
    </xf>
    <xf numFmtId="177" fontId="11" fillId="0" borderId="0" xfId="1" applyNumberFormat="1" applyFont="1" applyFill="1" applyBorder="1" applyAlignment="1" applyProtection="1">
      <alignment wrapText="1"/>
    </xf>
    <xf numFmtId="0" fontId="11" fillId="2" borderId="35" xfId="0" applyFont="1" applyFill="1" applyBorder="1" applyAlignment="1" applyProtection="1">
      <alignment vertical="center"/>
    </xf>
    <xf numFmtId="0" fontId="11" fillId="2" borderId="0" xfId="0" applyFont="1" applyFill="1" applyBorder="1" applyAlignment="1" applyProtection="1">
      <alignment vertical="center"/>
    </xf>
    <xf numFmtId="0" fontId="14" fillId="2" borderId="0" xfId="0" applyFont="1" applyFill="1" applyBorder="1" applyAlignment="1" applyProtection="1">
      <alignment vertical="center"/>
    </xf>
    <xf numFmtId="0" fontId="11" fillId="2" borderId="33" xfId="0" applyFont="1" applyFill="1" applyBorder="1" applyAlignment="1" applyProtection="1">
      <alignment vertical="center" shrinkToFit="1"/>
    </xf>
    <xf numFmtId="0" fontId="11" fillId="2" borderId="33" xfId="0" applyFont="1" applyFill="1" applyBorder="1" applyAlignment="1" applyProtection="1">
      <alignment vertical="center"/>
    </xf>
    <xf numFmtId="0" fontId="16" fillId="2" borderId="0" xfId="0" applyFont="1" applyFill="1" applyBorder="1" applyAlignment="1" applyProtection="1">
      <alignment vertical="center" shrinkToFit="1"/>
    </xf>
    <xf numFmtId="0" fontId="17" fillId="2" borderId="0" xfId="0" applyFont="1" applyFill="1" applyBorder="1" applyAlignment="1" applyProtection="1">
      <alignment vertical="center"/>
    </xf>
    <xf numFmtId="0" fontId="11" fillId="2" borderId="20" xfId="0" applyFont="1" applyFill="1" applyBorder="1" applyAlignment="1" applyProtection="1">
      <alignment vertical="center" shrinkToFit="1"/>
    </xf>
    <xf numFmtId="0" fontId="11" fillId="2" borderId="10" xfId="0" applyFont="1" applyFill="1" applyBorder="1" applyAlignment="1" applyProtection="1">
      <alignment vertical="center" shrinkToFit="1"/>
    </xf>
    <xf numFmtId="0" fontId="11" fillId="2" borderId="14" xfId="0" applyFont="1" applyFill="1" applyBorder="1" applyAlignment="1" applyProtection="1">
      <alignment vertical="center"/>
    </xf>
    <xf numFmtId="0" fontId="13" fillId="2" borderId="63" xfId="0" applyFont="1" applyFill="1" applyBorder="1" applyAlignment="1" applyProtection="1">
      <alignment vertical="center" shrinkToFit="1"/>
    </xf>
    <xf numFmtId="0" fontId="11" fillId="2" borderId="4" xfId="0" applyFont="1" applyFill="1" applyBorder="1" applyAlignment="1" applyProtection="1">
      <alignment vertical="center" shrinkToFit="1"/>
    </xf>
    <xf numFmtId="0" fontId="15" fillId="2" borderId="81" xfId="0" applyFont="1" applyFill="1" applyBorder="1" applyAlignment="1" applyProtection="1">
      <alignment vertical="center"/>
    </xf>
    <xf numFmtId="0" fontId="11" fillId="2" borderId="38" xfId="0" applyFont="1" applyFill="1" applyBorder="1" applyAlignment="1" applyProtection="1">
      <alignment vertical="center"/>
    </xf>
    <xf numFmtId="0" fontId="11" fillId="2" borderId="63" xfId="0" applyFont="1" applyFill="1" applyBorder="1" applyAlignment="1" applyProtection="1">
      <alignment vertical="center"/>
    </xf>
    <xf numFmtId="0" fontId="15" fillId="2" borderId="63" xfId="0" applyFont="1" applyFill="1" applyBorder="1" applyAlignment="1" applyProtection="1">
      <alignment vertical="center"/>
    </xf>
    <xf numFmtId="0" fontId="11" fillId="2" borderId="46" xfId="0" applyFont="1" applyFill="1" applyBorder="1" applyAlignment="1" applyProtection="1">
      <alignment vertical="center"/>
    </xf>
    <xf numFmtId="0" fontId="11" fillId="2" borderId="15" xfId="0" applyFont="1" applyFill="1" applyBorder="1" applyAlignment="1" applyProtection="1">
      <alignment vertical="center"/>
    </xf>
    <xf numFmtId="0" fontId="32" fillId="2" borderId="0" xfId="0" applyFont="1" applyFill="1" applyAlignment="1" applyProtection="1">
      <alignment vertical="center"/>
    </xf>
    <xf numFmtId="0" fontId="11" fillId="2" borderId="10" xfId="0" applyFont="1" applyFill="1" applyBorder="1" applyAlignment="1" applyProtection="1">
      <alignment vertical="center"/>
    </xf>
    <xf numFmtId="0" fontId="11" fillId="2" borderId="43" xfId="0" applyFont="1" applyFill="1" applyBorder="1" applyAlignment="1" applyProtection="1">
      <alignment vertical="center"/>
    </xf>
    <xf numFmtId="0" fontId="8" fillId="2" borderId="0" xfId="0" applyFont="1" applyFill="1" applyAlignment="1" applyProtection="1">
      <alignment vertical="center"/>
    </xf>
    <xf numFmtId="0" fontId="26" fillId="2" borderId="0" xfId="0" applyFont="1" applyFill="1" applyAlignment="1" applyProtection="1">
      <alignment vertical="center"/>
    </xf>
    <xf numFmtId="0" fontId="25" fillId="2" borderId="17" xfId="0" applyFont="1" applyFill="1" applyBorder="1" applyAlignment="1" applyProtection="1">
      <alignment horizontal="center" vertical="center" wrapText="1"/>
    </xf>
    <xf numFmtId="0" fontId="11" fillId="2" borderId="124" xfId="0" applyFont="1" applyFill="1" applyBorder="1" applyAlignment="1" applyProtection="1">
      <alignment horizontal="center" vertical="center"/>
    </xf>
    <xf numFmtId="0" fontId="11" fillId="2" borderId="122" xfId="0" applyFont="1" applyFill="1" applyBorder="1" applyAlignment="1" applyProtection="1">
      <alignment horizontal="center" vertical="center"/>
    </xf>
    <xf numFmtId="0" fontId="11" fillId="2" borderId="130" xfId="0" applyFont="1" applyFill="1" applyBorder="1" applyAlignment="1" applyProtection="1">
      <alignment horizontal="center" vertical="center"/>
    </xf>
    <xf numFmtId="0" fontId="11" fillId="2" borderId="120" xfId="0" applyFont="1" applyFill="1" applyBorder="1" applyAlignment="1" applyProtection="1">
      <alignment horizontal="center" vertical="center" wrapText="1"/>
    </xf>
    <xf numFmtId="0" fontId="11" fillId="2" borderId="0" xfId="0" applyFont="1" applyFill="1" applyBorder="1" applyAlignment="1" applyProtection="1">
      <alignment vertical="center" wrapText="1"/>
    </xf>
    <xf numFmtId="0" fontId="15" fillId="2" borderId="0" xfId="0" applyFont="1" applyFill="1" applyBorder="1" applyAlignment="1" applyProtection="1">
      <alignment horizontal="center" vertical="center" shrinkToFit="1"/>
    </xf>
    <xf numFmtId="0" fontId="25" fillId="0" borderId="208" xfId="0" applyFont="1" applyBorder="1" applyAlignment="1" applyProtection="1">
      <alignment horizontal="right" vertical="center" shrinkToFit="1"/>
    </xf>
    <xf numFmtId="183" fontId="25" fillId="0" borderId="146" xfId="0" applyNumberFormat="1" applyFont="1" applyBorder="1" applyAlignment="1" applyProtection="1">
      <alignment horizontal="right" vertical="center" shrinkToFit="1"/>
    </xf>
    <xf numFmtId="183" fontId="25" fillId="0" borderId="1" xfId="0" applyNumberFormat="1" applyFont="1" applyBorder="1" applyAlignment="1" applyProtection="1">
      <alignment horizontal="right" vertical="center" shrinkToFit="1"/>
    </xf>
    <xf numFmtId="183" fontId="25" fillId="0" borderId="65" xfId="0" applyNumberFormat="1" applyFont="1" applyBorder="1" applyAlignment="1" applyProtection="1">
      <alignment horizontal="right" vertical="center" shrinkToFit="1"/>
    </xf>
    <xf numFmtId="0" fontId="11" fillId="2" borderId="259" xfId="3" applyNumberFormat="1" applyFont="1" applyFill="1" applyBorder="1" applyAlignment="1" applyProtection="1">
      <alignment horizontal="center" vertical="center" shrinkToFit="1"/>
    </xf>
    <xf numFmtId="0" fontId="11" fillId="2" borderId="165" xfId="3" applyFont="1" applyFill="1" applyBorder="1" applyAlignment="1" applyProtection="1">
      <alignment vertical="center" shrinkToFit="1"/>
    </xf>
    <xf numFmtId="0" fontId="40" fillId="2" borderId="224" xfId="0" applyFont="1" applyFill="1" applyBorder="1" applyAlignment="1" applyProtection="1">
      <alignment vertical="center"/>
    </xf>
    <xf numFmtId="0" fontId="40" fillId="2" borderId="243" xfId="0" applyFont="1" applyFill="1" applyBorder="1" applyAlignment="1" applyProtection="1">
      <alignment vertical="center"/>
    </xf>
    <xf numFmtId="2" fontId="46" fillId="2" borderId="156" xfId="3" applyNumberFormat="1" applyFont="1" applyFill="1" applyBorder="1" applyAlignment="1" applyProtection="1">
      <alignment vertical="center"/>
    </xf>
    <xf numFmtId="0" fontId="11" fillId="2" borderId="168" xfId="3" applyFont="1" applyFill="1" applyBorder="1" applyAlignment="1" applyProtection="1">
      <alignment vertical="center" shrinkToFit="1"/>
    </xf>
    <xf numFmtId="0" fontId="40" fillId="2" borderId="230" xfId="0" applyFont="1" applyFill="1" applyBorder="1" applyAlignment="1" applyProtection="1">
      <alignment vertical="center"/>
    </xf>
    <xf numFmtId="0" fontId="40" fillId="2" borderId="232" xfId="0" applyFont="1" applyFill="1" applyBorder="1" applyAlignment="1" applyProtection="1">
      <alignment vertical="center"/>
    </xf>
    <xf numFmtId="2" fontId="46" fillId="2" borderId="158" xfId="3" applyNumberFormat="1" applyFont="1" applyFill="1" applyBorder="1" applyAlignment="1" applyProtection="1">
      <alignment vertical="center"/>
    </xf>
    <xf numFmtId="0" fontId="11" fillId="2" borderId="177" xfId="3" applyFont="1" applyFill="1" applyBorder="1" applyAlignment="1" applyProtection="1">
      <alignment vertical="center" shrinkToFit="1"/>
    </xf>
    <xf numFmtId="0" fontId="40" fillId="2" borderId="237" xfId="0" applyFont="1" applyFill="1" applyBorder="1" applyAlignment="1" applyProtection="1">
      <alignment vertical="center"/>
    </xf>
    <xf numFmtId="0" fontId="40" fillId="2" borderId="239" xfId="0" applyFont="1" applyFill="1" applyBorder="1" applyAlignment="1" applyProtection="1">
      <alignment vertical="center"/>
    </xf>
    <xf numFmtId="2" fontId="46" fillId="2" borderId="179" xfId="3" applyNumberFormat="1" applyFont="1" applyFill="1" applyBorder="1" applyAlignment="1" applyProtection="1">
      <alignment vertical="center"/>
    </xf>
    <xf numFmtId="0" fontId="11" fillId="3" borderId="119" xfId="3" applyFont="1" applyFill="1" applyBorder="1" applyAlignment="1" applyProtection="1">
      <alignment horizontal="center" vertical="center"/>
    </xf>
    <xf numFmtId="0" fontId="25" fillId="0" borderId="49" xfId="0" applyFont="1" applyBorder="1" applyAlignment="1" applyProtection="1">
      <alignment horizontal="right" vertical="center" shrinkToFit="1"/>
    </xf>
    <xf numFmtId="0" fontId="26" fillId="0" borderId="53" xfId="0" applyFont="1" applyBorder="1" applyAlignment="1" applyProtection="1">
      <alignment horizontal="right" vertical="center" shrinkToFit="1"/>
    </xf>
    <xf numFmtId="196" fontId="16" fillId="2" borderId="4" xfId="1" applyNumberFormat="1" applyFont="1" applyFill="1" applyBorder="1" applyAlignment="1" applyProtection="1">
      <alignment horizontal="right" vertical="center" shrinkToFit="1"/>
    </xf>
    <xf numFmtId="0" fontId="9" fillId="0" borderId="6" xfId="0" applyFont="1" applyBorder="1" applyAlignment="1" applyProtection="1">
      <alignment horizontal="center" vertical="center"/>
    </xf>
    <xf numFmtId="0" fontId="9" fillId="0" borderId="6" xfId="0" applyFont="1" applyBorder="1" applyAlignment="1" applyProtection="1">
      <alignment horizontal="center" vertical="center" shrinkToFit="1"/>
    </xf>
    <xf numFmtId="196" fontId="16" fillId="0" borderId="176" xfId="1" applyNumberFormat="1" applyFont="1" applyFill="1" applyBorder="1" applyAlignment="1" applyProtection="1">
      <alignment vertical="center" shrinkToFit="1"/>
    </xf>
    <xf numFmtId="196" fontId="16" fillId="0" borderId="179" xfId="1" applyNumberFormat="1" applyFont="1" applyFill="1" applyBorder="1" applyAlignment="1" applyProtection="1">
      <alignment vertical="center" shrinkToFit="1"/>
    </xf>
    <xf numFmtId="176" fontId="16" fillId="0" borderId="172" xfId="1" applyNumberFormat="1" applyFont="1" applyFill="1" applyBorder="1" applyAlignment="1" applyProtection="1">
      <alignment horizontal="center" vertical="center" shrinkToFit="1"/>
    </xf>
    <xf numFmtId="176" fontId="16" fillId="0" borderId="173" xfId="1" applyNumberFormat="1" applyFont="1" applyFill="1" applyBorder="1" applyAlignment="1" applyProtection="1">
      <alignment horizontal="center" vertical="center" shrinkToFit="1"/>
    </xf>
    <xf numFmtId="196" fontId="16" fillId="0" borderId="176" xfId="1" applyNumberFormat="1" applyFont="1" applyFill="1" applyBorder="1" applyAlignment="1" applyProtection="1">
      <alignment horizontal="right" vertical="center" shrinkToFit="1"/>
    </xf>
    <xf numFmtId="196" fontId="16" fillId="0" borderId="179" xfId="1" applyNumberFormat="1" applyFont="1" applyFill="1" applyBorder="1" applyAlignment="1" applyProtection="1">
      <alignment horizontal="right" vertical="center" shrinkToFit="1"/>
    </xf>
    <xf numFmtId="0" fontId="25" fillId="2" borderId="295" xfId="0" applyFont="1" applyFill="1" applyBorder="1" applyAlignment="1" applyProtection="1">
      <alignment horizontal="center" vertical="center" shrinkToFit="1"/>
    </xf>
    <xf numFmtId="193" fontId="11" fillId="2" borderId="6" xfId="1" applyNumberFormat="1" applyFont="1" applyFill="1" applyBorder="1" applyAlignment="1" applyProtection="1">
      <alignment vertical="center" shrinkToFit="1"/>
    </xf>
    <xf numFmtId="197" fontId="11" fillId="2" borderId="6" xfId="1" applyNumberFormat="1" applyFont="1" applyFill="1" applyBorder="1" applyAlignment="1" applyProtection="1">
      <alignment vertical="center" shrinkToFit="1"/>
    </xf>
    <xf numFmtId="2" fontId="26" fillId="0" borderId="268" xfId="0" applyNumberFormat="1" applyFont="1" applyFill="1" applyBorder="1" applyAlignment="1" applyProtection="1">
      <alignment horizontal="center" vertical="center" shrinkToFit="1"/>
    </xf>
    <xf numFmtId="2" fontId="25" fillId="2" borderId="320" xfId="0" applyNumberFormat="1" applyFont="1" applyFill="1" applyBorder="1" applyAlignment="1" applyProtection="1">
      <alignment horizontal="center" vertical="center"/>
    </xf>
    <xf numFmtId="197" fontId="44" fillId="2" borderId="6" xfId="4" applyNumberFormat="1" applyFont="1" applyFill="1" applyBorder="1" applyAlignment="1" applyProtection="1">
      <alignment vertical="center" shrinkToFit="1"/>
    </xf>
    <xf numFmtId="200" fontId="11" fillId="2" borderId="350" xfId="1" applyNumberFormat="1" applyFont="1" applyFill="1" applyBorder="1" applyAlignment="1" applyProtection="1">
      <alignment horizontal="center" vertical="center" wrapText="1" shrinkToFit="1"/>
    </xf>
    <xf numFmtId="200" fontId="11" fillId="2" borderId="349" xfId="1" applyNumberFormat="1" applyFont="1" applyFill="1" applyBorder="1" applyAlignment="1" applyProtection="1">
      <alignment horizontal="center" vertical="center" wrapText="1" shrinkToFit="1"/>
    </xf>
    <xf numFmtId="200" fontId="11" fillId="2" borderId="354" xfId="1" applyNumberFormat="1" applyFont="1" applyFill="1" applyBorder="1" applyAlignment="1" applyProtection="1">
      <alignment horizontal="center" vertical="center" shrinkToFit="1"/>
    </xf>
    <xf numFmtId="2" fontId="11" fillId="2" borderId="352" xfId="4" applyNumberFormat="1" applyFont="1" applyFill="1" applyBorder="1" applyAlignment="1" applyProtection="1">
      <alignment horizontal="right" vertical="center" shrinkToFit="1"/>
    </xf>
    <xf numFmtId="2" fontId="11" fillId="2" borderId="335" xfId="1" applyNumberFormat="1" applyFont="1" applyFill="1" applyBorder="1" applyAlignment="1" applyProtection="1">
      <alignment horizontal="right" vertical="center" shrinkToFit="1"/>
    </xf>
    <xf numFmtId="2" fontId="25" fillId="13" borderId="325" xfId="0" applyNumberFormat="1" applyFont="1" applyFill="1" applyBorder="1" applyAlignment="1" applyProtection="1">
      <alignment horizontal="center" vertical="center"/>
    </xf>
    <xf numFmtId="2" fontId="25" fillId="13" borderId="331" xfId="0" applyNumberFormat="1" applyFont="1" applyFill="1" applyBorder="1" applyAlignment="1" applyProtection="1">
      <alignment horizontal="center" vertical="center"/>
    </xf>
    <xf numFmtId="2" fontId="25" fillId="2" borderId="266" xfId="0" applyNumberFormat="1" applyFont="1" applyFill="1" applyBorder="1" applyAlignment="1" applyProtection="1">
      <alignment horizontal="center" vertical="center" shrinkToFit="1"/>
    </xf>
    <xf numFmtId="0" fontId="8" fillId="2" borderId="0" xfId="0" applyFont="1" applyFill="1" applyProtection="1">
      <alignment vertical="center"/>
    </xf>
    <xf numFmtId="0" fontId="8" fillId="2" borderId="18" xfId="0" applyFont="1" applyFill="1" applyBorder="1" applyProtection="1">
      <alignment vertical="center"/>
    </xf>
    <xf numFmtId="0" fontId="10" fillId="2" borderId="0" xfId="0" applyFont="1" applyFill="1" applyAlignment="1" applyProtection="1">
      <alignment vertical="center"/>
    </xf>
    <xf numFmtId="0" fontId="8" fillId="2" borderId="65" xfId="0" applyFont="1" applyFill="1" applyBorder="1" applyAlignment="1" applyProtection="1">
      <alignment horizontal="center" vertical="center" shrinkToFit="1"/>
    </xf>
    <xf numFmtId="0" fontId="8" fillId="2" borderId="15" xfId="0" applyFont="1" applyFill="1" applyBorder="1" applyAlignment="1" applyProtection="1">
      <alignment vertical="top" textRotation="255" shrinkToFit="1"/>
    </xf>
    <xf numFmtId="0" fontId="8" fillId="2" borderId="15" xfId="0" applyFont="1" applyFill="1" applyBorder="1" applyAlignment="1" applyProtection="1">
      <alignment vertical="top" textRotation="255" wrapText="1" shrinkToFit="1"/>
    </xf>
    <xf numFmtId="0" fontId="8" fillId="2" borderId="103" xfId="0" applyFont="1" applyFill="1" applyBorder="1" applyAlignment="1" applyProtection="1">
      <alignment vertical="top" textRotation="255" shrinkToFit="1"/>
    </xf>
    <xf numFmtId="0" fontId="8" fillId="2" borderId="72" xfId="0" applyFont="1" applyFill="1" applyBorder="1" applyAlignment="1" applyProtection="1">
      <alignment horizontal="center" vertical="center" textRotation="255"/>
    </xf>
    <xf numFmtId="0" fontId="8" fillId="2" borderId="73" xfId="0" applyFont="1" applyFill="1" applyBorder="1" applyAlignment="1" applyProtection="1">
      <alignment horizontal="center" vertical="center" textRotation="255"/>
    </xf>
    <xf numFmtId="0" fontId="8" fillId="2" borderId="50" xfId="0" applyFont="1" applyFill="1" applyBorder="1" applyAlignment="1" applyProtection="1">
      <alignment horizontal="center" vertical="center" textRotation="255"/>
    </xf>
    <xf numFmtId="0" fontId="8" fillId="2" borderId="69" xfId="0" applyFont="1" applyFill="1" applyBorder="1" applyAlignment="1" applyProtection="1">
      <alignment vertical="center" textRotation="255" shrinkToFit="1"/>
    </xf>
    <xf numFmtId="0" fontId="8" fillId="2" borderId="74" xfId="0" applyFont="1" applyFill="1" applyBorder="1" applyAlignment="1" applyProtection="1">
      <alignment horizontal="center" vertical="center" textRotation="255" shrinkToFit="1"/>
    </xf>
    <xf numFmtId="0" fontId="8" fillId="2" borderId="73" xfId="0" applyFont="1" applyFill="1" applyBorder="1" applyAlignment="1" applyProtection="1">
      <alignment horizontal="center" vertical="center" textRotation="255" shrinkToFit="1"/>
    </xf>
    <xf numFmtId="0" fontId="8" fillId="2" borderId="105" xfId="0" applyFont="1" applyFill="1" applyBorder="1" applyAlignment="1" applyProtection="1">
      <alignment vertical="center" textRotation="255" shrinkToFit="1"/>
    </xf>
    <xf numFmtId="0" fontId="8" fillId="2" borderId="161" xfId="0" applyFont="1" applyFill="1" applyBorder="1" applyAlignment="1" applyProtection="1">
      <alignment horizontal="center" vertical="center"/>
    </xf>
    <xf numFmtId="0" fontId="8" fillId="2" borderId="162" xfId="0" applyFont="1" applyFill="1" applyBorder="1" applyAlignment="1" applyProtection="1">
      <alignment horizontal="center" vertical="center"/>
    </xf>
    <xf numFmtId="0" fontId="8" fillId="2" borderId="163" xfId="0" applyFont="1" applyFill="1" applyBorder="1" applyAlignment="1" applyProtection="1">
      <alignment horizontal="center" vertical="center"/>
    </xf>
    <xf numFmtId="0" fontId="25" fillId="2" borderId="300" xfId="0" applyFont="1" applyFill="1" applyBorder="1" applyAlignment="1" applyProtection="1">
      <alignment horizontal="center" vertical="center" shrinkToFit="1"/>
    </xf>
    <xf numFmtId="2" fontId="25" fillId="2" borderId="263" xfId="0" applyNumberFormat="1" applyFont="1" applyFill="1" applyBorder="1" applyAlignment="1" applyProtection="1">
      <alignment horizontal="center" vertical="center" shrinkToFit="1"/>
    </xf>
    <xf numFmtId="0" fontId="25" fillId="2" borderId="315" xfId="0" applyFont="1" applyFill="1" applyBorder="1" applyAlignment="1" applyProtection="1">
      <alignment horizontal="center" vertical="center" shrinkToFit="1"/>
    </xf>
    <xf numFmtId="0" fontId="25" fillId="2" borderId="187" xfId="0" applyFont="1" applyFill="1" applyBorder="1" applyAlignment="1" applyProtection="1">
      <alignment horizontal="center" vertical="center" shrinkToFit="1"/>
    </xf>
    <xf numFmtId="0" fontId="25" fillId="2" borderId="360" xfId="0" applyFont="1" applyFill="1" applyBorder="1" applyAlignment="1" applyProtection="1">
      <alignment horizontal="center" vertical="center"/>
    </xf>
    <xf numFmtId="0" fontId="25" fillId="2" borderId="270" xfId="0" applyFont="1" applyFill="1" applyBorder="1" applyAlignment="1" applyProtection="1">
      <alignment horizontal="center" vertical="center" shrinkToFit="1"/>
    </xf>
    <xf numFmtId="0" fontId="25" fillId="2" borderId="276" xfId="0" applyFont="1" applyFill="1" applyBorder="1" applyAlignment="1" applyProtection="1">
      <alignment horizontal="center" vertical="center" shrinkToFit="1"/>
    </xf>
    <xf numFmtId="0" fontId="26" fillId="0" borderId="235" xfId="0" applyFont="1" applyFill="1" applyBorder="1" applyAlignment="1" applyProtection="1">
      <alignment horizontal="center" vertical="center" shrinkToFit="1"/>
    </xf>
    <xf numFmtId="0" fontId="25" fillId="2" borderId="305" xfId="0" applyFont="1" applyFill="1" applyBorder="1" applyAlignment="1" applyProtection="1">
      <alignment horizontal="center" vertical="center" shrinkToFit="1"/>
    </xf>
    <xf numFmtId="2" fontId="25" fillId="2" borderId="16" xfId="0" applyNumberFormat="1" applyFont="1" applyFill="1" applyBorder="1" applyAlignment="1" applyProtection="1">
      <alignment horizontal="center" vertical="center" shrinkToFit="1"/>
    </xf>
    <xf numFmtId="176" fontId="16" fillId="0" borderId="4" xfId="1" applyNumberFormat="1" applyFont="1" applyFill="1" applyBorder="1" applyAlignment="1" applyProtection="1">
      <alignment horizontal="center" vertical="center" shrinkToFit="1"/>
    </xf>
    <xf numFmtId="0" fontId="9" fillId="3" borderId="4" xfId="0" applyFont="1" applyFill="1" applyBorder="1" applyAlignment="1" applyProtection="1">
      <alignment horizontal="center" vertical="center" shrinkToFit="1"/>
    </xf>
    <xf numFmtId="0" fontId="9" fillId="2" borderId="6" xfId="0" applyFont="1" applyFill="1" applyBorder="1" applyAlignment="1" applyProtection="1">
      <alignment horizontal="center" vertical="center" shrinkToFit="1"/>
    </xf>
    <xf numFmtId="0" fontId="9" fillId="2" borderId="4" xfId="0" applyFont="1" applyFill="1" applyBorder="1" applyAlignment="1" applyProtection="1">
      <alignment horizontal="center" vertical="center" shrinkToFit="1"/>
    </xf>
    <xf numFmtId="0" fontId="25" fillId="2" borderId="229" xfId="0" applyFont="1" applyFill="1" applyBorder="1" applyAlignment="1" applyProtection="1">
      <alignment horizontal="center" vertical="center" shrinkToFit="1"/>
    </xf>
    <xf numFmtId="0" fontId="53" fillId="3" borderId="108" xfId="0" applyFont="1" applyFill="1" applyBorder="1" applyAlignment="1" applyProtection="1">
      <alignment horizontal="center" vertical="center" shrinkToFit="1"/>
    </xf>
    <xf numFmtId="0" fontId="26" fillId="0" borderId="248" xfId="0" applyFont="1" applyFill="1" applyBorder="1" applyAlignment="1" applyProtection="1">
      <alignment horizontal="center" vertical="center" shrinkToFit="1"/>
    </xf>
    <xf numFmtId="2" fontId="25" fillId="2" borderId="300" xfId="0" applyNumberFormat="1" applyFont="1" applyFill="1" applyBorder="1" applyAlignment="1" applyProtection="1">
      <alignment horizontal="center" vertical="center" shrinkToFit="1"/>
    </xf>
    <xf numFmtId="2" fontId="25" fillId="2" borderId="288" xfId="0" applyNumberFormat="1" applyFont="1" applyFill="1" applyBorder="1" applyAlignment="1" applyProtection="1">
      <alignment horizontal="center" vertical="center" shrinkToFit="1"/>
    </xf>
    <xf numFmtId="0" fontId="25" fillId="2" borderId="362" xfId="0" applyFont="1" applyFill="1" applyBorder="1" applyAlignment="1" applyProtection="1">
      <alignment horizontal="center" vertical="center" shrinkToFit="1"/>
    </xf>
    <xf numFmtId="0" fontId="26" fillId="0" borderId="363" xfId="0" applyFont="1" applyFill="1" applyBorder="1" applyAlignment="1" applyProtection="1">
      <alignment horizontal="center" vertical="center" shrinkToFit="1"/>
    </xf>
    <xf numFmtId="0" fontId="25" fillId="2" borderId="364" xfId="0" applyFont="1" applyFill="1" applyBorder="1" applyAlignment="1" applyProtection="1">
      <alignment horizontal="center" vertical="center" shrinkToFit="1"/>
    </xf>
    <xf numFmtId="38" fontId="26" fillId="0" borderId="18" xfId="0" applyNumberFormat="1" applyFont="1" applyFill="1" applyBorder="1" applyAlignment="1" applyProtection="1">
      <alignment horizontal="center" vertical="center" shrinkToFit="1"/>
    </xf>
    <xf numFmtId="0" fontId="25" fillId="2" borderId="78" xfId="0" applyFont="1" applyFill="1" applyBorder="1" applyAlignment="1" applyProtection="1">
      <alignment horizontal="center" vertical="center" shrinkToFit="1"/>
    </xf>
    <xf numFmtId="0" fontId="9" fillId="0" borderId="111" xfId="0" applyFont="1" applyBorder="1" applyAlignment="1" applyProtection="1">
      <alignment horizontal="center" vertical="center" shrinkToFit="1"/>
    </xf>
    <xf numFmtId="0" fontId="9" fillId="0" borderId="304" xfId="0" applyFont="1" applyBorder="1" applyAlignment="1" applyProtection="1">
      <alignment horizontal="center" vertical="center" shrinkToFit="1"/>
    </xf>
    <xf numFmtId="0" fontId="16" fillId="0" borderId="180" xfId="0" applyFont="1" applyFill="1" applyBorder="1" applyAlignment="1" applyProtection="1">
      <alignment horizontal="center" vertical="center" shrinkToFit="1"/>
    </xf>
    <xf numFmtId="0" fontId="16" fillId="0" borderId="147" xfId="0" applyFont="1" applyFill="1" applyBorder="1" applyAlignment="1" applyProtection="1">
      <alignment horizontal="center" vertical="center" shrinkToFit="1"/>
    </xf>
    <xf numFmtId="196" fontId="11" fillId="4" borderId="181" xfId="1" applyNumberFormat="1" applyFont="1" applyFill="1" applyBorder="1" applyAlignment="1" applyProtection="1">
      <alignment horizontal="right" vertical="center" shrinkToFit="1"/>
      <protection locked="0"/>
    </xf>
    <xf numFmtId="196" fontId="11" fillId="4" borderId="182" xfId="1" applyNumberFormat="1" applyFont="1" applyFill="1" applyBorder="1" applyAlignment="1" applyProtection="1">
      <alignment horizontal="right" vertical="center" shrinkToFit="1"/>
      <protection locked="0"/>
    </xf>
    <xf numFmtId="176" fontId="11" fillId="0" borderId="182" xfId="1" applyNumberFormat="1" applyFont="1" applyFill="1" applyBorder="1" applyAlignment="1" applyProtection="1">
      <alignment horizontal="right" vertical="center" shrinkToFit="1"/>
    </xf>
    <xf numFmtId="196" fontId="11" fillId="4" borderId="183" xfId="1" applyNumberFormat="1" applyFont="1" applyFill="1" applyBorder="1" applyAlignment="1" applyProtection="1">
      <alignment horizontal="right" vertical="center" shrinkToFit="1"/>
      <protection locked="0"/>
    </xf>
    <xf numFmtId="196" fontId="11" fillId="4" borderId="187" xfId="1" applyNumberFormat="1" applyFont="1" applyFill="1" applyBorder="1" applyAlignment="1" applyProtection="1">
      <alignment horizontal="right" vertical="center" shrinkToFit="1"/>
      <protection locked="0"/>
    </xf>
    <xf numFmtId="196" fontId="11" fillId="4" borderId="188" xfId="1" applyNumberFormat="1" applyFont="1" applyFill="1" applyBorder="1" applyAlignment="1" applyProtection="1">
      <alignment horizontal="right" vertical="center" shrinkToFit="1"/>
      <protection locked="0"/>
    </xf>
    <xf numFmtId="176" fontId="11" fillId="0" borderId="188" xfId="1" applyNumberFormat="1" applyFont="1" applyFill="1" applyBorder="1" applyAlignment="1" applyProtection="1">
      <alignment horizontal="right" vertical="center" shrinkToFit="1"/>
    </xf>
    <xf numFmtId="196" fontId="11" fillId="4" borderId="189" xfId="1" applyNumberFormat="1" applyFont="1" applyFill="1" applyBorder="1" applyAlignment="1" applyProtection="1">
      <alignment horizontal="right" vertical="center" shrinkToFit="1"/>
      <protection locked="0"/>
    </xf>
    <xf numFmtId="196" fontId="16" fillId="2" borderId="110" xfId="1" applyNumberFormat="1" applyFont="1" applyFill="1" applyBorder="1" applyAlignment="1" applyProtection="1">
      <alignment horizontal="right" vertical="center" shrinkToFit="1"/>
    </xf>
    <xf numFmtId="196" fontId="16" fillId="2" borderId="180" xfId="1" applyNumberFormat="1" applyFont="1" applyFill="1" applyBorder="1" applyAlignment="1" applyProtection="1">
      <alignment horizontal="right" vertical="center" shrinkToFit="1"/>
    </xf>
    <xf numFmtId="196" fontId="16" fillId="2" borderId="147" xfId="1" applyNumberFormat="1" applyFont="1" applyFill="1" applyBorder="1" applyAlignment="1" applyProtection="1">
      <alignment horizontal="right" vertical="center" shrinkToFit="1"/>
    </xf>
    <xf numFmtId="0" fontId="25" fillId="3" borderId="366" xfId="0" applyFont="1" applyFill="1" applyBorder="1" applyAlignment="1" applyProtection="1">
      <alignment horizontal="center" vertical="center" shrinkToFit="1"/>
    </xf>
    <xf numFmtId="0" fontId="25" fillId="2" borderId="367" xfId="0" applyNumberFormat="1" applyFont="1" applyFill="1" applyBorder="1" applyAlignment="1" applyProtection="1">
      <alignment horizontal="center" vertical="center" shrinkToFit="1"/>
    </xf>
    <xf numFmtId="0" fontId="25" fillId="2" borderId="368" xfId="0" applyNumberFormat="1" applyFont="1" applyFill="1" applyBorder="1" applyAlignment="1" applyProtection="1">
      <alignment horizontal="center" vertical="center" shrinkToFit="1"/>
    </xf>
    <xf numFmtId="0" fontId="25" fillId="2" borderId="215" xfId="0" applyNumberFormat="1" applyFont="1" applyFill="1" applyBorder="1" applyAlignment="1" applyProtection="1">
      <alignment horizontal="center" vertical="center" shrinkToFit="1"/>
    </xf>
    <xf numFmtId="0" fontId="25" fillId="2" borderId="338" xfId="0" applyNumberFormat="1" applyFont="1" applyFill="1" applyBorder="1" applyAlignment="1" applyProtection="1">
      <alignment horizontal="center" vertical="center" shrinkToFit="1"/>
    </xf>
    <xf numFmtId="0" fontId="25" fillId="2" borderId="250" xfId="0" applyNumberFormat="1" applyFont="1" applyFill="1" applyBorder="1" applyAlignment="1" applyProtection="1">
      <alignment horizontal="center" vertical="center" shrinkToFit="1"/>
    </xf>
    <xf numFmtId="0" fontId="25" fillId="2" borderId="354" xfId="0" applyNumberFormat="1" applyFont="1" applyFill="1" applyBorder="1" applyAlignment="1" applyProtection="1">
      <alignment horizontal="center" vertical="center" shrinkToFit="1"/>
    </xf>
    <xf numFmtId="0" fontId="25" fillId="2" borderId="335" xfId="0" applyNumberFormat="1" applyFont="1" applyFill="1" applyBorder="1" applyAlignment="1" applyProtection="1">
      <alignment horizontal="center" vertical="center" shrinkToFit="1"/>
    </xf>
    <xf numFmtId="0" fontId="25" fillId="2" borderId="370" xfId="0" applyFont="1" applyFill="1" applyBorder="1" applyAlignment="1" applyProtection="1">
      <alignment horizontal="center" vertical="center" shrinkToFit="1"/>
    </xf>
    <xf numFmtId="0" fontId="25" fillId="3" borderId="197" xfId="0" applyFont="1" applyFill="1" applyBorder="1" applyAlignment="1" applyProtection="1">
      <alignment horizontal="center" vertical="center" shrinkToFit="1"/>
    </xf>
    <xf numFmtId="0" fontId="11" fillId="0" borderId="236" xfId="0" applyFont="1" applyBorder="1" applyAlignment="1" applyProtection="1">
      <alignment vertical="center"/>
    </xf>
    <xf numFmtId="0" fontId="11" fillId="0" borderId="18" xfId="0" applyFont="1" applyBorder="1" applyAlignment="1" applyProtection="1">
      <alignment vertical="center"/>
    </xf>
    <xf numFmtId="2" fontId="0" fillId="0" borderId="4" xfId="0" applyNumberFormat="1" applyBorder="1" applyAlignment="1" applyProtection="1">
      <alignment horizontal="center" vertical="center"/>
    </xf>
    <xf numFmtId="2" fontId="0" fillId="0" borderId="6" xfId="0" applyNumberFormat="1" applyBorder="1" applyAlignment="1" applyProtection="1">
      <alignment horizontal="center" vertical="center"/>
    </xf>
    <xf numFmtId="2" fontId="0" fillId="0" borderId="24" xfId="0" applyNumberFormat="1" applyBorder="1" applyProtection="1">
      <alignment vertical="center"/>
    </xf>
    <xf numFmtId="0" fontId="11" fillId="2" borderId="40" xfId="0" applyFont="1" applyFill="1" applyBorder="1" applyAlignment="1" applyProtection="1">
      <alignment vertical="center"/>
    </xf>
    <xf numFmtId="0" fontId="15" fillId="2" borderId="39" xfId="0" applyFont="1" applyFill="1" applyBorder="1" applyAlignment="1" applyProtection="1">
      <alignment vertical="center"/>
    </xf>
    <xf numFmtId="0" fontId="14" fillId="2" borderId="40" xfId="0" applyFont="1" applyFill="1" applyBorder="1" applyAlignment="1" applyProtection="1">
      <alignment vertical="center"/>
    </xf>
    <xf numFmtId="0" fontId="25" fillId="0" borderId="4" xfId="0" applyFont="1" applyBorder="1" applyProtection="1">
      <alignment vertical="center"/>
    </xf>
    <xf numFmtId="0" fontId="11" fillId="3" borderId="94" xfId="3" applyFont="1" applyFill="1" applyBorder="1" applyAlignment="1" applyProtection="1">
      <alignment horizontal="center" vertical="center"/>
    </xf>
    <xf numFmtId="0" fontId="11" fillId="3" borderId="257" xfId="3" applyFont="1" applyFill="1" applyBorder="1" applyAlignment="1" applyProtection="1">
      <alignment horizontal="center" vertical="center"/>
    </xf>
    <xf numFmtId="0" fontId="46" fillId="2" borderId="375" xfId="3" applyFont="1" applyFill="1" applyBorder="1" applyAlignment="1" applyProtection="1">
      <alignment horizontal="right" vertical="center" shrinkToFit="1"/>
    </xf>
    <xf numFmtId="0" fontId="46" fillId="2" borderId="280" xfId="3" applyFont="1" applyFill="1" applyBorder="1" applyAlignment="1" applyProtection="1">
      <alignment horizontal="right" vertical="center" shrinkToFit="1"/>
    </xf>
    <xf numFmtId="0" fontId="46" fillId="2" borderId="178" xfId="3" applyFont="1" applyFill="1" applyBorder="1" applyAlignment="1" applyProtection="1">
      <alignment horizontal="right" vertical="center" shrinkToFit="1"/>
    </xf>
    <xf numFmtId="0" fontId="40" fillId="2" borderId="376" xfId="0" applyFont="1" applyFill="1" applyBorder="1" applyAlignment="1" applyProtection="1">
      <alignment vertical="center"/>
    </xf>
    <xf numFmtId="0" fontId="40" fillId="2" borderId="186" xfId="0" applyFont="1" applyFill="1" applyBorder="1" applyAlignment="1" applyProtection="1">
      <alignment vertical="center"/>
    </xf>
    <xf numFmtId="0" fontId="40" fillId="2" borderId="189" xfId="0" applyFont="1" applyFill="1" applyBorder="1" applyAlignment="1" applyProtection="1">
      <alignment vertical="center"/>
    </xf>
    <xf numFmtId="0" fontId="55" fillId="2" borderId="0" xfId="3" applyFont="1" applyFill="1" applyBorder="1" applyAlignment="1" applyProtection="1">
      <alignment vertical="center"/>
    </xf>
    <xf numFmtId="0" fontId="25" fillId="2" borderId="19" xfId="0" applyFont="1" applyFill="1" applyBorder="1" applyAlignment="1" applyProtection="1">
      <alignment horizontal="center" vertical="center"/>
    </xf>
    <xf numFmtId="0" fontId="25" fillId="2" borderId="31" xfId="0" applyFont="1" applyFill="1" applyBorder="1" applyAlignment="1" applyProtection="1">
      <alignment horizontal="center" vertical="center"/>
    </xf>
    <xf numFmtId="0" fontId="11" fillId="2" borderId="19" xfId="0" applyFont="1" applyFill="1" applyBorder="1" applyAlignment="1" applyProtection="1">
      <alignment horizontal="center" vertical="center"/>
    </xf>
    <xf numFmtId="0" fontId="11" fillId="2" borderId="31" xfId="0" applyFont="1" applyFill="1" applyBorder="1" applyAlignment="1" applyProtection="1">
      <alignment horizontal="center" vertical="center"/>
    </xf>
    <xf numFmtId="0" fontId="11" fillId="2" borderId="21"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left" vertical="center" wrapText="1"/>
    </xf>
    <xf numFmtId="0" fontId="11" fillId="2" borderId="19"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18" xfId="0" applyFont="1" applyFill="1" applyBorder="1" applyAlignment="1" applyProtection="1">
      <alignment horizontal="left" vertical="center"/>
    </xf>
    <xf numFmtId="0" fontId="32" fillId="2" borderId="0" xfId="0" applyFont="1" applyFill="1" applyBorder="1" applyAlignment="1" applyProtection="1">
      <alignment horizontal="left" vertical="center" shrinkToFit="1"/>
    </xf>
    <xf numFmtId="0" fontId="11" fillId="0" borderId="4" xfId="0" applyFont="1" applyBorder="1" applyAlignment="1" applyProtection="1">
      <alignment horizontal="center" vertical="center"/>
    </xf>
    <xf numFmtId="0" fontId="25" fillId="2" borderId="17" xfId="0" applyFont="1" applyFill="1" applyBorder="1" applyAlignment="1" applyProtection="1">
      <alignment horizontal="center" vertical="center"/>
    </xf>
    <xf numFmtId="0" fontId="11" fillId="2" borderId="31" xfId="0" applyFont="1" applyFill="1" applyBorder="1" applyAlignment="1" applyProtection="1">
      <alignment horizontal="left" vertical="center"/>
    </xf>
    <xf numFmtId="0" fontId="11" fillId="2" borderId="18" xfId="0" applyFont="1" applyFill="1" applyBorder="1" applyAlignment="1" applyProtection="1">
      <alignment horizontal="center" vertical="center" shrinkToFit="1"/>
    </xf>
    <xf numFmtId="0" fontId="25" fillId="2" borderId="0" xfId="0" applyFont="1" applyFill="1" applyBorder="1" applyAlignment="1" applyProtection="1">
      <alignment horizontal="center" vertical="center"/>
    </xf>
    <xf numFmtId="0" fontId="11" fillId="0" borderId="8" xfId="0" applyFont="1" applyBorder="1" applyAlignment="1" applyProtection="1">
      <alignment horizontal="center" vertical="center"/>
    </xf>
    <xf numFmtId="0" fontId="11" fillId="2" borderId="31" xfId="0" applyFont="1" applyFill="1" applyBorder="1" applyAlignment="1" applyProtection="1">
      <alignment horizontal="center" vertical="center" shrinkToFit="1"/>
    </xf>
    <xf numFmtId="0" fontId="11" fillId="2" borderId="0" xfId="0" applyFont="1" applyFill="1" applyAlignment="1" applyProtection="1">
      <alignment horizontal="left" vertical="center" wrapText="1"/>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181" fontId="11" fillId="2" borderId="18" xfId="0" applyNumberFormat="1" applyFont="1" applyFill="1" applyBorder="1" applyAlignment="1" applyProtection="1">
      <alignment horizontal="center" vertical="center" shrinkToFit="1"/>
    </xf>
    <xf numFmtId="181" fontId="11" fillId="2" borderId="14" xfId="0" applyNumberFormat="1" applyFont="1" applyFill="1" applyBorder="1" applyAlignment="1" applyProtection="1">
      <alignment horizontal="center" vertical="center" shrinkToFit="1"/>
    </xf>
    <xf numFmtId="0" fontId="11" fillId="3" borderId="12" xfId="3" applyFont="1" applyFill="1" applyBorder="1" applyAlignment="1" applyProtection="1">
      <alignment horizontal="center" vertical="center" shrinkToFit="1"/>
    </xf>
    <xf numFmtId="0" fontId="25" fillId="0" borderId="23" xfId="0" applyFont="1" applyBorder="1" applyAlignment="1" applyProtection="1">
      <alignment horizontal="center" vertical="center" shrinkToFit="1"/>
    </xf>
    <xf numFmtId="0" fontId="25" fillId="0" borderId="24" xfId="0" applyFont="1" applyBorder="1" applyAlignment="1" applyProtection="1">
      <alignment horizontal="center" vertical="center" shrinkToFit="1"/>
    </xf>
    <xf numFmtId="0" fontId="25" fillId="0" borderId="86" xfId="0" applyFont="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25" fillId="2" borderId="31" xfId="0" applyFont="1" applyFill="1" applyBorder="1" applyAlignment="1" applyProtection="1">
      <alignment horizontal="center" vertical="center" shrinkToFit="1"/>
    </xf>
    <xf numFmtId="0" fontId="25" fillId="0" borderId="4" xfId="0" applyFont="1" applyFill="1" applyBorder="1" applyAlignment="1" applyProtection="1">
      <alignment horizontal="center" vertical="center" shrinkToFit="1"/>
    </xf>
    <xf numFmtId="0" fontId="25" fillId="0" borderId="10" xfId="0" applyFont="1" applyFill="1" applyBorder="1" applyAlignment="1" applyProtection="1">
      <alignment horizontal="center" vertical="center" shrinkToFit="1"/>
    </xf>
    <xf numFmtId="0" fontId="25" fillId="0" borderId="43" xfId="0" applyFont="1" applyFill="1" applyBorder="1" applyAlignment="1" applyProtection="1">
      <alignment horizontal="center" vertical="center" shrinkToFit="1"/>
    </xf>
    <xf numFmtId="0" fontId="25" fillId="3" borderId="257" xfId="0" applyFont="1" applyFill="1" applyBorder="1" applyAlignment="1" applyProtection="1">
      <alignment horizontal="center" vertical="center" shrinkToFit="1"/>
    </xf>
    <xf numFmtId="0" fontId="44" fillId="0" borderId="106" xfId="0" applyFont="1" applyFill="1" applyBorder="1" applyAlignment="1" applyProtection="1">
      <alignment horizontal="center" vertical="center"/>
    </xf>
    <xf numFmtId="0" fontId="26" fillId="0" borderId="298" xfId="0" applyFont="1" applyFill="1" applyBorder="1" applyAlignment="1" applyProtection="1">
      <alignment horizontal="center" vertical="center" shrinkToFit="1"/>
    </xf>
    <xf numFmtId="0" fontId="26" fillId="0" borderId="211" xfId="0" applyFont="1" applyFill="1" applyBorder="1" applyAlignment="1" applyProtection="1">
      <alignment horizontal="center" vertical="center" shrinkToFit="1"/>
    </xf>
    <xf numFmtId="0" fontId="25" fillId="2" borderId="97" xfId="0" applyFont="1" applyFill="1" applyBorder="1" applyAlignment="1" applyProtection="1">
      <alignment horizontal="center" vertical="center" shrinkToFit="1"/>
    </xf>
    <xf numFmtId="0" fontId="25" fillId="2" borderId="264" xfId="0" applyFont="1" applyFill="1" applyBorder="1" applyAlignment="1" applyProtection="1">
      <alignment horizontal="center" vertical="center" shrinkToFit="1"/>
    </xf>
    <xf numFmtId="0" fontId="14" fillId="0" borderId="6" xfId="0" applyFont="1" applyFill="1" applyBorder="1" applyAlignment="1" applyProtection="1">
      <alignment horizontal="center" vertical="center" shrinkToFit="1"/>
    </xf>
    <xf numFmtId="0" fontId="14" fillId="0" borderId="106" xfId="0" applyFont="1" applyFill="1" applyBorder="1" applyAlignment="1" applyProtection="1">
      <alignment horizontal="center" vertical="center"/>
    </xf>
    <xf numFmtId="0" fontId="11" fillId="3" borderId="69" xfId="1" applyFont="1" applyFill="1" applyBorder="1" applyAlignment="1" applyProtection="1">
      <alignment horizontal="center" vertical="center" wrapText="1" shrinkToFit="1"/>
    </xf>
    <xf numFmtId="0" fontId="8" fillId="2" borderId="28" xfId="0" applyFont="1" applyFill="1" applyBorder="1" applyAlignment="1" applyProtection="1">
      <alignment horizontal="center" vertical="center" shrinkToFit="1"/>
    </xf>
    <xf numFmtId="0" fontId="8" fillId="2" borderId="12" xfId="0" applyFont="1" applyFill="1" applyBorder="1" applyAlignment="1" applyProtection="1">
      <alignment horizontal="center" vertical="center" shrinkToFit="1"/>
    </xf>
    <xf numFmtId="0" fontId="8" fillId="2" borderId="18" xfId="0" applyFont="1" applyFill="1" applyBorder="1" applyAlignment="1" applyProtection="1">
      <alignment horizontal="center" vertical="center"/>
    </xf>
    <xf numFmtId="0" fontId="40" fillId="0" borderId="0" xfId="0" applyFont="1" applyProtection="1">
      <alignment vertical="center"/>
    </xf>
    <xf numFmtId="178" fontId="11" fillId="2" borderId="12" xfId="3" applyNumberFormat="1" applyFont="1" applyFill="1" applyBorder="1" applyAlignment="1" applyProtection="1">
      <alignment vertical="center" shrinkToFit="1"/>
    </xf>
    <xf numFmtId="2" fontId="40" fillId="2" borderId="342" xfId="0" applyNumberFormat="1" applyFont="1" applyFill="1" applyBorder="1" applyAlignment="1" applyProtection="1">
      <alignment horizontal="right" vertical="center"/>
    </xf>
    <xf numFmtId="2" fontId="40" fillId="2" borderId="343" xfId="0" applyNumberFormat="1" applyFont="1" applyFill="1" applyBorder="1" applyAlignment="1" applyProtection="1">
      <alignment horizontal="right" vertical="center"/>
    </xf>
    <xf numFmtId="2" fontId="40" fillId="2" borderId="344" xfId="0" applyNumberFormat="1" applyFont="1" applyFill="1" applyBorder="1" applyAlignment="1" applyProtection="1">
      <alignment horizontal="right" vertical="center"/>
    </xf>
    <xf numFmtId="2" fontId="40" fillId="2" borderId="0" xfId="0" applyNumberFormat="1" applyFont="1" applyFill="1" applyBorder="1" applyAlignment="1" applyProtection="1">
      <alignment horizontal="right" vertical="center"/>
    </xf>
    <xf numFmtId="0" fontId="54" fillId="2" borderId="0" xfId="0" applyFont="1" applyFill="1" applyProtection="1">
      <alignment vertical="center"/>
    </xf>
    <xf numFmtId="0" fontId="25" fillId="0" borderId="23" xfId="0" applyFont="1" applyBorder="1" applyAlignment="1" applyProtection="1">
      <alignment vertical="center" shrinkToFit="1"/>
    </xf>
    <xf numFmtId="0" fontId="25" fillId="0" borderId="24" xfId="0" applyFont="1" applyBorder="1" applyAlignment="1" applyProtection="1">
      <alignment vertical="center" shrinkToFit="1"/>
    </xf>
    <xf numFmtId="0" fontId="25" fillId="0" borderId="52" xfId="0" applyFont="1" applyBorder="1" applyAlignment="1" applyProtection="1">
      <alignment vertical="center" shrinkToFit="1"/>
    </xf>
    <xf numFmtId="0" fontId="25" fillId="0" borderId="207" xfId="0" applyFont="1" applyBorder="1" applyAlignment="1" applyProtection="1">
      <alignment vertical="center" shrinkToFit="1"/>
    </xf>
    <xf numFmtId="0" fontId="25" fillId="0" borderId="41" xfId="0" applyFont="1" applyBorder="1" applyAlignment="1" applyProtection="1">
      <alignment vertical="center" shrinkToFit="1"/>
    </xf>
    <xf numFmtId="0" fontId="11" fillId="2" borderId="226" xfId="3" applyFont="1" applyFill="1" applyBorder="1" applyAlignment="1" applyProtection="1">
      <alignment horizontal="center" vertical="center" shrinkToFit="1"/>
    </xf>
    <xf numFmtId="0" fontId="11" fillId="2" borderId="228" xfId="3" applyFont="1" applyFill="1" applyBorder="1" applyAlignment="1" applyProtection="1">
      <alignment horizontal="center" vertical="center" shrinkToFit="1"/>
    </xf>
    <xf numFmtId="0" fontId="11" fillId="2" borderId="168" xfId="3" applyFont="1" applyFill="1" applyBorder="1" applyAlignment="1" applyProtection="1">
      <alignment horizontal="center" vertical="center" shrinkToFit="1"/>
    </xf>
    <xf numFmtId="0" fontId="11" fillId="2" borderId="232" xfId="3" applyFont="1" applyFill="1" applyBorder="1" applyAlignment="1" applyProtection="1">
      <alignment horizontal="center" vertical="center" shrinkToFit="1"/>
    </xf>
    <xf numFmtId="0" fontId="11" fillId="2" borderId="177" xfId="3" applyFont="1" applyFill="1" applyBorder="1" applyAlignment="1" applyProtection="1">
      <alignment horizontal="center" vertical="center" shrinkToFit="1"/>
    </xf>
    <xf numFmtId="0" fontId="11" fillId="2" borderId="239" xfId="3" applyFont="1" applyFill="1" applyBorder="1" applyAlignment="1" applyProtection="1">
      <alignment horizontal="center" vertical="center" shrinkToFit="1"/>
    </xf>
    <xf numFmtId="195" fontId="11" fillId="0" borderId="225" xfId="3" applyNumberFormat="1" applyFont="1" applyBorder="1" applyAlignment="1" applyProtection="1">
      <alignment horizontal="right" vertical="center" shrinkToFit="1"/>
      <protection locked="0"/>
    </xf>
    <xf numFmtId="195" fontId="11" fillId="0" borderId="158" xfId="3" applyNumberFormat="1" applyFont="1" applyBorder="1" applyAlignment="1" applyProtection="1">
      <alignment horizontal="right" vertical="center" shrinkToFit="1"/>
      <protection locked="0"/>
    </xf>
    <xf numFmtId="195" fontId="11" fillId="0" borderId="179" xfId="3" applyNumberFormat="1" applyFont="1" applyBorder="1" applyAlignment="1" applyProtection="1">
      <alignment horizontal="right" vertical="center" shrinkToFit="1"/>
      <protection locked="0"/>
    </xf>
    <xf numFmtId="0" fontId="25" fillId="4" borderId="369" xfId="0" applyFont="1" applyFill="1" applyBorder="1" applyAlignment="1" applyProtection="1">
      <alignment horizontal="center" vertical="center" shrinkToFit="1"/>
      <protection locked="0"/>
    </xf>
    <xf numFmtId="0" fontId="25" fillId="4" borderId="364" xfId="0" applyFont="1" applyFill="1" applyBorder="1" applyAlignment="1" applyProtection="1">
      <alignment horizontal="center" vertical="center" shrinkToFit="1"/>
      <protection locked="0"/>
    </xf>
    <xf numFmtId="0" fontId="25" fillId="4" borderId="270" xfId="0" applyFont="1" applyFill="1" applyBorder="1" applyAlignment="1" applyProtection="1">
      <alignment horizontal="center" vertical="center" shrinkToFit="1"/>
      <protection locked="0"/>
    </xf>
    <xf numFmtId="0" fontId="25" fillId="2" borderId="55" xfId="0" applyFont="1" applyFill="1" applyBorder="1" applyAlignment="1" applyProtection="1">
      <alignment horizontal="center" vertical="center" shrinkToFit="1"/>
    </xf>
    <xf numFmtId="0" fontId="25" fillId="2" borderId="305" xfId="0" applyNumberFormat="1" applyFont="1" applyFill="1" applyBorder="1" applyAlignment="1" applyProtection="1">
      <alignment horizontal="center" vertical="center" shrinkToFit="1"/>
    </xf>
    <xf numFmtId="0" fontId="25" fillId="4" borderId="378" xfId="0" applyFont="1" applyFill="1" applyBorder="1" applyAlignment="1" applyProtection="1">
      <alignment horizontal="center" vertical="center" shrinkToFit="1"/>
      <protection locked="0"/>
    </xf>
    <xf numFmtId="0" fontId="25" fillId="4" borderId="379" xfId="0" applyFont="1" applyFill="1" applyBorder="1" applyAlignment="1" applyProtection="1">
      <alignment horizontal="center" vertical="center" shrinkToFit="1"/>
      <protection locked="0"/>
    </xf>
    <xf numFmtId="0" fontId="25" fillId="4" borderId="380" xfId="0" applyFont="1" applyFill="1" applyBorder="1" applyAlignment="1" applyProtection="1">
      <alignment horizontal="center" vertical="center" shrinkToFit="1"/>
      <protection locked="0"/>
    </xf>
    <xf numFmtId="0" fontId="25" fillId="2" borderId="381" xfId="0" applyNumberFormat="1" applyFont="1" applyFill="1" applyBorder="1" applyAlignment="1" applyProtection="1">
      <alignment horizontal="center" vertical="center" shrinkToFit="1"/>
    </xf>
    <xf numFmtId="2" fontId="25" fillId="4" borderId="319" xfId="0" applyNumberFormat="1" applyFont="1" applyFill="1" applyBorder="1" applyAlignment="1" applyProtection="1">
      <alignment horizontal="center" vertical="center"/>
      <protection locked="0"/>
    </xf>
    <xf numFmtId="2" fontId="25" fillId="4" borderId="320" xfId="0" applyNumberFormat="1" applyFont="1" applyFill="1" applyBorder="1" applyAlignment="1" applyProtection="1">
      <alignment horizontal="center" vertical="center"/>
      <protection locked="0"/>
    </xf>
    <xf numFmtId="2" fontId="25" fillId="4" borderId="324" xfId="0" applyNumberFormat="1" applyFont="1" applyFill="1" applyBorder="1" applyAlignment="1" applyProtection="1">
      <alignment horizontal="center" vertical="center"/>
      <protection locked="0"/>
    </xf>
    <xf numFmtId="2" fontId="25" fillId="4" borderId="325" xfId="0" applyNumberFormat="1" applyFont="1" applyFill="1" applyBorder="1" applyAlignment="1" applyProtection="1">
      <alignment horizontal="center" vertical="center"/>
      <protection locked="0"/>
    </xf>
    <xf numFmtId="2" fontId="25" fillId="4" borderId="199" xfId="0" applyNumberFormat="1" applyFont="1" applyFill="1" applyBorder="1" applyAlignment="1" applyProtection="1">
      <alignment horizontal="center" vertical="center"/>
      <protection locked="0"/>
    </xf>
    <xf numFmtId="2" fontId="25" fillId="4" borderId="327" xfId="0" applyNumberFormat="1" applyFont="1" applyFill="1" applyBorder="1" applyAlignment="1" applyProtection="1">
      <alignment horizontal="center" vertical="center"/>
      <protection locked="0"/>
    </xf>
    <xf numFmtId="2" fontId="25" fillId="4" borderId="202" xfId="0" applyNumberFormat="1" applyFont="1" applyFill="1" applyBorder="1" applyAlignment="1" applyProtection="1">
      <alignment horizontal="center" vertical="center"/>
      <protection locked="0"/>
    </xf>
    <xf numFmtId="2" fontId="25" fillId="4" borderId="331" xfId="0" applyNumberFormat="1" applyFont="1" applyFill="1" applyBorder="1" applyAlignment="1" applyProtection="1">
      <alignment horizontal="center" vertical="center"/>
      <protection locked="0"/>
    </xf>
    <xf numFmtId="0" fontId="36" fillId="2" borderId="0" xfId="0" applyFont="1" applyFill="1" applyProtection="1">
      <alignment vertical="center"/>
    </xf>
    <xf numFmtId="0" fontId="8" fillId="2" borderId="156" xfId="0" applyFont="1" applyFill="1" applyBorder="1" applyAlignment="1" applyProtection="1">
      <alignment horizontal="center" vertical="center" shrinkToFit="1"/>
    </xf>
    <xf numFmtId="0" fontId="8" fillId="2" borderId="158" xfId="0" applyFont="1" applyFill="1" applyBorder="1" applyAlignment="1" applyProtection="1">
      <alignment horizontal="center" vertical="center" shrinkToFit="1"/>
    </xf>
    <xf numFmtId="0" fontId="8" fillId="2" borderId="160" xfId="0" applyFont="1" applyFill="1" applyBorder="1" applyAlignment="1" applyProtection="1">
      <alignment horizontal="center" vertical="center" shrinkToFit="1"/>
    </xf>
    <xf numFmtId="0" fontId="44" fillId="2" borderId="388" xfId="0" applyFont="1" applyFill="1" applyBorder="1" applyAlignment="1" applyProtection="1">
      <alignment horizontal="center" vertical="center" shrinkToFit="1"/>
    </xf>
    <xf numFmtId="0" fontId="44" fillId="2" borderId="389" xfId="0" applyFont="1" applyFill="1" applyBorder="1" applyAlignment="1" applyProtection="1">
      <alignment horizontal="center" vertical="center" shrinkToFit="1"/>
    </xf>
    <xf numFmtId="0" fontId="44" fillId="2" borderId="189" xfId="0" applyFont="1" applyFill="1" applyBorder="1" applyAlignment="1" applyProtection="1">
      <alignment horizontal="center" vertical="center" shrinkToFit="1"/>
    </xf>
    <xf numFmtId="0" fontId="44" fillId="2" borderId="73" xfId="0" applyFont="1" applyFill="1" applyBorder="1" applyAlignment="1" applyProtection="1">
      <alignment horizontal="center" vertical="center" shrinkToFit="1"/>
    </xf>
    <xf numFmtId="0" fontId="25" fillId="0" borderId="4" xfId="0" applyFont="1" applyFill="1" applyBorder="1" applyAlignment="1" applyProtection="1">
      <alignment horizontal="center" vertical="center" shrinkToFit="1"/>
    </xf>
    <xf numFmtId="2" fontId="25" fillId="13" borderId="320" xfId="0" applyNumberFormat="1" applyFont="1" applyFill="1" applyBorder="1" applyAlignment="1" applyProtection="1">
      <alignment horizontal="center" vertical="center"/>
    </xf>
    <xf numFmtId="2" fontId="25" fillId="2" borderId="327" xfId="0" applyNumberFormat="1" applyFont="1" applyFill="1" applyBorder="1" applyAlignment="1" applyProtection="1">
      <alignment horizontal="center" vertical="center"/>
    </xf>
    <xf numFmtId="38" fontId="46" fillId="2" borderId="346" xfId="4" applyFont="1" applyFill="1" applyBorder="1" applyAlignment="1" applyProtection="1">
      <alignment horizontal="right" vertical="center" shrinkToFit="1"/>
    </xf>
    <xf numFmtId="38" fontId="46" fillId="2" borderId="347" xfId="4" applyFont="1" applyFill="1" applyBorder="1" applyAlignment="1" applyProtection="1">
      <alignment horizontal="right" vertical="center" shrinkToFit="1"/>
    </xf>
    <xf numFmtId="38" fontId="46" fillId="2" borderId="348" xfId="4" applyFont="1" applyFill="1" applyBorder="1" applyAlignment="1" applyProtection="1">
      <alignment horizontal="right" vertical="center" shrinkToFit="1"/>
    </xf>
    <xf numFmtId="0" fontId="25" fillId="0" borderId="4" xfId="0" applyFont="1" applyFill="1" applyBorder="1" applyAlignment="1" applyProtection="1">
      <alignment horizontal="center" vertical="center" shrinkToFit="1"/>
    </xf>
    <xf numFmtId="0" fontId="27" fillId="0" borderId="268" xfId="0" applyFont="1" applyFill="1" applyBorder="1" applyAlignment="1" applyProtection="1">
      <alignment horizontal="center" vertical="center" shrinkToFit="1"/>
    </xf>
    <xf numFmtId="197" fontId="44" fillId="2" borderId="390" xfId="0" applyNumberFormat="1" applyFont="1" applyFill="1" applyBorder="1" applyAlignment="1" applyProtection="1">
      <alignment horizontal="right" vertical="center"/>
    </xf>
    <xf numFmtId="0" fontId="56" fillId="0" borderId="4" xfId="0" applyFont="1" applyBorder="1" applyAlignment="1" applyProtection="1">
      <alignment horizontal="left" vertical="center" wrapText="1" shrinkToFit="1"/>
    </xf>
    <xf numFmtId="191" fontId="57" fillId="11" borderId="110" xfId="3" applyNumberFormat="1" applyFont="1" applyFill="1" applyBorder="1" applyAlignment="1" applyProtection="1">
      <alignment horizontal="left" shrinkToFit="1"/>
      <protection locked="0"/>
    </xf>
    <xf numFmtId="191" fontId="57" fillId="11" borderId="147" xfId="3" applyNumberFormat="1" applyFont="1" applyFill="1" applyBorder="1" applyAlignment="1" applyProtection="1">
      <alignment horizontal="left" shrinkToFit="1"/>
      <protection locked="0"/>
    </xf>
    <xf numFmtId="0" fontId="58" fillId="0" borderId="0" xfId="11" applyProtection="1"/>
    <xf numFmtId="0" fontId="40" fillId="0" borderId="0" xfId="11" applyFont="1" applyFill="1" applyBorder="1" applyAlignment="1" applyProtection="1">
      <alignment horizontal="left" vertical="center"/>
    </xf>
    <xf numFmtId="0" fontId="59" fillId="0" borderId="0" xfId="7" applyFont="1" applyProtection="1">
      <alignment vertical="center"/>
    </xf>
    <xf numFmtId="0" fontId="58" fillId="0" borderId="0" xfId="11"/>
    <xf numFmtId="0" fontId="60" fillId="0" borderId="0" xfId="11" applyFont="1" applyAlignment="1" applyProtection="1">
      <alignment horizontal="left"/>
    </xf>
    <xf numFmtId="0" fontId="60" fillId="0" borderId="0" xfId="11" applyFont="1" applyAlignment="1" applyProtection="1">
      <alignment horizontal="center"/>
    </xf>
    <xf numFmtId="0" fontId="61" fillId="4" borderId="4" xfId="11" applyFont="1" applyFill="1" applyBorder="1" applyAlignment="1">
      <alignment horizontal="center" vertical="center"/>
    </xf>
    <xf numFmtId="0" fontId="46" fillId="0" borderId="0" xfId="11" applyFont="1" applyAlignment="1">
      <alignment vertical="center"/>
    </xf>
    <xf numFmtId="0" fontId="61" fillId="5" borderId="4" xfId="11" applyFont="1" applyFill="1" applyBorder="1" applyAlignment="1">
      <alignment horizontal="center" vertical="center"/>
    </xf>
    <xf numFmtId="0" fontId="61" fillId="7" borderId="4" xfId="11" applyFont="1" applyFill="1" applyBorder="1" applyAlignment="1">
      <alignment horizontal="center" vertical="center"/>
    </xf>
    <xf numFmtId="0" fontId="61" fillId="0" borderId="4" xfId="11" applyFont="1" applyBorder="1" applyAlignment="1">
      <alignment horizontal="center" vertical="center"/>
    </xf>
    <xf numFmtId="0" fontId="62" fillId="0" borderId="0" xfId="11" applyFont="1" applyProtection="1"/>
    <xf numFmtId="0" fontId="38" fillId="0" borderId="0" xfId="7" applyFont="1" applyProtection="1">
      <alignment vertical="center"/>
    </xf>
    <xf numFmtId="0" fontId="13" fillId="0" borderId="0" xfId="7" applyFont="1" applyAlignment="1" applyProtection="1">
      <alignment horizontal="center" vertical="center"/>
    </xf>
    <xf numFmtId="0" fontId="64" fillId="0" borderId="44" xfId="11" applyFont="1" applyFill="1" applyBorder="1" applyAlignment="1" applyProtection="1">
      <alignment horizontal="center" vertical="center"/>
    </xf>
    <xf numFmtId="0" fontId="66" fillId="0" borderId="45" xfId="12" applyFont="1" applyBorder="1" applyAlignment="1" applyProtection="1">
      <alignment horizontal="center" vertical="center"/>
    </xf>
    <xf numFmtId="0" fontId="67" fillId="0" borderId="7" xfId="11" applyFont="1" applyFill="1" applyBorder="1" applyAlignment="1" applyProtection="1">
      <alignment horizontal="center" vertical="center"/>
    </xf>
    <xf numFmtId="0" fontId="59" fillId="0" borderId="61" xfId="7" applyFont="1" applyBorder="1" applyAlignment="1" applyProtection="1">
      <alignment horizontal="center" vertical="center"/>
    </xf>
    <xf numFmtId="0" fontId="68" fillId="0" borderId="0" xfId="7" applyFont="1" applyProtection="1">
      <alignment vertical="center"/>
    </xf>
    <xf numFmtId="0" fontId="67" fillId="0" borderId="104" xfId="11" applyFont="1" applyFill="1" applyBorder="1" applyAlignment="1" applyProtection="1">
      <alignment horizontal="center" vertical="center"/>
    </xf>
    <xf numFmtId="0" fontId="59" fillId="0" borderId="62" xfId="7" applyFont="1" applyBorder="1" applyAlignment="1" applyProtection="1">
      <alignment horizontal="center" vertical="center"/>
    </xf>
    <xf numFmtId="0" fontId="59" fillId="0" borderId="11" xfId="7" applyFont="1" applyBorder="1" applyAlignment="1" applyProtection="1">
      <alignment horizontal="left" vertical="center" indent="1"/>
    </xf>
    <xf numFmtId="0" fontId="59" fillId="0" borderId="29" xfId="7" applyFont="1" applyBorder="1" applyProtection="1">
      <alignment vertical="center"/>
    </xf>
    <xf numFmtId="0" fontId="59" fillId="0" borderId="35" xfId="7" applyFont="1" applyBorder="1" applyAlignment="1" applyProtection="1">
      <alignment horizontal="left" vertical="center" indent="1"/>
    </xf>
    <xf numFmtId="0" fontId="59" fillId="0" borderId="33" xfId="7" applyFont="1" applyBorder="1" applyProtection="1">
      <alignment vertical="center"/>
    </xf>
    <xf numFmtId="0" fontId="59" fillId="0" borderId="36" xfId="7" applyFont="1" applyBorder="1" applyAlignment="1" applyProtection="1">
      <alignment horizontal="left" vertical="center" indent="1"/>
    </xf>
    <xf numFmtId="0" fontId="59" fillId="0" borderId="38" xfId="7" applyFont="1" applyBorder="1" applyAlignment="1" applyProtection="1">
      <alignment vertical="center" wrapText="1"/>
    </xf>
    <xf numFmtId="0" fontId="62" fillId="0" borderId="0" xfId="13" applyFont="1" applyProtection="1"/>
    <xf numFmtId="0" fontId="59" fillId="0" borderId="0" xfId="14" applyFont="1" applyProtection="1">
      <alignment vertical="center"/>
    </xf>
    <xf numFmtId="0" fontId="70" fillId="0" borderId="0" xfId="15"/>
    <xf numFmtId="0" fontId="71" fillId="0" borderId="44" xfId="13" applyFont="1" applyFill="1" applyBorder="1" applyAlignment="1" applyProtection="1">
      <alignment horizontal="center" vertical="center"/>
    </xf>
    <xf numFmtId="0" fontId="72" fillId="0" borderId="104" xfId="11" applyFont="1" applyFill="1" applyBorder="1" applyAlignment="1" applyProtection="1">
      <alignment horizontal="center" vertical="center"/>
    </xf>
    <xf numFmtId="0" fontId="58" fillId="0" borderId="0" xfId="11" applyFill="1" applyBorder="1" applyAlignment="1" applyProtection="1">
      <alignment horizontal="center" vertical="center"/>
    </xf>
    <xf numFmtId="0" fontId="73" fillId="0" borderId="0" xfId="7" applyFont="1" applyBorder="1" applyAlignment="1" applyProtection="1">
      <alignment horizontal="center" vertical="center"/>
    </xf>
    <xf numFmtId="0" fontId="5" fillId="0" borderId="391" xfId="11" applyFont="1" applyBorder="1" applyAlignment="1" applyProtection="1">
      <alignment horizontal="center" vertical="center"/>
    </xf>
    <xf numFmtId="0" fontId="74" fillId="0" borderId="394" xfId="11" applyFont="1" applyBorder="1" applyAlignment="1" applyProtection="1">
      <alignment horizontal="center" vertical="center"/>
    </xf>
    <xf numFmtId="0" fontId="74" fillId="0" borderId="20" xfId="11" applyFont="1" applyBorder="1" applyAlignment="1" applyProtection="1">
      <alignment horizontal="left" vertical="center"/>
    </xf>
    <xf numFmtId="0" fontId="74" fillId="0" borderId="43" xfId="11" applyFont="1" applyBorder="1" applyAlignment="1" applyProtection="1">
      <alignment horizontal="left" vertical="center"/>
    </xf>
    <xf numFmtId="0" fontId="74" fillId="0" borderId="21" xfId="11" applyFont="1" applyBorder="1" applyAlignment="1" applyProtection="1">
      <alignment horizontal="left" vertical="center"/>
    </xf>
    <xf numFmtId="0" fontId="74" fillId="0" borderId="33" xfId="11" applyFont="1" applyBorder="1" applyAlignment="1" applyProtection="1">
      <alignment horizontal="left" vertical="center"/>
    </xf>
    <xf numFmtId="0" fontId="58" fillId="0" borderId="0" xfId="11" applyAlignment="1">
      <alignment horizontal="left" vertical="top"/>
    </xf>
    <xf numFmtId="0" fontId="59" fillId="0" borderId="0" xfId="7" applyFont="1" applyAlignment="1" applyProtection="1">
      <alignment horizontal="left" vertical="top"/>
    </xf>
    <xf numFmtId="0" fontId="0" fillId="0" borderId="4" xfId="0"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11" fillId="2" borderId="0" xfId="0" applyFont="1" applyFill="1" applyBorder="1" applyAlignment="1" applyProtection="1">
      <alignment horizontal="center" vertical="center"/>
    </xf>
    <xf numFmtId="0" fontId="11" fillId="0" borderId="4" xfId="0" applyFont="1" applyBorder="1" applyAlignment="1" applyProtection="1">
      <alignment horizontal="center" vertical="center"/>
    </xf>
    <xf numFmtId="0" fontId="8" fillId="2" borderId="28" xfId="0" applyFont="1" applyFill="1" applyBorder="1" applyAlignment="1" applyProtection="1">
      <alignment horizontal="center" vertical="center" shrinkToFit="1"/>
    </xf>
    <xf numFmtId="0" fontId="25" fillId="12" borderId="181" xfId="0" applyFont="1" applyFill="1" applyBorder="1" applyAlignment="1" applyProtection="1">
      <alignment horizontal="center" vertical="center"/>
    </xf>
    <xf numFmtId="0" fontId="25" fillId="12" borderId="184" xfId="0" applyFont="1" applyFill="1" applyBorder="1" applyAlignment="1" applyProtection="1">
      <alignment horizontal="center" vertical="center"/>
    </xf>
    <xf numFmtId="0" fontId="25" fillId="12" borderId="187" xfId="0" applyFont="1" applyFill="1" applyBorder="1" applyAlignment="1" applyProtection="1">
      <alignment horizontal="center" vertical="center"/>
    </xf>
    <xf numFmtId="0" fontId="11" fillId="0" borderId="4" xfId="0" applyFont="1" applyBorder="1">
      <alignment vertical="center"/>
    </xf>
    <xf numFmtId="179" fontId="76" fillId="0" borderId="4" xfId="0" applyNumberFormat="1" applyFont="1" applyBorder="1" applyAlignment="1">
      <alignment horizontal="left" vertical="center"/>
    </xf>
    <xf numFmtId="179" fontId="52" fillId="0" borderId="4" xfId="0" applyNumberFormat="1" applyFont="1" applyBorder="1" applyAlignment="1">
      <alignment horizontal="left" vertical="center"/>
    </xf>
    <xf numFmtId="0" fontId="0" fillId="0" borderId="4" xfId="0" applyBorder="1" applyAlignment="1"/>
    <xf numFmtId="0" fontId="31" fillId="0" borderId="85" xfId="0" applyFont="1" applyBorder="1" applyAlignment="1" applyProtection="1">
      <alignment vertical="center"/>
    </xf>
    <xf numFmtId="0" fontId="8" fillId="2" borderId="108" xfId="0" applyFont="1" applyFill="1" applyBorder="1" applyAlignment="1" applyProtection="1">
      <alignment horizontal="center" vertical="center" textRotation="255" shrinkToFit="1"/>
    </xf>
    <xf numFmtId="0" fontId="62" fillId="0" borderId="0" xfId="13" applyFont="1"/>
    <xf numFmtId="0" fontId="59" fillId="0" borderId="0" xfId="14" applyFont="1">
      <alignment vertical="center"/>
    </xf>
    <xf numFmtId="0" fontId="0" fillId="0" borderId="4" xfId="0" applyBorder="1" applyAlignment="1">
      <alignment horizontal="center" vertical="center"/>
    </xf>
    <xf numFmtId="0" fontId="0" fillId="0" borderId="4" xfId="0" applyBorder="1" applyAlignment="1">
      <alignment horizontal="left" vertical="center"/>
    </xf>
    <xf numFmtId="0" fontId="77" fillId="0" borderId="44" xfId="13" applyFont="1" applyBorder="1" applyAlignment="1">
      <alignment horizontal="center" vertical="center"/>
    </xf>
    <xf numFmtId="0" fontId="78" fillId="0" borderId="29" xfId="12" applyFont="1" applyBorder="1" applyAlignment="1" applyProtection="1">
      <alignment horizontal="center" vertical="center"/>
    </xf>
    <xf numFmtId="0" fontId="0" fillId="0" borderId="7" xfId="0" applyBorder="1" applyAlignment="1">
      <alignment horizontal="center" vertical="center"/>
    </xf>
    <xf numFmtId="0" fontId="73" fillId="0" borderId="61" xfId="7" applyFont="1" applyBorder="1" applyAlignment="1">
      <alignment horizontal="center" vertical="center" shrinkToFit="1"/>
    </xf>
    <xf numFmtId="0" fontId="38" fillId="0" borderId="0" xfId="7" applyFont="1">
      <alignment vertical="center"/>
    </xf>
    <xf numFmtId="0" fontId="0" fillId="0" borderId="0" xfId="0" applyAlignment="1">
      <alignment horizontal="center" vertical="center"/>
    </xf>
    <xf numFmtId="0" fontId="32" fillId="0" borderId="0" xfId="13" applyFont="1" applyAlignment="1">
      <alignment horizontal="left" vertical="center"/>
    </xf>
    <xf numFmtId="0" fontId="79" fillId="0" borderId="0" xfId="12" applyFont="1" applyBorder="1" applyAlignment="1" applyProtection="1">
      <alignment horizontal="center" vertical="center"/>
    </xf>
    <xf numFmtId="0" fontId="62" fillId="0" borderId="0" xfId="0" applyFont="1" applyAlignment="1"/>
    <xf numFmtId="0" fontId="0" fillId="0" borderId="0" xfId="0" applyAlignment="1"/>
    <xf numFmtId="0" fontId="38" fillId="0" borderId="0" xfId="7" applyFont="1" applyAlignment="1"/>
    <xf numFmtId="0" fontId="80" fillId="0" borderId="0" xfId="7" applyFont="1" applyAlignment="1">
      <alignment horizontal="center" vertical="center"/>
    </xf>
    <xf numFmtId="0" fontId="59" fillId="0" borderId="0" xfId="7" applyFont="1">
      <alignment vertical="center"/>
    </xf>
    <xf numFmtId="0" fontId="79" fillId="0" borderId="44" xfId="0" applyFont="1" applyBorder="1" applyAlignment="1">
      <alignment horizontal="center" vertical="center"/>
    </xf>
    <xf numFmtId="0" fontId="78" fillId="0" borderId="45" xfId="12" applyFont="1" applyBorder="1" applyAlignment="1" applyProtection="1">
      <alignment horizontal="center" vertical="center"/>
    </xf>
    <xf numFmtId="0" fontId="59" fillId="0" borderId="61" xfId="7" applyFont="1" applyBorder="1" applyAlignment="1">
      <alignment horizontal="center" vertical="center" shrinkToFit="1"/>
    </xf>
    <xf numFmtId="0" fontId="0" fillId="0" borderId="48" xfId="0" applyBorder="1" applyAlignment="1">
      <alignment horizontal="center" vertical="center"/>
    </xf>
    <xf numFmtId="0" fontId="38" fillId="0" borderId="106" xfId="7" applyFont="1" applyBorder="1" applyAlignment="1">
      <alignment horizontal="center" vertical="center" shrinkToFit="1"/>
    </xf>
    <xf numFmtId="0" fontId="0" fillId="0" borderId="104" xfId="0" applyBorder="1" applyAlignment="1">
      <alignment horizontal="center" vertical="center"/>
    </xf>
    <xf numFmtId="0" fontId="59" fillId="0" borderId="62" xfId="7" applyFont="1" applyBorder="1" applyAlignment="1">
      <alignment horizontal="center" vertical="center"/>
    </xf>
    <xf numFmtId="0" fontId="81" fillId="0" borderId="0" xfId="7" applyFont="1">
      <alignment vertical="center"/>
    </xf>
    <xf numFmtId="0" fontId="82" fillId="0" borderId="0" xfId="0" applyFont="1" applyAlignment="1">
      <alignment horizontal="left" vertical="center"/>
    </xf>
    <xf numFmtId="0" fontId="0" fillId="0" borderId="0" xfId="0" applyAlignment="1">
      <alignment horizontal="left" vertical="center" wrapText="1"/>
    </xf>
    <xf numFmtId="0" fontId="0" fillId="0" borderId="13" xfId="0" applyBorder="1">
      <alignment vertical="center"/>
    </xf>
    <xf numFmtId="0" fontId="83" fillId="0" borderId="4" xfId="0" applyFont="1" applyBorder="1" applyAlignment="1">
      <alignment horizontal="center" vertical="center"/>
    </xf>
    <xf numFmtId="0" fontId="83" fillId="0" borderId="6" xfId="0" applyFont="1" applyBorder="1" applyAlignment="1">
      <alignment horizontal="center" vertical="center"/>
    </xf>
    <xf numFmtId="0" fontId="56" fillId="0" borderId="0" xfId="0" applyFont="1" applyAlignment="1">
      <alignment horizontal="center" vertical="center"/>
    </xf>
    <xf numFmtId="0" fontId="32" fillId="2" borderId="0" xfId="0" applyFont="1" applyFill="1" applyAlignment="1">
      <alignment vertical="center" shrinkToFit="1"/>
    </xf>
    <xf numFmtId="0" fontId="84" fillId="0" borderId="0" xfId="0" applyFont="1">
      <alignment vertical="center"/>
    </xf>
    <xf numFmtId="0" fontId="70" fillId="14" borderId="395" xfId="0" applyFont="1" applyFill="1" applyBorder="1" applyAlignment="1">
      <alignment vertical="center" shrinkToFit="1"/>
    </xf>
    <xf numFmtId="0" fontId="70" fillId="14" borderId="396" xfId="0" applyFont="1" applyFill="1" applyBorder="1" applyAlignment="1">
      <alignment vertical="center" shrinkToFit="1"/>
    </xf>
    <xf numFmtId="0" fontId="70" fillId="14" borderId="397" xfId="0" applyFont="1" applyFill="1" applyBorder="1" applyAlignment="1">
      <alignment vertical="center" shrinkToFit="1"/>
    </xf>
    <xf numFmtId="0" fontId="84" fillId="15" borderId="0" xfId="0" applyFont="1" applyFill="1">
      <alignment vertical="center"/>
    </xf>
    <xf numFmtId="0" fontId="70" fillId="0" borderId="4" xfId="0" applyFont="1" applyBorder="1" applyAlignment="1" applyProtection="1">
      <alignment horizontal="left" vertical="center" wrapText="1"/>
    </xf>
    <xf numFmtId="0" fontId="8" fillId="3" borderId="398" xfId="0" applyFont="1" applyFill="1" applyBorder="1" applyAlignment="1" applyProtection="1">
      <alignment horizontal="center" vertical="center" shrinkToFit="1"/>
    </xf>
    <xf numFmtId="0" fontId="8" fillId="3" borderId="399" xfId="0" applyFont="1" applyFill="1" applyBorder="1" applyAlignment="1" applyProtection="1">
      <alignment horizontal="center" vertical="center" shrinkToFit="1"/>
    </xf>
    <xf numFmtId="0" fontId="8" fillId="3" borderId="400" xfId="0" applyFont="1" applyFill="1" applyBorder="1" applyAlignment="1" applyProtection="1">
      <alignment horizontal="center" vertical="center" shrinkToFit="1"/>
    </xf>
    <xf numFmtId="0" fontId="19" fillId="7" borderId="21" xfId="3" applyNumberFormat="1" applyFont="1" applyFill="1" applyBorder="1" applyAlignment="1" applyProtection="1">
      <alignment horizontal="center" vertical="center"/>
    </xf>
    <xf numFmtId="0" fontId="19" fillId="7" borderId="15" xfId="3" applyNumberFormat="1" applyFont="1" applyFill="1" applyBorder="1" applyAlignment="1" applyProtection="1">
      <alignment horizontal="center" vertical="center"/>
    </xf>
    <xf numFmtId="0" fontId="23" fillId="7" borderId="139" xfId="3" applyNumberFormat="1" applyFont="1" applyFill="1" applyBorder="1" applyAlignment="1" applyProtection="1">
      <alignment horizontal="center" vertical="center" shrinkToFit="1"/>
    </xf>
    <xf numFmtId="0" fontId="23" fillId="7" borderId="140" xfId="3" applyNumberFormat="1" applyFont="1" applyFill="1" applyBorder="1" applyAlignment="1" applyProtection="1">
      <alignment horizontal="center" vertical="center" shrinkToFit="1"/>
    </xf>
    <xf numFmtId="0" fontId="5" fillId="11" borderId="19" xfId="3" applyFont="1" applyFill="1" applyBorder="1" applyAlignment="1" applyProtection="1">
      <alignment horizontal="center" vertical="center"/>
      <protection locked="0"/>
    </xf>
    <xf numFmtId="0" fontId="5" fillId="11" borderId="16" xfId="3" applyFont="1" applyFill="1" applyBorder="1" applyAlignment="1" applyProtection="1">
      <alignment horizontal="center" vertical="center"/>
      <protection locked="0"/>
    </xf>
    <xf numFmtId="0" fontId="5" fillId="3" borderId="19" xfId="3" applyFont="1" applyFill="1" applyBorder="1" applyAlignment="1">
      <alignment horizontal="center" vertical="center"/>
    </xf>
    <xf numFmtId="0" fontId="5" fillId="3" borderId="16" xfId="3" applyFont="1" applyFill="1" applyBorder="1" applyAlignment="1">
      <alignment horizontal="center" vertical="center"/>
    </xf>
    <xf numFmtId="0" fontId="74" fillId="0" borderId="21" xfId="11" applyFont="1" applyBorder="1" applyAlignment="1" applyProtection="1">
      <alignment horizontal="left" vertical="center"/>
    </xf>
    <xf numFmtId="0" fontId="74" fillId="0" borderId="33" xfId="11" applyFont="1" applyBorder="1" applyAlignment="1" applyProtection="1">
      <alignment horizontal="left" vertical="center"/>
    </xf>
    <xf numFmtId="0" fontId="74" fillId="0" borderId="46" xfId="11" applyFont="1" applyBorder="1" applyAlignment="1" applyProtection="1">
      <alignment horizontal="center" vertical="center"/>
    </xf>
    <xf numFmtId="0" fontId="74" fillId="0" borderId="48" xfId="11" applyFont="1" applyBorder="1" applyAlignment="1" applyProtection="1">
      <alignment horizontal="center" vertical="center"/>
    </xf>
    <xf numFmtId="0" fontId="74" fillId="0" borderId="104" xfId="11" applyFont="1" applyBorder="1" applyAlignment="1" applyProtection="1">
      <alignment horizontal="center" vertical="center"/>
    </xf>
    <xf numFmtId="0" fontId="74" fillId="0" borderId="51" xfId="11" applyFont="1" applyBorder="1" applyAlignment="1" applyProtection="1">
      <alignment horizontal="left" vertical="top" wrapText="1"/>
    </xf>
    <xf numFmtId="0" fontId="74" fillId="0" borderId="38" xfId="11" applyFont="1" applyBorder="1" applyAlignment="1" applyProtection="1">
      <alignment horizontal="left" vertical="top"/>
    </xf>
    <xf numFmtId="0" fontId="5" fillId="0" borderId="392" xfId="11" applyFont="1" applyBorder="1" applyAlignment="1" applyProtection="1">
      <alignment horizontal="center" vertical="center"/>
    </xf>
    <xf numFmtId="0" fontId="5" fillId="0" borderId="393" xfId="11" applyFont="1" applyBorder="1" applyAlignment="1" applyProtection="1">
      <alignment horizontal="center" vertical="center"/>
    </xf>
    <xf numFmtId="0" fontId="75" fillId="0" borderId="20" xfId="11" applyFont="1" applyBorder="1" applyAlignment="1" applyProtection="1">
      <alignment horizontal="left" vertical="center" wrapText="1"/>
    </xf>
    <xf numFmtId="0" fontId="75" fillId="0" borderId="43" xfId="11" applyFont="1" applyBorder="1" applyAlignment="1" applyProtection="1">
      <alignment horizontal="left" vertical="center" wrapText="1"/>
    </xf>
    <xf numFmtId="0" fontId="74" fillId="0" borderId="7" xfId="11" applyFont="1" applyBorder="1" applyAlignment="1" applyProtection="1">
      <alignment horizontal="center" vertical="center"/>
    </xf>
    <xf numFmtId="0" fontId="74" fillId="0" borderId="19" xfId="11" applyFont="1" applyBorder="1" applyAlignment="1" applyProtection="1">
      <alignment horizontal="left" vertical="center"/>
    </xf>
    <xf numFmtId="0" fontId="74" fillId="0" borderId="42" xfId="11" applyFont="1" applyBorder="1" applyAlignment="1" applyProtection="1">
      <alignment horizontal="left"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70" fillId="2" borderId="106" xfId="0" applyFont="1" applyFill="1" applyBorder="1" applyAlignment="1">
      <alignment horizontal="center" vertical="center" wrapText="1"/>
    </xf>
    <xf numFmtId="0" fontId="70" fillId="2" borderId="103" xfId="0" applyFont="1" applyFill="1" applyBorder="1" applyAlignment="1">
      <alignment horizontal="center" vertical="center" wrapText="1"/>
    </xf>
    <xf numFmtId="0" fontId="70" fillId="2" borderId="47" xfId="0" applyFont="1" applyFill="1" applyBorder="1" applyAlignment="1">
      <alignment horizontal="center" vertical="center" wrapText="1"/>
    </xf>
    <xf numFmtId="0" fontId="0" fillId="0" borderId="145" xfId="0" applyBorder="1" applyAlignment="1">
      <alignment horizontal="center" vertical="center"/>
    </xf>
    <xf numFmtId="0" fontId="0" fillId="0" borderId="127" xfId="0" applyBorder="1" applyAlignment="1">
      <alignment horizontal="center" vertical="center"/>
    </xf>
    <xf numFmtId="0" fontId="0" fillId="0" borderId="153" xfId="0" applyBorder="1" applyAlignment="1">
      <alignment horizontal="center" vertical="center"/>
    </xf>
    <xf numFmtId="0" fontId="11" fillId="2" borderId="17"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11" fillId="2" borderId="14" xfId="0" applyFont="1" applyFill="1" applyBorder="1" applyAlignment="1" applyProtection="1">
      <alignment horizontal="center" vertical="center"/>
    </xf>
    <xf numFmtId="0" fontId="32" fillId="2" borderId="10" xfId="0" applyFont="1" applyFill="1" applyBorder="1" applyAlignment="1" applyProtection="1">
      <alignment horizontal="left" vertical="center"/>
    </xf>
    <xf numFmtId="0" fontId="11" fillId="4" borderId="78" xfId="0" applyFont="1" applyFill="1" applyBorder="1" applyAlignment="1" applyProtection="1">
      <alignment horizontal="center" vertical="center" shrinkToFit="1"/>
      <protection locked="0"/>
    </xf>
    <xf numFmtId="0" fontId="11" fillId="4" borderId="79" xfId="0" applyFont="1" applyFill="1" applyBorder="1" applyAlignment="1" applyProtection="1">
      <alignment horizontal="center" vertical="center" shrinkToFit="1"/>
      <protection locked="0"/>
    </xf>
    <xf numFmtId="0" fontId="11" fillId="2" borderId="35"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5" borderId="20" xfId="0" applyFont="1" applyFill="1" applyBorder="1" applyAlignment="1" applyProtection="1">
      <alignment horizontal="center" vertical="center"/>
      <protection locked="0"/>
    </xf>
    <xf numFmtId="0" fontId="11" fillId="5" borderId="10" xfId="0" applyFont="1" applyFill="1" applyBorder="1" applyAlignment="1" applyProtection="1">
      <alignment horizontal="center" vertical="center"/>
      <protection locked="0"/>
    </xf>
    <xf numFmtId="0" fontId="11" fillId="5" borderId="13" xfId="0" applyFont="1" applyFill="1" applyBorder="1" applyAlignment="1" applyProtection="1">
      <alignment horizontal="center" vertical="center"/>
      <protection locked="0"/>
    </xf>
    <xf numFmtId="0" fontId="11" fillId="0" borderId="17" xfId="0" applyFont="1" applyBorder="1" applyAlignment="1" applyProtection="1">
      <alignment horizontal="center" vertical="center"/>
    </xf>
    <xf numFmtId="0" fontId="11" fillId="0" borderId="18"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2" borderId="17" xfId="0" applyFont="1" applyFill="1" applyBorder="1" applyAlignment="1" applyProtection="1">
      <alignment horizontal="left" vertical="center" wrapText="1"/>
    </xf>
    <xf numFmtId="0" fontId="11" fillId="2" borderId="18" xfId="0" applyFont="1" applyFill="1" applyBorder="1" applyAlignment="1" applyProtection="1">
      <alignment horizontal="left" vertical="center" wrapText="1"/>
    </xf>
    <xf numFmtId="0" fontId="11" fillId="2" borderId="14" xfId="0" applyFont="1" applyFill="1" applyBorder="1" applyAlignment="1" applyProtection="1">
      <alignment horizontal="left" vertical="center" wrapText="1"/>
    </xf>
    <xf numFmtId="0" fontId="15" fillId="2" borderId="39" xfId="0" applyFont="1" applyFill="1" applyBorder="1" applyAlignment="1" applyProtection="1">
      <alignment horizontal="center" vertical="center" shrinkToFit="1"/>
    </xf>
    <xf numFmtId="0" fontId="15" fillId="2" borderId="40" xfId="0" applyFont="1" applyFill="1" applyBorder="1" applyAlignment="1" applyProtection="1">
      <alignment horizontal="center" vertical="center" shrinkToFit="1"/>
    </xf>
    <xf numFmtId="0" fontId="15" fillId="2" borderId="41" xfId="0" applyFont="1" applyFill="1" applyBorder="1" applyAlignment="1" applyProtection="1">
      <alignment horizontal="center" vertical="center" shrinkToFit="1"/>
    </xf>
    <xf numFmtId="0" fontId="11" fillId="2" borderId="99" xfId="0" applyFont="1" applyFill="1" applyBorder="1" applyAlignment="1" applyProtection="1">
      <alignment horizontal="center" vertical="center" wrapText="1"/>
    </xf>
    <xf numFmtId="0" fontId="11" fillId="2" borderId="78" xfId="0" applyFont="1" applyFill="1" applyBorder="1" applyAlignment="1" applyProtection="1">
      <alignment horizontal="center" vertical="center" wrapText="1"/>
    </xf>
    <xf numFmtId="0" fontId="11" fillId="2" borderId="19" xfId="0" applyFont="1" applyFill="1" applyBorder="1" applyAlignment="1" applyProtection="1">
      <alignment horizontal="center" vertical="center" wrapText="1"/>
    </xf>
    <xf numFmtId="0" fontId="11" fillId="2" borderId="31" xfId="0" applyFont="1" applyFill="1" applyBorder="1" applyAlignment="1" applyProtection="1">
      <alignment horizontal="center" vertical="center" wrapText="1"/>
    </xf>
    <xf numFmtId="0" fontId="11" fillId="2" borderId="2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20"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center" wrapText="1"/>
    </xf>
    <xf numFmtId="0" fontId="11" fillId="2" borderId="19" xfId="0" applyFont="1" applyFill="1" applyBorder="1" applyAlignment="1" applyProtection="1">
      <alignment horizontal="center" vertical="center"/>
    </xf>
    <xf numFmtId="0" fontId="11" fillId="2" borderId="31" xfId="0" applyFont="1" applyFill="1" applyBorder="1" applyAlignment="1" applyProtection="1">
      <alignment horizontal="center" vertical="center"/>
    </xf>
    <xf numFmtId="0" fontId="11" fillId="2" borderId="16" xfId="0" applyFont="1" applyFill="1" applyBorder="1" applyAlignment="1" applyProtection="1">
      <alignment horizontal="center" vertical="center"/>
    </xf>
    <xf numFmtId="0" fontId="11" fillId="2" borderId="21" xfId="0" applyFont="1" applyFill="1" applyBorder="1" applyAlignment="1" applyProtection="1">
      <alignment horizontal="center" vertical="center"/>
    </xf>
    <xf numFmtId="0" fontId="11" fillId="2" borderId="15" xfId="0" applyFont="1" applyFill="1" applyBorder="1" applyAlignment="1" applyProtection="1">
      <alignment horizontal="center" vertical="center"/>
    </xf>
    <xf numFmtId="0" fontId="11" fillId="2" borderId="20" xfId="0" applyFont="1" applyFill="1" applyBorder="1" applyAlignment="1" applyProtection="1">
      <alignment horizontal="center" vertical="center"/>
    </xf>
    <xf numFmtId="0" fontId="11" fillId="2" borderId="10"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11" fillId="6" borderId="40" xfId="0" applyFont="1" applyFill="1" applyBorder="1" applyAlignment="1" applyProtection="1">
      <alignment horizontal="center" vertical="center" shrinkToFit="1"/>
    </xf>
    <xf numFmtId="0" fontId="11" fillId="6" borderId="41" xfId="0" applyFont="1" applyFill="1" applyBorder="1" applyAlignment="1" applyProtection="1">
      <alignment horizontal="center" vertical="center" shrinkToFit="1"/>
    </xf>
    <xf numFmtId="0" fontId="32" fillId="2" borderId="0" xfId="0" applyFont="1" applyFill="1" applyAlignment="1" applyProtection="1">
      <alignment horizontal="left" vertical="center" shrinkToFit="1"/>
    </xf>
    <xf numFmtId="0" fontId="11" fillId="2" borderId="20" xfId="0" applyFont="1" applyFill="1" applyBorder="1" applyAlignment="1" applyProtection="1">
      <alignment horizontal="left" vertical="center" shrinkToFit="1"/>
    </xf>
    <xf numFmtId="0" fontId="11" fillId="2" borderId="10" xfId="0" applyFont="1" applyFill="1" applyBorder="1" applyAlignment="1" applyProtection="1">
      <alignment horizontal="left" vertical="center" shrinkToFit="1"/>
    </xf>
    <xf numFmtId="0" fontId="11" fillId="2" borderId="13" xfId="0" applyFont="1" applyFill="1" applyBorder="1" applyAlignment="1" applyProtection="1">
      <alignment horizontal="left" vertical="center" shrinkToFit="1"/>
    </xf>
    <xf numFmtId="181" fontId="11" fillId="5" borderId="17" xfId="0" applyNumberFormat="1" applyFont="1" applyFill="1" applyBorder="1" applyAlignment="1" applyProtection="1">
      <alignment horizontal="center" vertical="center" shrinkToFit="1"/>
      <protection locked="0"/>
    </xf>
    <xf numFmtId="181" fontId="11" fillId="5" borderId="18" xfId="0" applyNumberFormat="1" applyFont="1" applyFill="1" applyBorder="1" applyAlignment="1" applyProtection="1">
      <alignment horizontal="center" vertical="center" shrinkToFit="1"/>
      <protection locked="0"/>
    </xf>
    <xf numFmtId="181" fontId="11" fillId="5" borderId="14" xfId="0" applyNumberFormat="1" applyFont="1" applyFill="1" applyBorder="1" applyAlignment="1" applyProtection="1">
      <alignment horizontal="center" vertical="center" shrinkToFit="1"/>
      <protection locked="0"/>
    </xf>
    <xf numFmtId="181" fontId="11" fillId="4" borderId="4" xfId="0" applyNumberFormat="1" applyFont="1" applyFill="1" applyBorder="1" applyAlignment="1" applyProtection="1">
      <alignment horizontal="center" vertical="center" shrinkToFit="1"/>
      <protection locked="0"/>
    </xf>
    <xf numFmtId="0" fontId="11" fillId="2" borderId="75" xfId="0" applyFont="1" applyFill="1" applyBorder="1" applyAlignment="1" applyProtection="1">
      <alignment horizontal="center" vertical="center" shrinkToFit="1"/>
    </xf>
    <xf numFmtId="0" fontId="11" fillId="2" borderId="76" xfId="0" applyFont="1" applyFill="1" applyBorder="1" applyAlignment="1" applyProtection="1">
      <alignment horizontal="center" vertical="center" shrinkToFit="1"/>
    </xf>
    <xf numFmtId="0" fontId="11" fillId="2" borderId="77" xfId="0" applyFont="1" applyFill="1" applyBorder="1" applyAlignment="1" applyProtection="1">
      <alignment horizontal="center" vertical="center" shrinkToFit="1"/>
    </xf>
    <xf numFmtId="0" fontId="11" fillId="2" borderId="17" xfId="0" applyFont="1" applyFill="1" applyBorder="1" applyAlignment="1" applyProtection="1">
      <alignment horizontal="center" vertical="center" shrinkToFit="1"/>
    </xf>
    <xf numFmtId="0" fontId="11" fillId="2" borderId="18" xfId="0" applyFont="1" applyFill="1" applyBorder="1" applyAlignment="1" applyProtection="1">
      <alignment horizontal="center" vertical="center" shrinkToFit="1"/>
    </xf>
    <xf numFmtId="0" fontId="11" fillId="2" borderId="14" xfId="0" applyFont="1" applyFill="1" applyBorder="1" applyAlignment="1" applyProtection="1">
      <alignment horizontal="center" vertical="center" shrinkToFit="1"/>
    </xf>
    <xf numFmtId="0" fontId="11" fillId="2" borderId="17" xfId="0" applyFont="1" applyFill="1" applyBorder="1" applyAlignment="1" applyProtection="1">
      <alignment horizontal="left" vertical="center" shrinkToFit="1"/>
    </xf>
    <xf numFmtId="0" fontId="11" fillId="2" borderId="18" xfId="0" applyFont="1" applyFill="1" applyBorder="1" applyAlignment="1" applyProtection="1">
      <alignment horizontal="left" vertical="center" shrinkToFit="1"/>
    </xf>
    <xf numFmtId="0" fontId="11" fillId="2" borderId="14" xfId="0" applyFont="1" applyFill="1" applyBorder="1" applyAlignment="1" applyProtection="1">
      <alignment horizontal="left" vertical="center" shrinkToFit="1"/>
    </xf>
    <xf numFmtId="0" fontId="11" fillId="2" borderId="6" xfId="0" applyFont="1" applyFill="1" applyBorder="1" applyAlignment="1" applyProtection="1">
      <alignment horizontal="left" vertical="center" wrapText="1"/>
    </xf>
    <xf numFmtId="185" fontId="28" fillId="4" borderId="180" xfId="0" applyNumberFormat="1" applyFont="1" applyFill="1" applyBorder="1" applyAlignment="1" applyProtection="1">
      <alignment horizontal="center" vertical="center" shrinkToFit="1"/>
      <protection locked="0"/>
    </xf>
    <xf numFmtId="185" fontId="28" fillId="4" borderId="147" xfId="0" applyNumberFormat="1" applyFont="1" applyFill="1" applyBorder="1" applyAlignment="1" applyProtection="1">
      <alignment horizontal="center" vertical="center" shrinkToFit="1"/>
      <protection locked="0"/>
    </xf>
    <xf numFmtId="181" fontId="11" fillId="2" borderId="17" xfId="0" applyNumberFormat="1" applyFont="1" applyFill="1" applyBorder="1" applyAlignment="1" applyProtection="1">
      <alignment horizontal="center" vertical="center" shrinkToFit="1"/>
    </xf>
    <xf numFmtId="181" fontId="11" fillId="2" borderId="18" xfId="0" applyNumberFormat="1" applyFont="1" applyFill="1" applyBorder="1" applyAlignment="1" applyProtection="1">
      <alignment horizontal="center" vertical="center" shrinkToFit="1"/>
    </xf>
    <xf numFmtId="181" fontId="11" fillId="2" borderId="14" xfId="0" applyNumberFormat="1" applyFont="1" applyFill="1" applyBorder="1" applyAlignment="1" applyProtection="1">
      <alignment horizontal="center" vertical="center" shrinkToFit="1"/>
    </xf>
    <xf numFmtId="181" fontId="11" fillId="2" borderId="4" xfId="0" applyNumberFormat="1" applyFont="1" applyFill="1" applyBorder="1" applyAlignment="1" applyProtection="1">
      <alignment horizontal="center" vertical="center" shrinkToFit="1"/>
    </xf>
    <xf numFmtId="0" fontId="11" fillId="2" borderId="4" xfId="0" applyFont="1" applyFill="1" applyBorder="1" applyAlignment="1" applyProtection="1">
      <alignment horizontal="center" vertical="center" wrapText="1"/>
    </xf>
    <xf numFmtId="0" fontId="11" fillId="2" borderId="16" xfId="0" applyFont="1" applyFill="1" applyBorder="1" applyAlignment="1" applyProtection="1">
      <alignment horizontal="center" vertical="center" wrapText="1"/>
    </xf>
    <xf numFmtId="0" fontId="11" fillId="2" borderId="13" xfId="0" applyFont="1" applyFill="1" applyBorder="1" applyAlignment="1" applyProtection="1">
      <alignment horizontal="center" vertical="center" wrapText="1"/>
    </xf>
    <xf numFmtId="0" fontId="11" fillId="2" borderId="93" xfId="0" applyFont="1" applyFill="1" applyBorder="1" applyAlignment="1" applyProtection="1">
      <alignment horizontal="center" vertical="center" wrapText="1"/>
    </xf>
    <xf numFmtId="0" fontId="11" fillId="2" borderId="94" xfId="0" applyFont="1" applyFill="1" applyBorder="1" applyAlignment="1" applyProtection="1">
      <alignment horizontal="center" vertical="center" wrapText="1"/>
    </xf>
    <xf numFmtId="0" fontId="11" fillId="2" borderId="95" xfId="0" applyFont="1" applyFill="1" applyBorder="1" applyAlignment="1" applyProtection="1">
      <alignment horizontal="center" vertical="center" wrapText="1"/>
    </xf>
    <xf numFmtId="0" fontId="11" fillId="2" borderId="79" xfId="0" applyFont="1" applyFill="1" applyBorder="1" applyAlignment="1" applyProtection="1">
      <alignment horizontal="center" vertical="center" wrapText="1"/>
    </xf>
    <xf numFmtId="0" fontId="11" fillId="2" borderId="35" xfId="0" applyFont="1" applyFill="1"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11" fillId="2" borderId="36" xfId="0" applyFont="1" applyFill="1" applyBorder="1" applyAlignment="1" applyProtection="1">
      <alignment horizontal="left" vertical="center" wrapText="1"/>
    </xf>
    <xf numFmtId="0" fontId="11" fillId="2" borderId="37" xfId="0" applyFont="1" applyFill="1" applyBorder="1" applyAlignment="1" applyProtection="1">
      <alignment horizontal="left" vertical="center" wrapText="1"/>
    </xf>
    <xf numFmtId="0" fontId="15" fillId="2" borderId="0" xfId="0" applyFont="1" applyFill="1" applyAlignment="1" applyProtection="1">
      <alignment horizontal="left" vertical="center"/>
    </xf>
    <xf numFmtId="0" fontId="11" fillId="2" borderId="100" xfId="0" applyFont="1" applyFill="1" applyBorder="1" applyAlignment="1" applyProtection="1">
      <alignment horizontal="center" vertical="center" wrapText="1"/>
    </xf>
    <xf numFmtId="0" fontId="11" fillId="2" borderId="101" xfId="0" applyFont="1" applyFill="1" applyBorder="1" applyAlignment="1" applyProtection="1">
      <alignment horizontal="center" vertical="center" wrapText="1"/>
    </xf>
    <xf numFmtId="0" fontId="11" fillId="2" borderId="102" xfId="0" applyFont="1" applyFill="1" applyBorder="1" applyAlignment="1" applyProtection="1">
      <alignment horizontal="center" vertical="center" wrapText="1"/>
    </xf>
    <xf numFmtId="0" fontId="25" fillId="2" borderId="17" xfId="0" applyFont="1" applyFill="1" applyBorder="1" applyAlignment="1" applyProtection="1">
      <alignment horizontal="center" vertical="center"/>
    </xf>
    <xf numFmtId="0" fontId="25" fillId="2" borderId="18" xfId="0" applyFont="1" applyFill="1" applyBorder="1" applyAlignment="1" applyProtection="1">
      <alignment horizontal="center" vertical="center"/>
    </xf>
    <xf numFmtId="0" fontId="25" fillId="2" borderId="14" xfId="0" applyFont="1" applyFill="1" applyBorder="1" applyAlignment="1" applyProtection="1">
      <alignment horizontal="center" vertical="center"/>
    </xf>
    <xf numFmtId="0" fontId="25" fillId="2" borderId="4" xfId="0" applyFont="1" applyFill="1" applyBorder="1" applyAlignment="1" applyProtection="1">
      <alignment horizontal="left" vertical="center"/>
    </xf>
    <xf numFmtId="0" fontId="11" fillId="2" borderId="31" xfId="0" applyFont="1" applyFill="1" applyBorder="1" applyAlignment="1" applyProtection="1">
      <alignment horizontal="left" vertical="center"/>
    </xf>
    <xf numFmtId="0" fontId="32" fillId="2" borderId="43" xfId="0" applyFont="1" applyFill="1" applyBorder="1" applyAlignment="1" applyProtection="1">
      <alignment horizontal="left" vertical="center"/>
    </xf>
    <xf numFmtId="0" fontId="32" fillId="2" borderId="0" xfId="0" applyFont="1" applyFill="1" applyAlignment="1" applyProtection="1">
      <alignment horizontal="left" vertical="center"/>
    </xf>
    <xf numFmtId="0" fontId="11" fillId="2" borderId="94" xfId="0" applyFont="1" applyFill="1" applyBorder="1" applyAlignment="1" applyProtection="1">
      <alignment horizontal="left" vertical="center" wrapText="1"/>
    </xf>
    <xf numFmtId="0" fontId="11" fillId="2" borderId="78" xfId="0" applyFont="1" applyFill="1" applyBorder="1" applyAlignment="1" applyProtection="1">
      <alignment horizontal="left" vertical="center" wrapText="1"/>
    </xf>
    <xf numFmtId="0" fontId="11" fillId="2" borderId="79" xfId="0" applyFont="1" applyFill="1" applyBorder="1" applyAlignment="1" applyProtection="1">
      <alignment horizontal="left" vertical="center" wrapText="1"/>
    </xf>
    <xf numFmtId="0" fontId="11" fillId="2" borderId="101" xfId="0" applyFont="1" applyFill="1" applyBorder="1" applyAlignment="1" applyProtection="1">
      <alignment horizontal="left" vertical="center" wrapText="1"/>
    </xf>
    <xf numFmtId="0" fontId="11" fillId="2" borderId="102" xfId="0" applyFont="1" applyFill="1" applyBorder="1" applyAlignment="1" applyProtection="1">
      <alignment horizontal="left" vertical="center" wrapText="1"/>
    </xf>
    <xf numFmtId="181" fontId="33" fillId="2" borderId="21" xfId="0" applyNumberFormat="1" applyFont="1" applyFill="1" applyBorder="1" applyAlignment="1" applyProtection="1">
      <alignment horizontal="left" vertical="center" wrapText="1" shrinkToFit="1"/>
    </xf>
    <xf numFmtId="181" fontId="33" fillId="2" borderId="0" xfId="0" applyNumberFormat="1" applyFont="1" applyFill="1" applyBorder="1" applyAlignment="1" applyProtection="1">
      <alignment horizontal="left" vertical="center" wrapText="1" shrinkToFit="1"/>
    </xf>
    <xf numFmtId="181" fontId="33" fillId="2" borderId="15" xfId="0" applyNumberFormat="1" applyFont="1" applyFill="1" applyBorder="1" applyAlignment="1" applyProtection="1">
      <alignment horizontal="left" vertical="center" wrapText="1" shrinkToFit="1"/>
    </xf>
    <xf numFmtId="181" fontId="33" fillId="2" borderId="20" xfId="0" applyNumberFormat="1" applyFont="1" applyFill="1" applyBorder="1" applyAlignment="1" applyProtection="1">
      <alignment horizontal="left" vertical="center" wrapText="1" shrinkToFit="1"/>
    </xf>
    <xf numFmtId="181" fontId="33" fillId="2" borderId="10" xfId="0" applyNumberFormat="1" applyFont="1" applyFill="1" applyBorder="1" applyAlignment="1" applyProtection="1">
      <alignment horizontal="left" vertical="center" wrapText="1" shrinkToFit="1"/>
    </xf>
    <xf numFmtId="181" fontId="33" fillId="2" borderId="13" xfId="0" applyNumberFormat="1" applyFont="1" applyFill="1" applyBorder="1" applyAlignment="1" applyProtection="1">
      <alignment horizontal="left" vertical="center" wrapText="1" shrinkToFit="1"/>
    </xf>
    <xf numFmtId="0" fontId="11" fillId="5" borderId="99" xfId="0" applyFont="1" applyFill="1" applyBorder="1" applyAlignment="1" applyProtection="1">
      <alignment horizontal="center" vertical="center" wrapText="1"/>
      <protection locked="0"/>
    </xf>
    <xf numFmtId="0" fontId="11" fillId="5" borderId="78" xfId="0" applyFont="1" applyFill="1" applyBorder="1" applyAlignment="1" applyProtection="1">
      <alignment horizontal="center" vertical="center" wrapText="1"/>
      <protection locked="0"/>
    </xf>
    <xf numFmtId="0" fontId="11" fillId="5" borderId="79" xfId="0" applyFont="1" applyFill="1" applyBorder="1" applyAlignment="1" applyProtection="1">
      <alignment horizontal="center" vertical="center" wrapText="1"/>
      <protection locked="0"/>
    </xf>
    <xf numFmtId="0" fontId="25" fillId="2" borderId="19" xfId="0" applyFont="1" applyFill="1" applyBorder="1" applyAlignment="1" applyProtection="1">
      <alignment horizontal="center" vertical="center" wrapText="1"/>
    </xf>
    <xf numFmtId="0" fontId="25" fillId="2" borderId="31" xfId="0" applyFont="1" applyFill="1" applyBorder="1" applyAlignment="1" applyProtection="1">
      <alignment horizontal="center" vertical="center"/>
    </xf>
    <xf numFmtId="0" fontId="25" fillId="2" borderId="21" xfId="0" applyFont="1" applyFill="1" applyBorder="1" applyAlignment="1" applyProtection="1">
      <alignment horizontal="center" vertical="center"/>
    </xf>
    <xf numFmtId="0" fontId="25" fillId="2" borderId="0" xfId="0" applyFont="1" applyFill="1" applyBorder="1" applyAlignment="1" applyProtection="1">
      <alignment horizontal="center" vertical="center"/>
    </xf>
    <xf numFmtId="0" fontId="25" fillId="2" borderId="20" xfId="0" applyFont="1" applyFill="1" applyBorder="1" applyAlignment="1" applyProtection="1">
      <alignment horizontal="center" vertical="center"/>
    </xf>
    <xf numFmtId="0" fontId="25" fillId="2" borderId="10" xfId="0" applyFont="1" applyFill="1" applyBorder="1" applyAlignment="1" applyProtection="1">
      <alignment horizontal="center" vertical="center"/>
    </xf>
    <xf numFmtId="0" fontId="11" fillId="2" borderId="87" xfId="0" applyFont="1" applyFill="1" applyBorder="1" applyAlignment="1" applyProtection="1">
      <alignment horizontal="center" vertical="center" wrapText="1"/>
    </xf>
    <xf numFmtId="0" fontId="11" fillId="2" borderId="88" xfId="0" applyFont="1" applyFill="1" applyBorder="1" applyAlignment="1" applyProtection="1">
      <alignment horizontal="center" vertical="center" wrapText="1"/>
    </xf>
    <xf numFmtId="0" fontId="11" fillId="2" borderId="0" xfId="0" applyFont="1" applyFill="1" applyAlignment="1" applyProtection="1">
      <alignment horizontal="left" vertical="center" wrapText="1"/>
    </xf>
    <xf numFmtId="0" fontId="11" fillId="2" borderId="88" xfId="0" applyFont="1" applyFill="1" applyBorder="1" applyAlignment="1" applyProtection="1">
      <alignment horizontal="left" vertical="center" wrapText="1"/>
    </xf>
    <xf numFmtId="0" fontId="11" fillId="5" borderId="90" xfId="0" applyFont="1" applyFill="1" applyBorder="1" applyAlignment="1" applyProtection="1">
      <alignment horizontal="center" vertical="center" wrapText="1"/>
      <protection locked="0"/>
    </xf>
    <xf numFmtId="0" fontId="11" fillId="5" borderId="91" xfId="0" applyFont="1" applyFill="1" applyBorder="1" applyAlignment="1" applyProtection="1">
      <alignment horizontal="center" vertical="center" wrapText="1"/>
      <protection locked="0"/>
    </xf>
    <xf numFmtId="0" fontId="11" fillId="5" borderId="92"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left" vertical="center" wrapText="1"/>
    </xf>
    <xf numFmtId="0" fontId="11" fillId="5" borderId="93" xfId="0" applyFont="1" applyFill="1" applyBorder="1" applyAlignment="1" applyProtection="1">
      <alignment horizontal="center" vertical="center" wrapText="1"/>
      <protection locked="0"/>
    </xf>
    <xf numFmtId="0" fontId="11" fillId="5" borderId="94" xfId="0" applyFont="1" applyFill="1" applyBorder="1" applyAlignment="1" applyProtection="1">
      <alignment horizontal="center" vertical="center" wrapText="1"/>
      <protection locked="0"/>
    </xf>
    <xf numFmtId="0" fontId="11" fillId="5" borderId="95" xfId="0" applyFont="1" applyFill="1" applyBorder="1" applyAlignment="1" applyProtection="1">
      <alignment horizontal="center" vertical="center" wrapText="1"/>
      <protection locked="0"/>
    </xf>
    <xf numFmtId="181" fontId="11" fillId="2" borderId="19" xfId="0" applyNumberFormat="1" applyFont="1" applyFill="1" applyBorder="1" applyAlignment="1" applyProtection="1">
      <alignment horizontal="left" vertical="center" wrapText="1" shrinkToFit="1"/>
    </xf>
    <xf numFmtId="181" fontId="11" fillId="2" borderId="31" xfId="0" applyNumberFormat="1" applyFont="1" applyFill="1" applyBorder="1" applyAlignment="1" applyProtection="1">
      <alignment horizontal="left" vertical="center" wrapText="1" shrinkToFit="1"/>
    </xf>
    <xf numFmtId="181" fontId="11" fillId="2" borderId="16" xfId="0" applyNumberFormat="1" applyFont="1" applyFill="1" applyBorder="1" applyAlignment="1" applyProtection="1">
      <alignment horizontal="left" vertical="center" wrapText="1" shrinkToFit="1"/>
    </xf>
    <xf numFmtId="181" fontId="11" fillId="2" borderId="20" xfId="0" applyNumberFormat="1" applyFont="1" applyFill="1" applyBorder="1" applyAlignment="1" applyProtection="1">
      <alignment horizontal="left" vertical="center" wrapText="1" shrinkToFit="1"/>
    </xf>
    <xf numFmtId="181" fontId="11" fillId="2" borderId="10" xfId="0" applyNumberFormat="1" applyFont="1" applyFill="1" applyBorder="1" applyAlignment="1" applyProtection="1">
      <alignment horizontal="left" vertical="center" wrapText="1" shrinkToFit="1"/>
    </xf>
    <xf numFmtId="181" fontId="11" fillId="2" borderId="13" xfId="0" applyNumberFormat="1" applyFont="1" applyFill="1" applyBorder="1" applyAlignment="1" applyProtection="1">
      <alignment horizontal="left" vertical="center" wrapText="1" shrinkToFit="1"/>
    </xf>
    <xf numFmtId="0" fontId="11" fillId="0" borderId="39" xfId="0" applyFont="1" applyBorder="1" applyAlignment="1" applyProtection="1">
      <alignment horizontal="center" vertical="center"/>
    </xf>
    <xf numFmtId="0" fontId="11" fillId="0" borderId="41" xfId="0" applyFont="1" applyBorder="1" applyAlignment="1" applyProtection="1">
      <alignment horizontal="center" vertical="center"/>
    </xf>
    <xf numFmtId="0" fontId="13" fillId="2" borderId="17" xfId="0" applyFont="1" applyFill="1" applyBorder="1" applyAlignment="1" applyProtection="1">
      <alignment horizontal="center" vertical="center"/>
    </xf>
    <xf numFmtId="0" fontId="13" fillId="2" borderId="18" xfId="0" applyFont="1" applyFill="1" applyBorder="1" applyAlignment="1" applyProtection="1">
      <alignment horizontal="center" vertical="center"/>
    </xf>
    <xf numFmtId="0" fontId="13" fillId="2" borderId="14" xfId="0" applyFont="1" applyFill="1" applyBorder="1" applyAlignment="1" applyProtection="1">
      <alignment horizontal="center" vertical="center"/>
    </xf>
    <xf numFmtId="0" fontId="26" fillId="2" borderId="18" xfId="0" applyFont="1" applyFill="1" applyBorder="1" applyAlignment="1" applyProtection="1">
      <alignment horizontal="left" vertical="center" shrinkToFit="1"/>
    </xf>
    <xf numFmtId="0" fontId="26" fillId="2" borderId="14" xfId="0" applyFont="1" applyFill="1" applyBorder="1" applyAlignment="1" applyProtection="1">
      <alignment horizontal="left" vertical="center" shrinkToFit="1"/>
    </xf>
    <xf numFmtId="0" fontId="11" fillId="2" borderId="81" xfId="0" applyFont="1" applyFill="1" applyBorder="1" applyAlignment="1" applyProtection="1">
      <alignment horizontal="center" vertical="center"/>
    </xf>
    <xf numFmtId="0" fontId="11" fillId="2" borderId="83" xfId="0" applyFont="1" applyFill="1" applyBorder="1" applyAlignment="1" applyProtection="1">
      <alignment horizontal="center" vertical="center" shrinkToFit="1"/>
    </xf>
    <xf numFmtId="0" fontId="11" fillId="2" borderId="10" xfId="0" applyFont="1" applyFill="1" applyBorder="1" applyAlignment="1" applyProtection="1">
      <alignment horizontal="center" vertical="center" shrinkToFit="1"/>
    </xf>
    <xf numFmtId="0" fontId="15" fillId="2" borderId="35"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179" fontId="11" fillId="2" borderId="0" xfId="0" applyNumberFormat="1" applyFont="1" applyFill="1" applyAlignment="1">
      <alignment horizontal="distributed" vertical="center"/>
    </xf>
    <xf numFmtId="0" fontId="15" fillId="2" borderId="35" xfId="0" applyFont="1" applyFill="1" applyBorder="1" applyAlignment="1" applyProtection="1">
      <alignment horizontal="left" vertical="center"/>
    </xf>
    <xf numFmtId="0" fontId="15" fillId="2" borderId="0" xfId="0" applyFont="1" applyFill="1" applyBorder="1" applyAlignment="1" applyProtection="1">
      <alignment horizontal="left" vertical="center"/>
    </xf>
    <xf numFmtId="0" fontId="15" fillId="2" borderId="33" xfId="0" applyFont="1" applyFill="1" applyBorder="1" applyAlignment="1" applyProtection="1">
      <alignment horizontal="left" vertical="center"/>
    </xf>
    <xf numFmtId="0" fontId="11" fillId="2" borderId="63" xfId="0" applyFont="1" applyFill="1" applyBorder="1" applyAlignment="1" applyProtection="1">
      <alignment horizontal="center" vertical="center"/>
    </xf>
    <xf numFmtId="0" fontId="11" fillId="2" borderId="76" xfId="0" applyFont="1" applyFill="1" applyBorder="1" applyAlignment="1" applyProtection="1">
      <alignment horizontal="center" vertical="center"/>
    </xf>
    <xf numFmtId="0" fontId="13" fillId="2" borderId="17" xfId="0" applyFont="1" applyFill="1" applyBorder="1" applyAlignment="1" applyProtection="1">
      <alignment horizontal="center" vertical="center" wrapText="1" shrinkToFit="1"/>
    </xf>
    <xf numFmtId="0" fontId="13" fillId="2" borderId="18" xfId="0" applyFont="1" applyFill="1" applyBorder="1" applyAlignment="1" applyProtection="1">
      <alignment horizontal="center" vertical="center" wrapText="1" shrinkToFit="1"/>
    </xf>
    <xf numFmtId="0" fontId="13" fillId="2" borderId="14" xfId="0" applyFont="1" applyFill="1" applyBorder="1" applyAlignment="1" applyProtection="1">
      <alignment horizontal="center" vertical="center" wrapText="1" shrinkToFit="1"/>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2" borderId="14" xfId="0" applyFont="1" applyFill="1" applyBorder="1" applyAlignment="1" applyProtection="1">
      <alignment horizontal="center" vertical="center" wrapText="1"/>
    </xf>
    <xf numFmtId="0" fontId="13" fillId="2" borderId="18" xfId="0" applyFont="1" applyFill="1" applyBorder="1" applyAlignment="1" applyProtection="1">
      <alignment horizontal="center" vertical="center" shrinkToFit="1"/>
    </xf>
    <xf numFmtId="0" fontId="13" fillId="2" borderId="14" xfId="0" applyFont="1" applyFill="1" applyBorder="1" applyAlignment="1" applyProtection="1">
      <alignment horizontal="center" vertical="center" shrinkToFit="1"/>
    </xf>
    <xf numFmtId="0" fontId="13" fillId="2" borderId="4" xfId="0" applyFont="1" applyFill="1" applyBorder="1" applyAlignment="1" applyProtection="1">
      <alignment horizontal="center" vertical="center"/>
    </xf>
    <xf numFmtId="0" fontId="11" fillId="2" borderId="18" xfId="0" applyFont="1" applyFill="1" applyBorder="1" applyAlignment="1" applyProtection="1">
      <alignment horizontal="left" vertical="center"/>
    </xf>
    <xf numFmtId="0" fontId="11" fillId="2" borderId="17" xfId="0" applyFont="1" applyFill="1" applyBorder="1" applyAlignment="1" applyProtection="1">
      <alignment horizontal="center" vertical="center" wrapText="1" shrinkToFit="1"/>
    </xf>
    <xf numFmtId="0" fontId="11" fillId="2" borderId="18" xfId="0" applyFont="1" applyFill="1" applyBorder="1" applyAlignment="1" applyProtection="1">
      <alignment horizontal="center" vertical="center" wrapText="1" shrinkToFit="1"/>
    </xf>
    <xf numFmtId="0" fontId="11" fillId="2" borderId="14" xfId="0" applyFont="1" applyFill="1" applyBorder="1" applyAlignment="1" applyProtection="1">
      <alignment horizontal="center" vertical="center" wrapText="1" shrinkToFit="1"/>
    </xf>
    <xf numFmtId="0" fontId="11" fillId="2" borderId="4" xfId="0" applyFont="1" applyFill="1" applyBorder="1" applyAlignment="1" applyProtection="1">
      <alignment horizontal="center" vertical="center" shrinkToFit="1"/>
    </xf>
    <xf numFmtId="0" fontId="11" fillId="2" borderId="19" xfId="0" applyFont="1" applyFill="1" applyBorder="1" applyAlignment="1" applyProtection="1">
      <alignment horizontal="center" vertical="center" shrinkToFit="1"/>
    </xf>
    <xf numFmtId="0" fontId="11" fillId="2" borderId="31" xfId="0" applyFont="1" applyFill="1" applyBorder="1" applyAlignment="1" applyProtection="1">
      <alignment horizontal="center" vertical="center" shrinkToFit="1"/>
    </xf>
    <xf numFmtId="0" fontId="11" fillId="5" borderId="18" xfId="0" applyFont="1" applyFill="1" applyBorder="1" applyAlignment="1" applyProtection="1">
      <alignment horizontal="center" vertical="center" shrinkToFit="1"/>
      <protection locked="0"/>
    </xf>
    <xf numFmtId="0" fontId="11" fillId="0" borderId="6" xfId="0" applyFont="1" applyBorder="1" applyAlignment="1" applyProtection="1">
      <alignment horizontal="center" vertical="center"/>
    </xf>
    <xf numFmtId="0" fontId="11" fillId="0" borderId="9"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2" borderId="8" xfId="0" applyFont="1" applyFill="1" applyBorder="1" applyAlignment="1" applyProtection="1">
      <alignment horizontal="center" vertical="center"/>
    </xf>
    <xf numFmtId="0" fontId="11" fillId="5" borderId="87" xfId="0" applyFont="1" applyFill="1" applyBorder="1" applyAlignment="1" applyProtection="1">
      <alignment horizontal="center" vertical="center" wrapText="1"/>
      <protection locked="0"/>
    </xf>
    <xf numFmtId="0" fontId="11" fillId="5" borderId="88" xfId="0" applyFont="1" applyFill="1" applyBorder="1" applyAlignment="1" applyProtection="1">
      <alignment horizontal="center" vertical="center" wrapText="1"/>
      <protection locked="0"/>
    </xf>
    <xf numFmtId="0" fontId="11" fillId="5" borderId="89" xfId="0" applyFont="1" applyFill="1" applyBorder="1" applyAlignment="1" applyProtection="1">
      <alignment horizontal="center" vertical="center" wrapText="1"/>
      <protection locked="0"/>
    </xf>
    <xf numFmtId="0" fontId="11" fillId="2" borderId="90" xfId="0" applyFont="1" applyFill="1" applyBorder="1" applyAlignment="1" applyProtection="1">
      <alignment horizontal="center" vertical="center" wrapText="1"/>
    </xf>
    <xf numFmtId="0" fontId="11" fillId="2" borderId="91" xfId="0" applyFont="1" applyFill="1" applyBorder="1" applyAlignment="1" applyProtection="1">
      <alignment horizontal="center" vertical="center" wrapText="1"/>
    </xf>
    <xf numFmtId="0" fontId="11" fillId="2" borderId="91" xfId="0" applyFont="1" applyFill="1" applyBorder="1" applyAlignment="1" applyProtection="1">
      <alignment horizontal="left" vertical="center" wrapText="1"/>
    </xf>
    <xf numFmtId="0" fontId="25" fillId="2" borderId="19" xfId="0" applyFont="1" applyFill="1" applyBorder="1" applyAlignment="1" applyProtection="1">
      <alignment horizontal="center" vertical="center"/>
    </xf>
    <xf numFmtId="0" fontId="25" fillId="2" borderId="17" xfId="0" applyFont="1" applyFill="1" applyBorder="1" applyAlignment="1" applyProtection="1">
      <alignment horizontal="left" vertical="center"/>
    </xf>
    <xf numFmtId="0" fontId="25" fillId="2" borderId="18" xfId="0" applyFont="1" applyFill="1" applyBorder="1" applyAlignment="1" applyProtection="1">
      <alignment horizontal="left" vertical="center"/>
    </xf>
    <xf numFmtId="0" fontId="25" fillId="2" borderId="14" xfId="0" applyFont="1" applyFill="1" applyBorder="1" applyAlignment="1" applyProtection="1">
      <alignment horizontal="left" vertical="center"/>
    </xf>
    <xf numFmtId="0" fontId="25" fillId="2" borderId="19" xfId="0" applyFont="1" applyFill="1" applyBorder="1" applyAlignment="1" applyProtection="1">
      <alignment horizontal="left" vertical="center"/>
    </xf>
    <xf numFmtId="0" fontId="25" fillId="2" borderId="31" xfId="0" applyFont="1" applyFill="1" applyBorder="1" applyAlignment="1" applyProtection="1">
      <alignment horizontal="left" vertical="center"/>
    </xf>
    <xf numFmtId="0" fontId="25" fillId="2" borderId="16" xfId="0" applyFont="1" applyFill="1" applyBorder="1" applyAlignment="1" applyProtection="1">
      <alignment horizontal="left" vertical="center"/>
    </xf>
    <xf numFmtId="0" fontId="26" fillId="2" borderId="31" xfId="0" applyFont="1" applyFill="1" applyBorder="1" applyAlignment="1" applyProtection="1">
      <alignment horizontal="left" vertical="center" wrapText="1"/>
    </xf>
    <xf numFmtId="0" fontId="11" fillId="2" borderId="22" xfId="0" applyFont="1" applyFill="1" applyBorder="1" applyAlignment="1" applyProtection="1">
      <alignment horizontal="center" vertical="center"/>
    </xf>
    <xf numFmtId="0" fontId="25" fillId="2" borderId="99" xfId="0" applyFont="1" applyFill="1" applyBorder="1" applyAlignment="1" applyProtection="1">
      <alignment horizontal="center" vertical="center"/>
    </xf>
    <xf numFmtId="0" fontId="25" fillId="2" borderId="78" xfId="0" applyFont="1" applyFill="1" applyBorder="1" applyAlignment="1" applyProtection="1">
      <alignment horizontal="center" vertical="center"/>
    </xf>
    <xf numFmtId="0" fontId="25" fillId="2" borderId="78" xfId="0" applyFont="1" applyFill="1" applyBorder="1" applyAlignment="1" applyProtection="1">
      <alignment horizontal="left" vertical="center" wrapText="1"/>
    </xf>
    <xf numFmtId="0" fontId="25" fillId="2" borderId="79" xfId="0" applyFont="1" applyFill="1" applyBorder="1" applyAlignment="1" applyProtection="1">
      <alignment horizontal="left" vertical="center" wrapText="1"/>
    </xf>
    <xf numFmtId="0" fontId="25" fillId="2" borderId="58" xfId="0" applyFont="1" applyFill="1" applyBorder="1" applyAlignment="1" applyProtection="1">
      <alignment horizontal="center" vertical="center"/>
    </xf>
    <xf numFmtId="0" fontId="25" fillId="2" borderId="59" xfId="0" applyFont="1" applyFill="1" applyBorder="1" applyAlignment="1" applyProtection="1">
      <alignment horizontal="center" vertical="center"/>
    </xf>
    <xf numFmtId="0" fontId="25" fillId="2" borderId="59" xfId="0" applyFont="1" applyFill="1" applyBorder="1" applyAlignment="1" applyProtection="1">
      <alignment horizontal="left" vertical="center" wrapText="1"/>
    </xf>
    <xf numFmtId="0" fontId="25" fillId="2" borderId="60" xfId="0" applyFont="1" applyFill="1" applyBorder="1" applyAlignment="1" applyProtection="1">
      <alignment horizontal="left" vertical="center" wrapText="1"/>
    </xf>
    <xf numFmtId="0" fontId="25" fillId="2" borderId="16" xfId="0" applyFont="1" applyFill="1" applyBorder="1" applyAlignment="1" applyProtection="1">
      <alignment horizontal="center" vertical="center"/>
    </xf>
    <xf numFmtId="0" fontId="25" fillId="2" borderId="120" xfId="0" applyFont="1" applyFill="1" applyBorder="1" applyAlignment="1" applyProtection="1">
      <alignment horizontal="center" vertical="center"/>
    </xf>
    <xf numFmtId="0" fontId="25" fillId="2" borderId="134" xfId="0" applyFont="1" applyFill="1" applyBorder="1" applyAlignment="1" applyProtection="1">
      <alignment horizontal="center" vertical="center"/>
    </xf>
    <xf numFmtId="0" fontId="25" fillId="2" borderId="134" xfId="0" applyFont="1" applyFill="1" applyBorder="1" applyAlignment="1" applyProtection="1">
      <alignment horizontal="left" vertical="center" wrapText="1"/>
    </xf>
    <xf numFmtId="0" fontId="25" fillId="2" borderId="136" xfId="0" applyFont="1" applyFill="1" applyBorder="1" applyAlignment="1" applyProtection="1">
      <alignment horizontal="center" vertical="center"/>
    </xf>
    <xf numFmtId="0" fontId="25" fillId="2" borderId="137" xfId="0" applyFont="1" applyFill="1" applyBorder="1" applyAlignment="1" applyProtection="1">
      <alignment horizontal="center" vertical="center"/>
    </xf>
    <xf numFmtId="0" fontId="25" fillId="2" borderId="137" xfId="0" applyFont="1" applyFill="1" applyBorder="1" applyAlignment="1" applyProtection="1">
      <alignment horizontal="left" vertical="center" wrapText="1"/>
    </xf>
    <xf numFmtId="0" fontId="25" fillId="2" borderId="138" xfId="0" applyFont="1" applyFill="1" applyBorder="1" applyAlignment="1" applyProtection="1">
      <alignment horizontal="left" vertical="center" wrapText="1"/>
    </xf>
    <xf numFmtId="0" fontId="25" fillId="2" borderId="135" xfId="0" applyFont="1" applyFill="1" applyBorder="1" applyAlignment="1" applyProtection="1">
      <alignment horizontal="center" vertical="center"/>
    </xf>
    <xf numFmtId="0" fontId="11" fillId="5" borderId="136" xfId="0" applyFont="1" applyFill="1" applyBorder="1" applyAlignment="1" applyProtection="1">
      <alignment horizontal="center" vertical="center" wrapText="1"/>
      <protection locked="0"/>
    </xf>
    <xf numFmtId="0" fontId="11" fillId="5" borderId="137" xfId="0" applyFont="1" applyFill="1" applyBorder="1" applyAlignment="1" applyProtection="1">
      <alignment horizontal="center" vertical="center" wrapText="1"/>
      <protection locked="0"/>
    </xf>
    <xf numFmtId="0" fontId="11" fillId="5" borderId="138" xfId="0" applyFont="1" applyFill="1" applyBorder="1" applyAlignment="1" applyProtection="1">
      <alignment horizontal="center" vertical="center" wrapText="1"/>
      <protection locked="0"/>
    </xf>
    <xf numFmtId="0" fontId="11" fillId="2" borderId="95" xfId="0" applyFont="1" applyFill="1" applyBorder="1" applyAlignment="1" applyProtection="1">
      <alignment horizontal="left" vertical="center" wrapText="1"/>
    </xf>
    <xf numFmtId="0" fontId="11" fillId="5" borderId="93" xfId="0" applyFont="1" applyFill="1" applyBorder="1" applyAlignment="1" applyProtection="1">
      <alignment horizontal="center" vertical="center"/>
      <protection locked="0"/>
    </xf>
    <xf numFmtId="0" fontId="11" fillId="5" borderId="94" xfId="0" applyFont="1" applyFill="1" applyBorder="1" applyAlignment="1" applyProtection="1">
      <alignment horizontal="center" vertical="center"/>
      <protection locked="0"/>
    </xf>
    <xf numFmtId="0" fontId="11" fillId="5" borderId="95" xfId="0" applyFont="1" applyFill="1" applyBorder="1" applyAlignment="1" applyProtection="1">
      <alignment horizontal="center" vertical="center"/>
      <protection locked="0"/>
    </xf>
    <xf numFmtId="0" fontId="11" fillId="2" borderId="92" xfId="0" applyFont="1" applyFill="1" applyBorder="1" applyAlignment="1" applyProtection="1">
      <alignment horizontal="left" vertical="center" wrapText="1"/>
    </xf>
    <xf numFmtId="0" fontId="11" fillId="2" borderId="19" xfId="0" applyNumberFormat="1" applyFont="1" applyFill="1" applyBorder="1" applyAlignment="1" applyProtection="1">
      <alignment horizontal="center" vertical="center" wrapText="1" shrinkToFit="1"/>
    </xf>
    <xf numFmtId="0" fontId="11" fillId="2" borderId="31" xfId="0" applyNumberFormat="1" applyFont="1" applyFill="1" applyBorder="1" applyAlignment="1" applyProtection="1">
      <alignment horizontal="center" vertical="center" wrapText="1" shrinkToFit="1"/>
    </xf>
    <xf numFmtId="0" fontId="11" fillId="2" borderId="16" xfId="0" applyNumberFormat="1" applyFont="1" applyFill="1" applyBorder="1" applyAlignment="1" applyProtection="1">
      <alignment horizontal="center" vertical="center" wrapText="1" shrinkToFit="1"/>
    </xf>
    <xf numFmtId="0" fontId="11" fillId="2" borderId="20" xfId="0" applyNumberFormat="1" applyFont="1" applyFill="1" applyBorder="1" applyAlignment="1" applyProtection="1">
      <alignment horizontal="center" vertical="center" wrapText="1" shrinkToFit="1"/>
    </xf>
    <xf numFmtId="0" fontId="11" fillId="2" borderId="10" xfId="0" applyNumberFormat="1" applyFont="1" applyFill="1" applyBorder="1" applyAlignment="1" applyProtection="1">
      <alignment horizontal="center" vertical="center" wrapText="1" shrinkToFit="1"/>
    </xf>
    <xf numFmtId="0" fontId="11" fillId="2" borderId="13" xfId="0" applyNumberFormat="1" applyFont="1" applyFill="1" applyBorder="1" applyAlignment="1" applyProtection="1">
      <alignment horizontal="center" vertical="center" wrapText="1" shrinkToFit="1"/>
    </xf>
    <xf numFmtId="0" fontId="32" fillId="2" borderId="110" xfId="0" applyFont="1" applyFill="1" applyBorder="1" applyAlignment="1" applyProtection="1">
      <alignment horizontal="center" vertical="center"/>
    </xf>
    <xf numFmtId="0" fontId="32" fillId="2" borderId="180" xfId="0" applyFont="1" applyFill="1" applyBorder="1" applyAlignment="1" applyProtection="1">
      <alignment horizontal="center" vertical="center"/>
    </xf>
    <xf numFmtId="49" fontId="28" fillId="4" borderId="110" xfId="0" applyNumberFormat="1" applyFont="1" applyFill="1" applyBorder="1" applyAlignment="1" applyProtection="1">
      <alignment horizontal="center" vertical="center" shrinkToFit="1"/>
      <protection locked="0"/>
    </xf>
    <xf numFmtId="49" fontId="28" fillId="4" borderId="180" xfId="0" applyNumberFormat="1" applyFont="1" applyFill="1" applyBorder="1" applyAlignment="1" applyProtection="1">
      <alignment horizontal="center" vertical="center" shrinkToFit="1"/>
      <protection locked="0"/>
    </xf>
    <xf numFmtId="0" fontId="11" fillId="5" borderId="90" xfId="0" applyFont="1" applyFill="1" applyBorder="1" applyAlignment="1" applyProtection="1">
      <alignment horizontal="center" vertical="center"/>
      <protection locked="0"/>
    </xf>
    <xf numFmtId="0" fontId="11" fillId="5" borderId="91" xfId="0" applyFont="1" applyFill="1" applyBorder="1" applyAlignment="1" applyProtection="1">
      <alignment horizontal="center" vertical="center"/>
      <protection locked="0"/>
    </xf>
    <xf numFmtId="0" fontId="11" fillId="5" borderId="92" xfId="0" applyFont="1" applyFill="1" applyBorder="1" applyAlignment="1" applyProtection="1">
      <alignment horizontal="center" vertical="center"/>
      <protection locked="0"/>
    </xf>
    <xf numFmtId="0" fontId="11" fillId="2" borderId="16" xfId="0" applyFont="1" applyFill="1" applyBorder="1" applyAlignment="1" applyProtection="1">
      <alignment horizontal="left" vertical="center" wrapText="1"/>
    </xf>
    <xf numFmtId="0" fontId="11" fillId="2" borderId="125" xfId="0" applyFont="1" applyFill="1" applyBorder="1" applyAlignment="1" applyProtection="1">
      <alignment horizontal="left" vertical="center" wrapText="1"/>
    </xf>
    <xf numFmtId="0" fontId="11" fillId="2" borderId="126" xfId="0" applyFont="1" applyFill="1" applyBorder="1" applyAlignment="1" applyProtection="1">
      <alignment horizontal="left" vertical="center" wrapText="1"/>
    </xf>
    <xf numFmtId="0" fontId="11" fillId="5" borderId="21" xfId="0" applyFont="1" applyFill="1" applyBorder="1" applyAlignment="1" applyProtection="1">
      <alignment horizontal="center" vertical="center"/>
      <protection locked="0"/>
    </xf>
    <xf numFmtId="0" fontId="11" fillId="5" borderId="0" xfId="0" applyFont="1" applyFill="1" applyBorder="1" applyAlignment="1" applyProtection="1">
      <alignment horizontal="center" vertical="center"/>
      <protection locked="0"/>
    </xf>
    <xf numFmtId="0" fontId="11" fillId="5" borderId="15" xfId="0" applyFont="1" applyFill="1" applyBorder="1" applyAlignment="1" applyProtection="1">
      <alignment horizontal="center" vertical="center"/>
      <protection locked="0"/>
    </xf>
    <xf numFmtId="0" fontId="11" fillId="2" borderId="122" xfId="0" applyFont="1" applyFill="1" applyBorder="1" applyAlignment="1" applyProtection="1">
      <alignment horizontal="left" vertical="center" wrapText="1"/>
    </xf>
    <xf numFmtId="0" fontId="11" fillId="2" borderId="89" xfId="0" applyFont="1" applyFill="1" applyBorder="1" applyAlignment="1" applyProtection="1">
      <alignment horizontal="left" vertical="center" wrapText="1"/>
    </xf>
    <xf numFmtId="0" fontId="11" fillId="2" borderId="87" xfId="0" applyFont="1" applyFill="1" applyBorder="1" applyAlignment="1" applyProtection="1">
      <alignment horizontal="center" vertical="center"/>
    </xf>
    <xf numFmtId="0" fontId="11" fillId="2" borderId="88" xfId="0" applyFont="1" applyFill="1" applyBorder="1" applyAlignment="1" applyProtection="1">
      <alignment horizontal="center" vertical="center"/>
    </xf>
    <xf numFmtId="0" fontId="11" fillId="2" borderId="89" xfId="0" applyFont="1" applyFill="1" applyBorder="1" applyAlignment="1" applyProtection="1">
      <alignment horizontal="center" vertical="center"/>
    </xf>
    <xf numFmtId="0" fontId="25" fillId="2" borderId="87" xfId="0" applyFont="1" applyFill="1" applyBorder="1" applyAlignment="1" applyProtection="1">
      <alignment horizontal="center" vertical="center"/>
    </xf>
    <xf numFmtId="0" fontId="25" fillId="2" borderId="88" xfId="0" applyFont="1" applyFill="1" applyBorder="1" applyAlignment="1" applyProtection="1">
      <alignment horizontal="center" vertical="center"/>
    </xf>
    <xf numFmtId="0" fontId="25" fillId="2" borderId="88" xfId="0" applyFont="1" applyFill="1" applyBorder="1" applyAlignment="1" applyProtection="1">
      <alignment horizontal="left" vertical="center" wrapText="1"/>
    </xf>
    <xf numFmtId="0" fontId="25" fillId="2" borderId="90" xfId="0" applyFont="1" applyFill="1" applyBorder="1" applyAlignment="1" applyProtection="1">
      <alignment horizontal="center" vertical="center"/>
    </xf>
    <xf numFmtId="0" fontId="25" fillId="2" borderId="91" xfId="0" applyFont="1" applyFill="1" applyBorder="1" applyAlignment="1" applyProtection="1">
      <alignment horizontal="center" vertical="center"/>
    </xf>
    <xf numFmtId="0" fontId="25" fillId="2" borderId="91" xfId="0" applyFont="1" applyFill="1" applyBorder="1" applyAlignment="1" applyProtection="1">
      <alignment horizontal="left" vertical="center" wrapText="1"/>
    </xf>
    <xf numFmtId="0" fontId="11" fillId="2" borderId="55" xfId="0" applyFont="1" applyFill="1" applyBorder="1" applyAlignment="1" applyProtection="1">
      <alignment horizontal="left" vertical="center" wrapText="1"/>
    </xf>
    <xf numFmtId="0" fontId="11" fillId="2" borderId="56" xfId="0" applyFont="1" applyFill="1" applyBorder="1" applyAlignment="1" applyProtection="1">
      <alignment horizontal="left" vertical="center" wrapText="1"/>
    </xf>
    <xf numFmtId="0" fontId="11" fillId="2" borderId="8" xfId="0" applyFont="1" applyFill="1" applyBorder="1" applyAlignment="1" applyProtection="1">
      <alignment horizontal="left" vertical="center" wrapText="1"/>
    </xf>
    <xf numFmtId="0" fontId="11" fillId="2" borderId="93" xfId="0" applyFont="1" applyFill="1" applyBorder="1" applyAlignment="1" applyProtection="1">
      <alignment horizontal="left" vertical="center" wrapText="1"/>
    </xf>
    <xf numFmtId="0" fontId="11" fillId="2" borderId="21"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0" xfId="0" applyFont="1" applyFill="1" applyBorder="1" applyAlignment="1" applyProtection="1">
      <alignment horizontal="left" vertical="center" wrapText="1"/>
    </xf>
    <xf numFmtId="0" fontId="11" fillId="2" borderId="19" xfId="0" applyFont="1" applyFill="1" applyBorder="1" applyAlignment="1" applyProtection="1">
      <alignment horizontal="center" vertical="center" textRotation="255"/>
    </xf>
    <xf numFmtId="0" fontId="11" fillId="2" borderId="16" xfId="0" applyFont="1" applyFill="1" applyBorder="1" applyAlignment="1" applyProtection="1">
      <alignment horizontal="center" vertical="center" textRotation="255"/>
    </xf>
    <xf numFmtId="0" fontId="11" fillId="2" borderId="21" xfId="0" applyFont="1" applyFill="1" applyBorder="1" applyAlignment="1" applyProtection="1">
      <alignment horizontal="center" vertical="center" textRotation="255"/>
    </xf>
    <xf numFmtId="0" fontId="11" fillId="2" borderId="15" xfId="0" applyFont="1" applyFill="1" applyBorder="1" applyAlignment="1" applyProtection="1">
      <alignment horizontal="center" vertical="center" textRotation="255"/>
    </xf>
    <xf numFmtId="0" fontId="11" fillId="2" borderId="20" xfId="0" applyFont="1" applyFill="1" applyBorder="1" applyAlignment="1" applyProtection="1">
      <alignment horizontal="center" vertical="center" textRotation="255"/>
    </xf>
    <xf numFmtId="0" fontId="11" fillId="2" borderId="13" xfId="0" applyFont="1" applyFill="1" applyBorder="1" applyAlignment="1" applyProtection="1">
      <alignment horizontal="center" vertical="center" textRotation="255"/>
    </xf>
    <xf numFmtId="0" fontId="11" fillId="2" borderId="134" xfId="0" applyFont="1" applyFill="1" applyBorder="1" applyAlignment="1" applyProtection="1">
      <alignment horizontal="center" vertical="center" wrapText="1"/>
    </xf>
    <xf numFmtId="0" fontId="11" fillId="2" borderId="135" xfId="0" applyFont="1" applyFill="1" applyBorder="1" applyAlignment="1" applyProtection="1">
      <alignment horizontal="center" vertical="center" wrapText="1"/>
    </xf>
    <xf numFmtId="0" fontId="11" fillId="2" borderId="97" xfId="0" applyFont="1" applyFill="1" applyBorder="1" applyAlignment="1" applyProtection="1">
      <alignment horizontal="center" vertical="center" wrapText="1"/>
    </xf>
    <xf numFmtId="0" fontId="11" fillId="2" borderId="98" xfId="0" applyFont="1" applyFill="1" applyBorder="1" applyAlignment="1" applyProtection="1">
      <alignment horizontal="center" vertical="center" wrapText="1"/>
    </xf>
    <xf numFmtId="0" fontId="26" fillId="2" borderId="0" xfId="0" applyFont="1" applyFill="1" applyBorder="1" applyAlignment="1" applyProtection="1">
      <alignment horizontal="left" vertical="center" wrapText="1"/>
    </xf>
    <xf numFmtId="0" fontId="11" fillId="2" borderId="15" xfId="0" applyFont="1" applyFill="1" applyBorder="1" applyAlignment="1" applyProtection="1">
      <alignment horizontal="left" vertical="center" wrapText="1"/>
    </xf>
    <xf numFmtId="0" fontId="11" fillId="2" borderId="14" xfId="0" applyFont="1" applyFill="1" applyBorder="1" applyAlignment="1" applyProtection="1">
      <alignment horizontal="left" vertical="center"/>
    </xf>
    <xf numFmtId="0" fontId="14" fillId="2" borderId="4" xfId="0" applyFont="1" applyFill="1" applyBorder="1" applyAlignment="1" applyProtection="1">
      <alignment horizontal="center" vertical="center" shrinkToFit="1"/>
    </xf>
    <xf numFmtId="0" fontId="25" fillId="2" borderId="93" xfId="0" applyFont="1" applyFill="1" applyBorder="1" applyAlignment="1" applyProtection="1">
      <alignment horizontal="center" vertical="center"/>
    </xf>
    <xf numFmtId="0" fontId="25" fillId="2" borderId="94" xfId="0" applyFont="1" applyFill="1" applyBorder="1" applyAlignment="1" applyProtection="1">
      <alignment horizontal="center" vertical="center"/>
    </xf>
    <xf numFmtId="0" fontId="25" fillId="2" borderId="94" xfId="0" applyFont="1" applyFill="1" applyBorder="1" applyAlignment="1" applyProtection="1">
      <alignment horizontal="left" vertical="center"/>
    </xf>
    <xf numFmtId="0" fontId="11" fillId="5" borderId="96" xfId="0" applyFont="1" applyFill="1" applyBorder="1" applyAlignment="1" applyProtection="1">
      <alignment horizontal="center" vertical="center" wrapText="1"/>
      <protection locked="0"/>
    </xf>
    <xf numFmtId="0" fontId="11" fillId="5" borderId="97" xfId="0" applyFont="1" applyFill="1" applyBorder="1" applyAlignment="1" applyProtection="1">
      <alignment horizontal="center" vertical="center" wrapText="1"/>
      <protection locked="0"/>
    </xf>
    <xf numFmtId="0" fontId="11" fillId="5" borderId="98" xfId="0" applyFont="1" applyFill="1" applyBorder="1" applyAlignment="1" applyProtection="1">
      <alignment horizontal="center" vertical="center" wrapText="1"/>
      <protection locked="0"/>
    </xf>
    <xf numFmtId="0" fontId="25" fillId="2" borderId="96" xfId="0" applyFont="1" applyFill="1" applyBorder="1" applyAlignment="1" applyProtection="1">
      <alignment horizontal="center" vertical="center"/>
    </xf>
    <xf numFmtId="0" fontId="25" fillId="2" borderId="97" xfId="0" applyFont="1" applyFill="1" applyBorder="1" applyAlignment="1" applyProtection="1">
      <alignment horizontal="center" vertical="center"/>
    </xf>
    <xf numFmtId="0" fontId="25" fillId="2" borderId="97" xfId="0" applyFont="1" applyFill="1" applyBorder="1" applyAlignment="1" applyProtection="1">
      <alignment horizontal="left" vertical="center" wrapText="1"/>
    </xf>
    <xf numFmtId="0" fontId="14" fillId="2" borderId="180" xfId="0" applyFont="1" applyFill="1" applyBorder="1" applyAlignment="1" applyProtection="1">
      <alignment horizontal="center" vertical="center"/>
    </xf>
    <xf numFmtId="0" fontId="14" fillId="2" borderId="147" xfId="0" applyFont="1" applyFill="1" applyBorder="1" applyAlignment="1" applyProtection="1">
      <alignment horizontal="center" vertical="center"/>
    </xf>
    <xf numFmtId="0" fontId="14" fillId="2" borderId="8" xfId="0" applyFont="1" applyFill="1" applyBorder="1" applyAlignment="1" applyProtection="1">
      <alignment horizontal="center" vertical="center"/>
    </xf>
    <xf numFmtId="0" fontId="34" fillId="2" borderId="19" xfId="0" applyFont="1" applyFill="1" applyBorder="1" applyAlignment="1" applyProtection="1">
      <alignment horizontal="center" vertical="center" wrapText="1"/>
    </xf>
    <xf numFmtId="0" fontId="35" fillId="2" borderId="31" xfId="0" applyFont="1" applyFill="1" applyBorder="1" applyAlignment="1" applyProtection="1">
      <alignment horizontal="center" vertical="center"/>
    </xf>
    <xf numFmtId="0" fontId="34" fillId="2" borderId="21" xfId="0" applyFont="1" applyFill="1" applyBorder="1" applyAlignment="1" applyProtection="1">
      <alignment horizontal="center" vertical="center" wrapText="1"/>
    </xf>
    <xf numFmtId="0" fontId="35" fillId="2" borderId="0" xfId="0" applyFont="1" applyFill="1" applyBorder="1" applyAlignment="1" applyProtection="1">
      <alignment horizontal="center" vertical="center"/>
    </xf>
    <xf numFmtId="0" fontId="35" fillId="2" borderId="20" xfId="0" applyFont="1" applyFill="1" applyBorder="1" applyAlignment="1" applyProtection="1">
      <alignment horizontal="center" vertical="center"/>
    </xf>
    <xf numFmtId="0" fontId="35" fillId="2" borderId="10" xfId="0" applyFont="1" applyFill="1" applyBorder="1" applyAlignment="1" applyProtection="1">
      <alignment horizontal="center" vertical="center"/>
    </xf>
    <xf numFmtId="0" fontId="15" fillId="2" borderId="39" xfId="0" applyFont="1" applyFill="1" applyBorder="1" applyAlignment="1" applyProtection="1">
      <alignment horizontal="center" vertical="center"/>
    </xf>
    <xf numFmtId="0" fontId="15" fillId="2" borderId="40" xfId="0" applyFont="1" applyFill="1" applyBorder="1" applyAlignment="1" applyProtection="1">
      <alignment horizontal="center" vertical="center"/>
    </xf>
    <xf numFmtId="0" fontId="15" fillId="2" borderId="41" xfId="0" applyFont="1" applyFill="1" applyBorder="1" applyAlignment="1" applyProtection="1">
      <alignment horizontal="center" vertical="center"/>
    </xf>
    <xf numFmtId="0" fontId="11" fillId="0" borderId="4" xfId="0" applyFont="1" applyBorder="1" applyAlignment="1" applyProtection="1">
      <alignment horizontal="center" vertical="center"/>
    </xf>
    <xf numFmtId="0" fontId="11" fillId="5" borderId="58" xfId="0" applyFont="1" applyFill="1" applyBorder="1" applyAlignment="1" applyProtection="1">
      <alignment horizontal="center" vertical="center" wrapText="1"/>
      <protection locked="0"/>
    </xf>
    <xf numFmtId="0" fontId="11" fillId="5" borderId="59" xfId="0" applyFont="1" applyFill="1" applyBorder="1" applyAlignment="1" applyProtection="1">
      <alignment horizontal="center" vertical="center" wrapText="1"/>
      <protection locked="0"/>
    </xf>
    <xf numFmtId="0" fontId="11" fillId="5" borderId="60" xfId="0" applyFont="1" applyFill="1" applyBorder="1" applyAlignment="1" applyProtection="1">
      <alignment horizontal="center" vertical="center" wrapText="1"/>
      <protection locked="0"/>
    </xf>
    <xf numFmtId="0" fontId="25" fillId="2" borderId="95" xfId="0" applyFont="1" applyFill="1" applyBorder="1" applyAlignment="1" applyProtection="1">
      <alignment horizontal="center" vertical="center"/>
    </xf>
    <xf numFmtId="0" fontId="11" fillId="2" borderId="88" xfId="0" applyFont="1" applyFill="1" applyBorder="1" applyAlignment="1" applyProtection="1">
      <alignment horizontal="left" vertical="center" shrinkToFit="1"/>
    </xf>
    <xf numFmtId="0" fontId="11" fillId="2" borderId="89" xfId="0" applyFont="1" applyFill="1" applyBorder="1" applyAlignment="1" applyProtection="1">
      <alignment horizontal="left" vertical="center" shrinkToFit="1"/>
    </xf>
    <xf numFmtId="0" fontId="11" fillId="5" borderId="87" xfId="0" applyFont="1" applyFill="1" applyBorder="1" applyAlignment="1" applyProtection="1">
      <alignment horizontal="center" vertical="center"/>
      <protection locked="0"/>
    </xf>
    <xf numFmtId="0" fontId="11" fillId="5" borderId="88" xfId="0" applyFont="1" applyFill="1" applyBorder="1" applyAlignment="1" applyProtection="1">
      <alignment horizontal="center" vertical="center"/>
      <protection locked="0"/>
    </xf>
    <xf numFmtId="0" fontId="11" fillId="5" borderId="89"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shrinkToFit="1"/>
    </xf>
    <xf numFmtId="0" fontId="11" fillId="2" borderId="0" xfId="0" applyFont="1" applyFill="1" applyBorder="1" applyAlignment="1" applyProtection="1">
      <alignment horizontal="center" vertical="center" shrinkToFit="1"/>
    </xf>
    <xf numFmtId="0" fontId="11" fillId="2" borderId="15" xfId="0" applyFont="1" applyFill="1" applyBorder="1" applyAlignment="1" applyProtection="1">
      <alignment horizontal="center" vertical="center" shrinkToFit="1"/>
    </xf>
    <xf numFmtId="0" fontId="11" fillId="2" borderId="20" xfId="0" applyFont="1" applyFill="1" applyBorder="1" applyAlignment="1" applyProtection="1">
      <alignment horizontal="left" vertical="center"/>
    </xf>
    <xf numFmtId="0" fontId="11" fillId="2" borderId="10" xfId="0" applyFont="1" applyFill="1" applyBorder="1" applyAlignment="1" applyProtection="1">
      <alignment horizontal="left" vertical="center"/>
    </xf>
    <xf numFmtId="0" fontId="11" fillId="2" borderId="13" xfId="0" applyFont="1" applyFill="1" applyBorder="1" applyAlignment="1" applyProtection="1">
      <alignment horizontal="left" vertical="center"/>
    </xf>
    <xf numFmtId="0" fontId="11" fillId="2" borderId="96" xfId="0" applyFont="1" applyFill="1" applyBorder="1" applyAlignment="1" applyProtection="1">
      <alignment horizontal="center" vertical="center" wrapText="1"/>
    </xf>
    <xf numFmtId="0" fontId="11" fillId="4" borderId="97" xfId="0" applyFont="1" applyFill="1" applyBorder="1" applyAlignment="1" applyProtection="1">
      <alignment horizontal="center" vertical="center" shrinkToFit="1"/>
      <protection locked="0"/>
    </xf>
    <xf numFmtId="0" fontId="11" fillId="4" borderId="98" xfId="0" applyFont="1" applyFill="1" applyBorder="1" applyAlignment="1" applyProtection="1">
      <alignment horizontal="center" vertical="center" shrinkToFit="1"/>
      <protection locked="0"/>
    </xf>
    <xf numFmtId="0" fontId="11" fillId="2" borderId="144" xfId="0" applyFont="1" applyFill="1" applyBorder="1" applyAlignment="1" applyProtection="1">
      <alignment horizontal="center" vertical="center" wrapText="1"/>
    </xf>
    <xf numFmtId="0" fontId="11" fillId="2" borderId="125" xfId="0" applyFont="1" applyFill="1" applyBorder="1" applyAlignment="1" applyProtection="1">
      <alignment horizontal="center" vertical="center" wrapText="1"/>
    </xf>
    <xf numFmtId="0" fontId="32" fillId="2" borderId="0" xfId="0" applyFont="1" applyFill="1" applyBorder="1" applyAlignment="1" applyProtection="1">
      <alignment horizontal="left" vertical="center" shrinkToFit="1"/>
    </xf>
    <xf numFmtId="0" fontId="32" fillId="2" borderId="0" xfId="0" applyFont="1" applyFill="1" applyAlignment="1" applyProtection="1">
      <alignment horizontal="left" vertical="center" wrapText="1"/>
    </xf>
    <xf numFmtId="0" fontId="11" fillId="0" borderId="4" xfId="0" applyFont="1" applyBorder="1" applyAlignment="1">
      <alignment horizontal="center" vertical="center"/>
    </xf>
    <xf numFmtId="0" fontId="11" fillId="2" borderId="127" xfId="0" applyFont="1" applyFill="1" applyBorder="1" applyAlignment="1" applyProtection="1">
      <alignment horizontal="center" vertical="center"/>
    </xf>
    <xf numFmtId="0" fontId="11" fillId="2" borderId="127" xfId="0" applyFont="1" applyFill="1" applyBorder="1" applyAlignment="1" applyProtection="1">
      <alignment horizontal="left" vertical="center" wrapText="1"/>
    </xf>
    <xf numFmtId="0" fontId="11" fillId="2" borderId="153" xfId="0" applyFont="1" applyFill="1" applyBorder="1" applyAlignment="1" applyProtection="1">
      <alignment horizontal="center" vertical="center"/>
    </xf>
    <xf numFmtId="0" fontId="11" fillId="2" borderId="153" xfId="0" applyFont="1" applyFill="1" applyBorder="1" applyAlignment="1" applyProtection="1">
      <alignment horizontal="left" vertical="center"/>
    </xf>
    <xf numFmtId="0" fontId="11" fillId="2" borderId="19" xfId="0" applyFont="1" applyFill="1" applyBorder="1" applyAlignment="1" applyProtection="1">
      <alignment horizontal="left" vertical="center" wrapText="1"/>
    </xf>
    <xf numFmtId="0" fontId="11" fillId="2" borderId="13" xfId="0" applyFont="1" applyFill="1" applyBorder="1" applyAlignment="1" applyProtection="1">
      <alignment horizontal="left" vertical="center" wrapText="1"/>
    </xf>
    <xf numFmtId="0" fontId="11" fillId="2" borderId="141" xfId="0" applyFont="1" applyFill="1" applyBorder="1" applyAlignment="1" applyProtection="1">
      <alignment horizontal="center" vertical="center"/>
    </xf>
    <xf numFmtId="0" fontId="11" fillId="2" borderId="141" xfId="0" applyFont="1" applyFill="1" applyBorder="1" applyAlignment="1" applyProtection="1">
      <alignment horizontal="left" vertical="center" wrapText="1"/>
    </xf>
    <xf numFmtId="0" fontId="25" fillId="2" borderId="0" xfId="0" applyFont="1" applyFill="1" applyAlignment="1" applyProtection="1">
      <alignment horizontal="left" vertical="center" wrapText="1"/>
    </xf>
    <xf numFmtId="0" fontId="25" fillId="6" borderId="0" xfId="0" applyFont="1" applyFill="1" applyAlignment="1" applyProtection="1">
      <alignment horizontal="center" vertical="center" shrinkToFit="1"/>
    </xf>
    <xf numFmtId="0" fontId="25" fillId="2" borderId="110" xfId="0" applyFont="1" applyFill="1" applyBorder="1" applyAlignment="1" applyProtection="1">
      <alignment horizontal="center" vertical="center"/>
    </xf>
    <xf numFmtId="0" fontId="25" fillId="2" borderId="180" xfId="0" applyFont="1" applyFill="1" applyBorder="1" applyAlignment="1" applyProtection="1">
      <alignment horizontal="center" vertical="center"/>
    </xf>
    <xf numFmtId="0" fontId="11" fillId="3" borderId="214" xfId="3" applyFont="1" applyFill="1" applyBorder="1" applyAlignment="1" applyProtection="1">
      <alignment horizontal="center" vertical="center" shrinkToFit="1"/>
    </xf>
    <xf numFmtId="0" fontId="11" fillId="3" borderId="220" xfId="3" applyFont="1" applyFill="1" applyBorder="1" applyAlignment="1" applyProtection="1">
      <alignment horizontal="center" vertical="center" shrinkToFit="1"/>
    </xf>
    <xf numFmtId="0" fontId="11" fillId="3" borderId="213" xfId="3" applyFont="1" applyFill="1" applyBorder="1" applyAlignment="1" applyProtection="1">
      <alignment horizontal="center" vertical="center" shrinkToFit="1"/>
    </xf>
    <xf numFmtId="0" fontId="11" fillId="3" borderId="219" xfId="3" applyFont="1" applyFill="1" applyBorder="1" applyAlignment="1" applyProtection="1">
      <alignment horizontal="center" vertical="center" shrinkToFit="1"/>
    </xf>
    <xf numFmtId="0" fontId="33" fillId="3" borderId="214" xfId="3" applyFont="1" applyFill="1" applyBorder="1" applyAlignment="1" applyProtection="1">
      <alignment horizontal="center" vertical="center" wrapText="1" shrinkToFit="1"/>
    </xf>
    <xf numFmtId="0" fontId="33" fillId="3" borderId="220" xfId="3" applyFont="1" applyFill="1" applyBorder="1" applyAlignment="1" applyProtection="1">
      <alignment horizontal="center" vertical="center" shrinkToFit="1"/>
    </xf>
    <xf numFmtId="0" fontId="11" fillId="3" borderId="215" xfId="3" applyFont="1" applyFill="1" applyBorder="1" applyAlignment="1" applyProtection="1">
      <alignment horizontal="center" vertical="center" shrinkToFit="1"/>
    </xf>
    <xf numFmtId="0" fontId="11" fillId="3" borderId="221" xfId="3" applyFont="1" applyFill="1" applyBorder="1" applyAlignment="1" applyProtection="1">
      <alignment horizontal="center" vertical="center" shrinkToFit="1"/>
    </xf>
    <xf numFmtId="0" fontId="33" fillId="3" borderId="213" xfId="3" applyFont="1" applyFill="1" applyBorder="1" applyAlignment="1" applyProtection="1">
      <alignment horizontal="center" vertical="center" wrapText="1" shrinkToFit="1"/>
    </xf>
    <xf numFmtId="0" fontId="33" fillId="3" borderId="219" xfId="3" applyFont="1" applyFill="1" applyBorder="1" applyAlignment="1" applyProtection="1">
      <alignment horizontal="center" vertical="center" wrapText="1" shrinkToFit="1"/>
    </xf>
    <xf numFmtId="14" fontId="11" fillId="3" borderId="9" xfId="3" applyNumberFormat="1" applyFont="1" applyFill="1" applyBorder="1" applyAlignment="1" applyProtection="1">
      <alignment horizontal="center" vertical="center" shrinkToFit="1"/>
    </xf>
    <xf numFmtId="14" fontId="11" fillId="3" borderId="69" xfId="3" applyNumberFormat="1" applyFont="1" applyFill="1" applyBorder="1" applyAlignment="1" applyProtection="1">
      <alignment horizontal="center" vertical="center" shrinkToFit="1"/>
    </xf>
    <xf numFmtId="0" fontId="25" fillId="0" borderId="236" xfId="0" applyFont="1" applyBorder="1" applyAlignment="1" applyProtection="1">
      <alignment horizontal="center" vertical="center" wrapText="1" shrinkToFit="1"/>
    </xf>
    <xf numFmtId="0" fontId="25" fillId="0" borderId="0" xfId="0" applyFont="1" applyBorder="1" applyAlignment="1" applyProtection="1">
      <alignment horizontal="center" vertical="center" wrapText="1" shrinkToFit="1"/>
    </xf>
    <xf numFmtId="0" fontId="25" fillId="0" borderId="37" xfId="0" applyFont="1" applyBorder="1" applyAlignment="1" applyProtection="1">
      <alignment horizontal="center" vertical="center" wrapText="1" shrinkToFit="1"/>
    </xf>
    <xf numFmtId="0" fontId="11" fillId="3" borderId="11" xfId="3" applyFont="1" applyFill="1" applyBorder="1" applyAlignment="1" applyProtection="1">
      <alignment horizontal="center" vertical="center" shrinkToFit="1"/>
    </xf>
    <xf numFmtId="0" fontId="11" fillId="3" borderId="12" xfId="3" applyFont="1" applyFill="1" applyBorder="1" applyAlignment="1" applyProtection="1">
      <alignment horizontal="center" vertical="center" shrinkToFit="1"/>
    </xf>
    <xf numFmtId="0" fontId="11" fillId="3" borderId="28" xfId="3" applyFont="1" applyFill="1" applyBorder="1" applyAlignment="1" applyProtection="1">
      <alignment horizontal="center" vertical="center" shrinkToFit="1"/>
    </xf>
    <xf numFmtId="0" fontId="11" fillId="3" borderId="34" xfId="3" applyFont="1" applyFill="1" applyBorder="1" applyAlignment="1" applyProtection="1">
      <alignment horizontal="center" vertical="center" shrinkToFit="1"/>
    </xf>
    <xf numFmtId="0" fontId="11" fillId="3" borderId="21" xfId="3" applyFont="1" applyFill="1" applyBorder="1" applyAlignment="1" applyProtection="1">
      <alignment horizontal="center" vertical="center" shrinkToFit="1"/>
    </xf>
    <xf numFmtId="0" fontId="11" fillId="3" borderId="51" xfId="3" applyFont="1" applyFill="1" applyBorder="1" applyAlignment="1" applyProtection="1">
      <alignment horizontal="center" vertical="center" shrinkToFit="1"/>
    </xf>
    <xf numFmtId="0" fontId="25" fillId="3" borderId="65" xfId="0" applyFont="1" applyFill="1" applyBorder="1" applyAlignment="1" applyProtection="1">
      <alignment horizontal="center" vertical="center" shrinkToFit="1"/>
    </xf>
    <xf numFmtId="0" fontId="25" fillId="3" borderId="103" xfId="0" applyFont="1" applyFill="1" applyBorder="1" applyAlignment="1" applyProtection="1">
      <alignment horizontal="center" vertical="center" shrinkToFit="1"/>
    </xf>
    <xf numFmtId="0" fontId="25" fillId="3" borderId="105" xfId="0" applyFont="1" applyFill="1" applyBorder="1" applyAlignment="1" applyProtection="1">
      <alignment horizontal="center" vertical="center" shrinkToFit="1"/>
    </xf>
    <xf numFmtId="0" fontId="11" fillId="3" borderId="212" xfId="3" applyFont="1" applyFill="1" applyBorder="1" applyAlignment="1" applyProtection="1">
      <alignment horizontal="center" vertical="center" shrinkToFit="1"/>
    </xf>
    <xf numFmtId="0" fontId="11" fillId="3" borderId="218" xfId="3" applyFont="1" applyFill="1" applyBorder="1" applyAlignment="1" applyProtection="1">
      <alignment horizontal="center" vertical="center" shrinkToFit="1"/>
    </xf>
    <xf numFmtId="194" fontId="11" fillId="3" borderId="213" xfId="3" applyNumberFormat="1" applyFont="1" applyFill="1" applyBorder="1" applyAlignment="1" applyProtection="1">
      <alignment horizontal="center" vertical="center" shrinkToFit="1"/>
    </xf>
    <xf numFmtId="194" fontId="11" fillId="3" borderId="219" xfId="3" applyNumberFormat="1" applyFont="1" applyFill="1" applyBorder="1" applyAlignment="1" applyProtection="1">
      <alignment horizontal="center" vertical="center" shrinkToFit="1"/>
    </xf>
    <xf numFmtId="0" fontId="11" fillId="3" borderId="214" xfId="3" applyFont="1" applyFill="1" applyBorder="1" applyAlignment="1" applyProtection="1">
      <alignment horizontal="center" vertical="center" wrapText="1" shrinkToFit="1"/>
    </xf>
    <xf numFmtId="0" fontId="25" fillId="0" borderId="39" xfId="0" applyFont="1" applyBorder="1" applyAlignment="1" applyProtection="1">
      <alignment horizontal="center" vertical="center"/>
    </xf>
    <xf numFmtId="0" fontId="25" fillId="0" borderId="40" xfId="0" applyFont="1" applyBorder="1" applyAlignment="1" applyProtection="1">
      <alignment horizontal="center" vertical="center"/>
    </xf>
    <xf numFmtId="0" fontId="25" fillId="0" borderId="41" xfId="0" applyFont="1" applyBorder="1" applyAlignment="1" applyProtection="1">
      <alignment horizontal="center" vertical="center"/>
    </xf>
    <xf numFmtId="0" fontId="25" fillId="0" borderId="23" xfId="0" applyFont="1" applyBorder="1" applyAlignment="1" applyProtection="1">
      <alignment horizontal="center" vertical="center" shrinkToFit="1"/>
    </xf>
    <xf numFmtId="0" fontId="25" fillId="0" borderId="24" xfId="0" applyFont="1" applyBorder="1" applyAlignment="1" applyProtection="1">
      <alignment horizontal="center" vertical="center" shrinkToFit="1"/>
    </xf>
    <xf numFmtId="0" fontId="25" fillId="0" borderId="86" xfId="0" applyFont="1" applyBorder="1" applyAlignment="1" applyProtection="1">
      <alignment horizontal="center" vertical="center" shrinkToFit="1"/>
    </xf>
    <xf numFmtId="0" fontId="25" fillId="0" borderId="146" xfId="0" applyFont="1" applyBorder="1" applyAlignment="1" applyProtection="1">
      <alignment horizontal="center" vertical="center" shrinkToFit="1"/>
    </xf>
    <xf numFmtId="0" fontId="25" fillId="0" borderId="65" xfId="0" applyFont="1" applyBorder="1" applyAlignment="1" applyProtection="1">
      <alignment horizontal="center" vertical="center" shrinkToFit="1"/>
    </xf>
    <xf numFmtId="0" fontId="25" fillId="0" borderId="109" xfId="0" applyFont="1" applyBorder="1" applyAlignment="1" applyProtection="1">
      <alignment horizontal="center" vertical="center"/>
    </xf>
    <xf numFmtId="0" fontId="25" fillId="0" borderId="24" xfId="0" applyFont="1" applyBorder="1" applyAlignment="1" applyProtection="1">
      <alignment horizontal="center" vertical="center"/>
    </xf>
    <xf numFmtId="0" fontId="25" fillId="0" borderId="86" xfId="0" applyFont="1" applyBorder="1" applyAlignment="1" applyProtection="1">
      <alignment horizontal="center" vertical="center"/>
    </xf>
    <xf numFmtId="0" fontId="11" fillId="2" borderId="31" xfId="3" applyFont="1" applyFill="1" applyBorder="1" applyAlignment="1" applyProtection="1">
      <alignment horizontal="left" vertical="center" shrinkToFit="1"/>
    </xf>
    <xf numFmtId="0" fontId="11" fillId="2" borderId="0" xfId="3" applyFont="1" applyFill="1" applyBorder="1" applyAlignment="1" applyProtection="1">
      <alignment horizontal="left" vertical="center"/>
    </xf>
    <xf numFmtId="0" fontId="11" fillId="3" borderId="146" xfId="3" applyFont="1" applyFill="1" applyBorder="1" applyAlignment="1" applyProtection="1">
      <alignment horizontal="center" vertical="center" shrinkToFit="1"/>
    </xf>
    <xf numFmtId="0" fontId="11" fillId="3" borderId="48" xfId="3" applyFont="1" applyFill="1" applyBorder="1" applyAlignment="1" applyProtection="1">
      <alignment horizontal="center" vertical="center" shrinkToFit="1"/>
    </xf>
    <xf numFmtId="0" fontId="11" fillId="3" borderId="104" xfId="3" applyFont="1" applyFill="1" applyBorder="1" applyAlignment="1" applyProtection="1">
      <alignment horizontal="center" vertical="center" shrinkToFit="1"/>
    </xf>
    <xf numFmtId="0" fontId="11" fillId="3" borderId="133" xfId="3" applyFont="1" applyFill="1" applyBorder="1" applyAlignment="1" applyProtection="1">
      <alignment horizontal="center" vertical="center"/>
    </xf>
    <xf numFmtId="0" fontId="11" fillId="3" borderId="131" xfId="3" applyFont="1" applyFill="1" applyBorder="1" applyAlignment="1" applyProtection="1">
      <alignment horizontal="center" vertical="center"/>
    </xf>
    <xf numFmtId="0" fontId="11" fillId="3" borderId="132" xfId="3" applyFont="1" applyFill="1" applyBorder="1" applyAlignment="1" applyProtection="1">
      <alignment horizontal="center" vertical="center"/>
    </xf>
    <xf numFmtId="0" fontId="11" fillId="3" borderId="34" xfId="3" applyFont="1" applyFill="1" applyBorder="1" applyAlignment="1" applyProtection="1">
      <alignment horizontal="center" vertical="center" wrapText="1"/>
    </xf>
    <xf numFmtId="0" fontId="11" fillId="3" borderId="29" xfId="3" applyFont="1" applyFill="1" applyBorder="1" applyAlignment="1" applyProtection="1">
      <alignment horizontal="center" vertical="center" wrapText="1"/>
    </xf>
    <xf numFmtId="0" fontId="11" fillId="3" borderId="120" xfId="3" applyFont="1" applyFill="1" applyBorder="1" applyAlignment="1" applyProtection="1">
      <alignment horizontal="center" vertical="center"/>
    </xf>
    <xf numFmtId="0" fontId="11" fillId="3" borderId="134" xfId="3" applyFont="1" applyFill="1" applyBorder="1" applyAlignment="1" applyProtection="1">
      <alignment horizontal="center" vertical="center"/>
    </xf>
    <xf numFmtId="0" fontId="11" fillId="3" borderId="194" xfId="3" applyFont="1" applyFill="1" applyBorder="1" applyAlignment="1" applyProtection="1">
      <alignment horizontal="center" vertical="center"/>
    </xf>
    <xf numFmtId="0" fontId="11" fillId="3" borderId="95" xfId="3" applyFont="1" applyFill="1" applyBorder="1" applyAlignment="1" applyProtection="1">
      <alignment horizontal="center" vertical="center"/>
    </xf>
    <xf numFmtId="0" fontId="11" fillId="3" borderId="108" xfId="3" applyFont="1" applyFill="1" applyBorder="1" applyAlignment="1" applyProtection="1">
      <alignment horizontal="center" vertical="center"/>
    </xf>
    <xf numFmtId="0" fontId="11" fillId="3" borderId="345" xfId="3" applyFont="1" applyFill="1" applyBorder="1" applyAlignment="1" applyProtection="1">
      <alignment horizontal="center" vertical="center" shrinkToFit="1"/>
    </xf>
    <xf numFmtId="0" fontId="11" fillId="3" borderId="194" xfId="3" applyFont="1" applyFill="1" applyBorder="1" applyAlignment="1" applyProtection="1">
      <alignment horizontal="center" vertical="center" shrinkToFit="1"/>
    </xf>
    <xf numFmtId="0" fontId="51" fillId="3" borderId="33" xfId="3" applyFont="1" applyFill="1" applyBorder="1" applyAlignment="1" applyProtection="1">
      <alignment horizontal="center" vertical="center" wrapText="1"/>
    </xf>
    <xf numFmtId="0" fontId="51" fillId="3" borderId="38" xfId="3" applyFont="1" applyFill="1" applyBorder="1" applyAlignment="1" applyProtection="1">
      <alignment horizontal="center" vertical="center"/>
    </xf>
    <xf numFmtId="0" fontId="11" fillId="6" borderId="0" xfId="0" applyFont="1" applyFill="1" applyBorder="1" applyAlignment="1" applyProtection="1">
      <alignment horizontal="center" vertical="center" shrinkToFit="1"/>
    </xf>
    <xf numFmtId="0" fontId="38" fillId="2" borderId="0" xfId="3" applyFont="1" applyFill="1" applyAlignment="1" applyProtection="1">
      <alignment horizontal="right" vertical="center"/>
    </xf>
    <xf numFmtId="0" fontId="38" fillId="2" borderId="0" xfId="3" applyFont="1" applyFill="1" applyAlignment="1" applyProtection="1">
      <alignment horizontal="center" vertical="center"/>
    </xf>
    <xf numFmtId="0" fontId="11" fillId="3" borderId="39" xfId="3" applyFont="1" applyFill="1" applyBorder="1" applyAlignment="1" applyProtection="1">
      <alignment horizontal="center" vertical="center"/>
    </xf>
    <xf numFmtId="0" fontId="11" fillId="3" borderId="40" xfId="3" applyFont="1" applyFill="1" applyBorder="1" applyAlignment="1" applyProtection="1">
      <alignment horizontal="center" vertical="center"/>
    </xf>
    <xf numFmtId="0" fontId="11" fillId="3" borderId="41" xfId="3" applyFont="1" applyFill="1" applyBorder="1" applyAlignment="1" applyProtection="1">
      <alignment horizontal="center" vertical="center"/>
    </xf>
    <xf numFmtId="0" fontId="11" fillId="2" borderId="28" xfId="3" applyFont="1" applyFill="1" applyBorder="1" applyAlignment="1" applyProtection="1">
      <alignment horizontal="left" vertical="center" wrapText="1"/>
    </xf>
    <xf numFmtId="0" fontId="11" fillId="2" borderId="34" xfId="3" applyFont="1" applyFill="1" applyBorder="1" applyAlignment="1" applyProtection="1">
      <alignment horizontal="left" vertical="center" wrapText="1"/>
    </xf>
    <xf numFmtId="0" fontId="11" fillId="2" borderId="12" xfId="3" applyFont="1" applyFill="1" applyBorder="1" applyAlignment="1" applyProtection="1">
      <alignment horizontal="left" vertical="center" wrapText="1"/>
    </xf>
    <xf numFmtId="0" fontId="11" fillId="2" borderId="21" xfId="3" applyFont="1" applyFill="1" applyBorder="1" applyAlignment="1" applyProtection="1">
      <alignment horizontal="left" vertical="center" wrapText="1"/>
    </xf>
    <xf numFmtId="0" fontId="11" fillId="2" borderId="0" xfId="3" applyFont="1" applyFill="1" applyBorder="1" applyAlignment="1" applyProtection="1">
      <alignment horizontal="left" vertical="center" wrapText="1"/>
    </xf>
    <xf numFmtId="0" fontId="11" fillId="2" borderId="15" xfId="3" applyFont="1" applyFill="1" applyBorder="1" applyAlignment="1" applyProtection="1">
      <alignment horizontal="left" vertical="center" wrapText="1"/>
    </xf>
    <xf numFmtId="0" fontId="11" fillId="2" borderId="51" xfId="3" applyFont="1" applyFill="1" applyBorder="1" applyAlignment="1" applyProtection="1">
      <alignment horizontal="left" vertical="center" wrapText="1"/>
    </xf>
    <xf numFmtId="0" fontId="11" fillId="2" borderId="37" xfId="3" applyFont="1" applyFill="1" applyBorder="1" applyAlignment="1" applyProtection="1">
      <alignment horizontal="left" vertical="center" wrapText="1"/>
    </xf>
    <xf numFmtId="0" fontId="11" fillId="2" borderId="108" xfId="3" applyFont="1" applyFill="1" applyBorder="1" applyAlignment="1" applyProtection="1">
      <alignment horizontal="left" vertical="center" wrapText="1"/>
    </xf>
    <xf numFmtId="193" fontId="11" fillId="4" borderId="191" xfId="3" applyNumberFormat="1" applyFont="1" applyFill="1" applyBorder="1" applyAlignment="1" applyProtection="1">
      <alignment horizontal="center" vertical="center" shrinkToFit="1"/>
      <protection locked="0"/>
    </xf>
    <xf numFmtId="193" fontId="11" fillId="4" borderId="192" xfId="3" applyNumberFormat="1" applyFont="1" applyFill="1" applyBorder="1" applyAlignment="1" applyProtection="1">
      <alignment horizontal="center" vertical="center" shrinkToFit="1"/>
      <protection locked="0"/>
    </xf>
    <xf numFmtId="0" fontId="25" fillId="2" borderId="193" xfId="0" applyFont="1" applyFill="1" applyBorder="1" applyAlignment="1" applyProtection="1">
      <alignment horizontal="center" vertical="center"/>
    </xf>
    <xf numFmtId="0" fontId="25" fillId="2" borderId="69" xfId="0" applyFont="1" applyFill="1" applyBorder="1" applyAlignment="1" applyProtection="1">
      <alignment horizontal="center" vertical="center"/>
    </xf>
    <xf numFmtId="0" fontId="11" fillId="4" borderId="58" xfId="3" applyFont="1" applyFill="1" applyBorder="1" applyAlignment="1" applyProtection="1">
      <alignment horizontal="left" vertical="top" wrapText="1"/>
      <protection locked="0"/>
    </xf>
    <xf numFmtId="0" fontId="11" fillId="4" borderId="59" xfId="3" applyFont="1" applyFill="1" applyBorder="1" applyAlignment="1" applyProtection="1">
      <alignment horizontal="left" vertical="top" wrapText="1"/>
      <protection locked="0"/>
    </xf>
    <xf numFmtId="0" fontId="11" fillId="4" borderId="60" xfId="3" applyFont="1" applyFill="1" applyBorder="1" applyAlignment="1" applyProtection="1">
      <alignment horizontal="left" vertical="top" wrapText="1"/>
      <protection locked="0"/>
    </xf>
    <xf numFmtId="0" fontId="11" fillId="4" borderId="51" xfId="3" applyFont="1" applyFill="1" applyBorder="1" applyAlignment="1" applyProtection="1">
      <alignment horizontal="left" vertical="top" wrapText="1"/>
      <protection locked="0"/>
    </xf>
    <xf numFmtId="0" fontId="11" fillId="4" borderId="37" xfId="3" applyFont="1" applyFill="1" applyBorder="1" applyAlignment="1" applyProtection="1">
      <alignment horizontal="left" vertical="top" wrapText="1"/>
      <protection locked="0"/>
    </xf>
    <xf numFmtId="0" fontId="11" fillId="4" borderId="108" xfId="3" applyFont="1" applyFill="1" applyBorder="1" applyAlignment="1" applyProtection="1">
      <alignment horizontal="left" vertical="top" wrapText="1"/>
      <protection locked="0"/>
    </xf>
    <xf numFmtId="0" fontId="28" fillId="2" borderId="170" xfId="3" applyFont="1" applyFill="1" applyBorder="1" applyAlignment="1" applyProtection="1">
      <alignment horizontal="center" vertical="center" shrinkToFit="1"/>
    </xf>
    <xf numFmtId="0" fontId="28" fillId="2" borderId="160" xfId="3" applyFont="1" applyFill="1" applyBorder="1" applyAlignment="1" applyProtection="1">
      <alignment horizontal="center" vertical="center" shrinkToFit="1"/>
    </xf>
    <xf numFmtId="0" fontId="4" fillId="2" borderId="23" xfId="3" applyFont="1" applyFill="1" applyBorder="1" applyAlignment="1" applyProtection="1">
      <alignment horizontal="center" shrinkToFit="1"/>
    </xf>
    <xf numFmtId="0" fontId="4" fillId="2" borderId="24" xfId="3" applyFont="1" applyFill="1" applyBorder="1" applyAlignment="1" applyProtection="1">
      <alignment horizontal="center" shrinkToFit="1"/>
    </xf>
    <xf numFmtId="0" fontId="28" fillId="2" borderId="168" xfId="3" applyFont="1" applyFill="1" applyBorder="1" applyAlignment="1" applyProtection="1">
      <alignment horizontal="center" vertical="center" shrinkToFit="1"/>
    </xf>
    <xf numFmtId="0" fontId="28" fillId="2" borderId="158" xfId="3" applyFont="1" applyFill="1" applyBorder="1" applyAlignment="1" applyProtection="1">
      <alignment horizontal="center" vertical="center" shrinkToFit="1"/>
    </xf>
    <xf numFmtId="189" fontId="4" fillId="2" borderId="65" xfId="3" applyNumberFormat="1" applyFont="1" applyFill="1" applyBorder="1" applyAlignment="1" applyProtection="1">
      <alignment horizontal="center" vertical="center" shrinkToFit="1"/>
    </xf>
    <xf numFmtId="189" fontId="4" fillId="2" borderId="103" xfId="3" applyNumberFormat="1" applyFont="1" applyFill="1" applyBorder="1" applyAlignment="1" applyProtection="1">
      <alignment horizontal="center" vertical="center" shrinkToFit="1"/>
    </xf>
    <xf numFmtId="0" fontId="4" fillId="2" borderId="17" xfId="3" applyFont="1" applyFill="1" applyBorder="1" applyAlignment="1" applyProtection="1">
      <alignment horizontal="center" vertical="center" shrinkToFit="1"/>
    </xf>
    <xf numFmtId="0" fontId="4" fillId="2" borderId="14" xfId="3" applyFont="1" applyFill="1" applyBorder="1" applyAlignment="1" applyProtection="1">
      <alignment horizontal="center" vertical="center" shrinkToFit="1"/>
    </xf>
    <xf numFmtId="0" fontId="4" fillId="2" borderId="27" xfId="3" applyFont="1" applyFill="1" applyBorder="1" applyAlignment="1" applyProtection="1">
      <alignment horizontal="center" vertical="center" shrinkToFit="1"/>
    </xf>
    <xf numFmtId="0" fontId="4" fillId="2" borderId="50" xfId="3" applyFont="1" applyFill="1" applyBorder="1" applyAlignment="1" applyProtection="1">
      <alignment horizontal="center" vertical="center" shrinkToFit="1"/>
    </xf>
    <xf numFmtId="0" fontId="28" fillId="2" borderId="165" xfId="3" applyFont="1" applyFill="1" applyBorder="1" applyAlignment="1" applyProtection="1">
      <alignment horizontal="center" vertical="center" shrinkToFit="1"/>
    </xf>
    <xf numFmtId="0" fontId="28" fillId="2" borderId="156" xfId="3" applyFont="1" applyFill="1" applyBorder="1" applyAlignment="1" applyProtection="1">
      <alignment horizontal="center" vertical="center" shrinkToFit="1"/>
    </xf>
    <xf numFmtId="0" fontId="4" fillId="2" borderId="6" xfId="3" applyFont="1" applyFill="1" applyBorder="1" applyAlignment="1" applyProtection="1">
      <alignment horizontal="center" vertical="center" shrinkToFit="1"/>
    </xf>
    <xf numFmtId="0" fontId="4" fillId="2" borderId="69" xfId="3" applyFont="1" applyFill="1" applyBorder="1" applyAlignment="1" applyProtection="1">
      <alignment horizontal="center" vertical="center" shrinkToFit="1"/>
    </xf>
    <xf numFmtId="0" fontId="37" fillId="2" borderId="40" xfId="3" applyFont="1" applyFill="1" applyBorder="1" applyAlignment="1" applyProtection="1">
      <alignment horizontal="center" vertical="center" shrinkToFit="1"/>
    </xf>
    <xf numFmtId="0" fontId="37" fillId="2" borderId="41" xfId="3" applyFont="1" applyFill="1" applyBorder="1" applyAlignment="1" applyProtection="1">
      <alignment horizontal="center" vertical="center" shrinkToFit="1"/>
    </xf>
    <xf numFmtId="0" fontId="4" fillId="2" borderId="39" xfId="3" applyFont="1" applyFill="1" applyBorder="1" applyAlignment="1" applyProtection="1">
      <alignment horizontal="center" shrinkToFit="1"/>
    </xf>
    <xf numFmtId="0" fontId="4" fillId="2" borderId="40" xfId="3" applyFont="1" applyFill="1" applyBorder="1" applyAlignment="1" applyProtection="1">
      <alignment horizontal="center" shrinkToFit="1"/>
    </xf>
    <xf numFmtId="0" fontId="4" fillId="2" borderId="41" xfId="3" applyFont="1" applyFill="1" applyBorder="1" applyAlignment="1" applyProtection="1">
      <alignment horizontal="center" shrinkToFit="1"/>
    </xf>
    <xf numFmtId="0" fontId="4" fillId="4" borderId="128" xfId="3" applyFont="1" applyFill="1" applyBorder="1" applyAlignment="1" applyProtection="1">
      <alignment horizontal="center" vertical="center" shrinkToFit="1"/>
      <protection locked="0"/>
    </xf>
    <xf numFmtId="0" fontId="4" fillId="4" borderId="123" xfId="3" applyFont="1" applyFill="1" applyBorder="1" applyAlignment="1" applyProtection="1">
      <alignment horizontal="center" vertical="center" shrinkToFit="1"/>
      <protection locked="0"/>
    </xf>
    <xf numFmtId="0" fontId="4" fillId="2" borderId="146" xfId="3" applyFont="1" applyFill="1" applyBorder="1" applyAlignment="1" applyProtection="1">
      <alignment horizontal="center" vertical="center" shrinkToFit="1"/>
    </xf>
    <xf numFmtId="0" fontId="4" fillId="2" borderId="48" xfId="3" applyFont="1" applyFill="1" applyBorder="1" applyAlignment="1" applyProtection="1">
      <alignment horizontal="center" vertical="center" shrinkToFit="1"/>
    </xf>
    <xf numFmtId="0" fontId="4" fillId="2" borderId="1" xfId="3" applyFont="1" applyFill="1" applyBorder="1" applyAlignment="1" applyProtection="1">
      <alignment horizontal="center" vertical="center" shrinkToFit="1"/>
    </xf>
    <xf numFmtId="0" fontId="4" fillId="2" borderId="9" xfId="3" applyFont="1" applyFill="1" applyBorder="1" applyAlignment="1" applyProtection="1">
      <alignment horizontal="center" vertical="center" shrinkToFit="1"/>
    </xf>
    <xf numFmtId="0" fontId="4" fillId="2" borderId="26" xfId="3" applyFont="1" applyFill="1" applyBorder="1" applyAlignment="1" applyProtection="1">
      <alignment horizontal="center" vertical="center" shrinkToFit="1"/>
    </xf>
    <xf numFmtId="0" fontId="4" fillId="2" borderId="64" xfId="3" applyFont="1" applyFill="1" applyBorder="1" applyAlignment="1" applyProtection="1">
      <alignment horizontal="center" vertical="center" shrinkToFit="1"/>
    </xf>
    <xf numFmtId="0" fontId="37" fillId="2" borderId="37" xfId="3" applyFont="1" applyFill="1" applyBorder="1" applyAlignment="1" applyProtection="1">
      <alignment horizontal="center" vertical="center" shrinkToFit="1"/>
    </xf>
    <xf numFmtId="0" fontId="7" fillId="2" borderId="0" xfId="3" applyFont="1" applyFill="1" applyBorder="1" applyAlignment="1" applyProtection="1">
      <alignment horizontal="center" vertical="center" shrinkToFit="1"/>
    </xf>
    <xf numFmtId="0" fontId="7" fillId="2" borderId="0" xfId="3" applyFont="1" applyFill="1" applyAlignment="1" applyProtection="1">
      <alignment horizontal="left" vertical="center" shrinkToFit="1"/>
    </xf>
    <xf numFmtId="179" fontId="4" fillId="2" borderId="39" xfId="3" applyNumberFormat="1" applyFont="1" applyFill="1" applyBorder="1" applyAlignment="1" applyProtection="1">
      <alignment horizontal="center" shrinkToFit="1"/>
    </xf>
    <xf numFmtId="179" fontId="4" fillId="2" borderId="40" xfId="3" applyNumberFormat="1" applyFont="1" applyFill="1" applyBorder="1" applyAlignment="1" applyProtection="1">
      <alignment horizontal="center" shrinkToFit="1"/>
    </xf>
    <xf numFmtId="179" fontId="4" fillId="2" borderId="41" xfId="3" applyNumberFormat="1" applyFont="1" applyFill="1" applyBorder="1" applyAlignment="1" applyProtection="1">
      <alignment horizontal="center" shrinkToFit="1"/>
    </xf>
    <xf numFmtId="0" fontId="4" fillId="4" borderId="144" xfId="3" applyFont="1" applyFill="1" applyBorder="1" applyAlignment="1" applyProtection="1">
      <alignment horizontal="center" vertical="center" shrinkToFit="1"/>
      <protection locked="0"/>
    </xf>
    <xf numFmtId="0" fontId="4" fillId="4" borderId="126" xfId="3" applyFont="1" applyFill="1" applyBorder="1" applyAlignment="1" applyProtection="1">
      <alignment horizontal="center" vertical="center" shrinkToFit="1"/>
      <protection locked="0"/>
    </xf>
    <xf numFmtId="0" fontId="4" fillId="2" borderId="0" xfId="3" applyFont="1" applyFill="1" applyAlignment="1" applyProtection="1">
      <alignment horizontal="center" vertical="center" shrinkToFit="1"/>
    </xf>
    <xf numFmtId="0" fontId="4" fillId="2" borderId="37" xfId="3" applyFont="1" applyFill="1" applyBorder="1" applyAlignment="1" applyProtection="1">
      <alignment horizontal="center" vertical="center" shrinkToFit="1"/>
    </xf>
    <xf numFmtId="0" fontId="4" fillId="2" borderId="19" xfId="3" applyFont="1" applyFill="1" applyBorder="1" applyAlignment="1" applyProtection="1">
      <alignment horizontal="center" vertical="center" shrinkToFit="1"/>
    </xf>
    <xf numFmtId="0" fontId="4" fillId="2" borderId="16" xfId="3" applyFont="1" applyFill="1" applyBorder="1" applyAlignment="1" applyProtection="1">
      <alignment horizontal="center" vertical="center" shrinkToFit="1"/>
    </xf>
    <xf numFmtId="0" fontId="4" fillId="2" borderId="51" xfId="3" applyFont="1" applyFill="1" applyBorder="1" applyAlignment="1" applyProtection="1">
      <alignment horizontal="center" vertical="center" shrinkToFit="1"/>
    </xf>
    <xf numFmtId="0" fontId="4" fillId="2" borderId="108" xfId="3" applyFont="1" applyFill="1" applyBorder="1" applyAlignment="1" applyProtection="1">
      <alignment horizontal="center" vertical="center" shrinkToFit="1"/>
    </xf>
    <xf numFmtId="0" fontId="11" fillId="2" borderId="35" xfId="3" applyFont="1" applyFill="1" applyBorder="1" applyAlignment="1" applyProtection="1">
      <alignment horizontal="left" vertical="center" shrinkToFit="1"/>
    </xf>
    <xf numFmtId="0" fontId="11" fillId="2" borderId="0" xfId="3" applyFont="1" applyFill="1" applyBorder="1" applyAlignment="1" applyProtection="1">
      <alignment horizontal="left" vertical="center" shrinkToFit="1"/>
    </xf>
    <xf numFmtId="0" fontId="4" fillId="2" borderId="15" xfId="3" applyFont="1" applyFill="1" applyBorder="1" applyAlignment="1" applyProtection="1">
      <alignment horizontal="center" vertical="center" shrinkToFit="1"/>
    </xf>
    <xf numFmtId="0" fontId="11" fillId="2" borderId="36" xfId="3" applyFont="1" applyFill="1" applyBorder="1" applyAlignment="1" applyProtection="1">
      <alignment horizontal="left" vertical="center" shrinkToFit="1"/>
    </xf>
    <xf numFmtId="0" fontId="11" fillId="2" borderId="37" xfId="3" applyFont="1" applyFill="1" applyBorder="1" applyAlignment="1" applyProtection="1">
      <alignment horizontal="left" vertical="center" shrinkToFit="1"/>
    </xf>
    <xf numFmtId="197" fontId="44" fillId="2" borderId="6" xfId="4" applyNumberFormat="1" applyFont="1" applyFill="1" applyBorder="1" applyAlignment="1" applyProtection="1">
      <alignment horizontal="right" vertical="center" shrinkToFit="1"/>
    </xf>
    <xf numFmtId="197" fontId="44" fillId="2" borderId="8" xfId="4" applyNumberFormat="1" applyFont="1" applyFill="1" applyBorder="1" applyAlignment="1" applyProtection="1">
      <alignment horizontal="right" vertical="center" shrinkToFit="1"/>
    </xf>
    <xf numFmtId="193" fontId="25" fillId="2" borderId="6" xfId="4" applyNumberFormat="1" applyFont="1" applyFill="1" applyBorder="1" applyAlignment="1" applyProtection="1">
      <alignment horizontal="right" vertical="center" shrinkToFit="1"/>
    </xf>
    <xf numFmtId="193" fontId="25" fillId="2" borderId="8" xfId="4" applyNumberFormat="1" applyFont="1" applyFill="1" applyBorder="1" applyAlignment="1" applyProtection="1">
      <alignment horizontal="right" vertical="center" shrinkToFit="1"/>
    </xf>
    <xf numFmtId="197" fontId="11" fillId="2" borderId="6" xfId="1" applyNumberFormat="1" applyFont="1" applyFill="1" applyBorder="1" applyAlignment="1" applyProtection="1">
      <alignment horizontal="right" vertical="center" shrinkToFit="1"/>
    </xf>
    <xf numFmtId="197" fontId="11" fillId="2" borderId="8" xfId="1" applyNumberFormat="1" applyFont="1" applyFill="1" applyBorder="1" applyAlignment="1" applyProtection="1">
      <alignment horizontal="right" vertical="center" shrinkToFit="1"/>
    </xf>
    <xf numFmtId="0" fontId="26" fillId="0" borderId="357" xfId="0" applyFont="1" applyFill="1" applyBorder="1" applyAlignment="1" applyProtection="1">
      <alignment horizontal="center" vertical="center" shrinkToFit="1"/>
    </xf>
    <xf numFmtId="0" fontId="26" fillId="0" borderId="298" xfId="0" applyFont="1" applyFill="1" applyBorder="1" applyAlignment="1" applyProtection="1">
      <alignment horizontal="center" vertical="center" shrinkToFit="1"/>
    </xf>
    <xf numFmtId="0" fontId="26" fillId="0" borderId="211" xfId="0" applyFont="1" applyFill="1" applyBorder="1" applyAlignment="1" applyProtection="1">
      <alignment horizontal="center" vertical="center" shrinkToFit="1"/>
    </xf>
    <xf numFmtId="0" fontId="25" fillId="2" borderId="358" xfId="0" applyFont="1" applyFill="1" applyBorder="1" applyAlignment="1" applyProtection="1">
      <alignment horizontal="center" vertical="center" shrinkToFit="1"/>
    </xf>
    <xf numFmtId="0" fontId="25" fillId="2" borderId="297" xfId="0" applyFont="1" applyFill="1" applyBorder="1" applyAlignment="1" applyProtection="1">
      <alignment horizontal="center" vertical="center" shrinkToFit="1"/>
    </xf>
    <xf numFmtId="0" fontId="25" fillId="2" borderId="299" xfId="0" applyFont="1" applyFill="1" applyBorder="1" applyAlignment="1" applyProtection="1">
      <alignment horizontal="center" vertical="center" shrinkToFit="1"/>
    </xf>
    <xf numFmtId="0" fontId="25" fillId="4" borderId="281" xfId="0" applyFont="1" applyFill="1" applyBorder="1" applyAlignment="1" applyProtection="1">
      <alignment horizontal="center" vertical="center"/>
      <protection locked="0"/>
    </xf>
    <xf numFmtId="0" fontId="25" fillId="4" borderId="267" xfId="0" applyFont="1" applyFill="1" applyBorder="1" applyAlignment="1" applyProtection="1">
      <alignment horizontal="center" vertical="center"/>
      <protection locked="0"/>
    </xf>
    <xf numFmtId="2" fontId="44" fillId="2" borderId="282" xfId="0" applyNumberFormat="1" applyFont="1" applyFill="1" applyBorder="1" applyAlignment="1" applyProtection="1">
      <alignment horizontal="center" vertical="center" shrinkToFit="1"/>
    </xf>
    <xf numFmtId="2" fontId="44" fillId="2" borderId="267" xfId="0" applyNumberFormat="1" applyFont="1" applyFill="1" applyBorder="1" applyAlignment="1" applyProtection="1">
      <alignment horizontal="center" vertical="center" shrinkToFit="1"/>
    </xf>
    <xf numFmtId="0" fontId="25" fillId="2" borderId="99" xfId="0" applyFont="1" applyFill="1" applyBorder="1" applyAlignment="1" applyProtection="1">
      <alignment horizontal="center" vertical="center" shrinkToFit="1"/>
    </xf>
    <xf numFmtId="0" fontId="25" fillId="2" borderId="284" xfId="0" applyFont="1" applyFill="1" applyBorder="1" applyAlignment="1" applyProtection="1">
      <alignment horizontal="center" vertical="center" shrinkToFit="1"/>
    </xf>
    <xf numFmtId="0" fontId="25" fillId="5" borderId="284" xfId="0" applyFont="1" applyFill="1" applyBorder="1" applyAlignment="1" applyProtection="1">
      <alignment horizontal="center" vertical="center" shrinkToFit="1"/>
      <protection locked="0"/>
    </xf>
    <xf numFmtId="0" fontId="25" fillId="5" borderId="296" xfId="0" applyFont="1" applyFill="1" applyBorder="1" applyAlignment="1" applyProtection="1">
      <alignment horizontal="center" vertical="center" shrinkToFit="1"/>
      <protection locked="0"/>
    </xf>
    <xf numFmtId="0" fontId="25" fillId="5" borderId="285" xfId="0" applyFont="1" applyFill="1" applyBorder="1" applyAlignment="1" applyProtection="1">
      <alignment horizontal="center" vertical="center" shrinkToFit="1"/>
      <protection locked="0"/>
    </xf>
    <xf numFmtId="0" fontId="25" fillId="3" borderId="373" xfId="0" applyFont="1" applyFill="1" applyBorder="1" applyAlignment="1" applyProtection="1">
      <alignment horizontal="center" vertical="center" wrapText="1"/>
    </xf>
    <xf numFmtId="0" fontId="25" fillId="3" borderId="350" xfId="0" applyFont="1" applyFill="1" applyBorder="1" applyAlignment="1" applyProtection="1">
      <alignment horizontal="center" vertical="center" wrapText="1"/>
    </xf>
    <xf numFmtId="0" fontId="25" fillId="3" borderId="353" xfId="0" applyFont="1" applyFill="1" applyBorder="1" applyAlignment="1" applyProtection="1">
      <alignment horizontal="center" vertical="center" wrapText="1"/>
    </xf>
    <xf numFmtId="0" fontId="25" fillId="3" borderId="374" xfId="0" applyFont="1" applyFill="1" applyBorder="1" applyAlignment="1" applyProtection="1">
      <alignment horizontal="center" vertical="center" wrapText="1"/>
    </xf>
    <xf numFmtId="0" fontId="25" fillId="3" borderId="94" xfId="0" applyFont="1" applyFill="1" applyBorder="1" applyAlignment="1" applyProtection="1">
      <alignment horizontal="center" vertical="center" wrapText="1"/>
    </xf>
    <xf numFmtId="0" fontId="25" fillId="3" borderId="95" xfId="0" applyFont="1" applyFill="1" applyBorder="1" applyAlignment="1" applyProtection="1">
      <alignment horizontal="center" vertical="center" wrapText="1"/>
    </xf>
    <xf numFmtId="0" fontId="25" fillId="3" borderId="36" xfId="0" applyFont="1" applyFill="1" applyBorder="1" applyAlignment="1" applyProtection="1">
      <alignment horizontal="center" vertical="center" wrapText="1"/>
    </xf>
    <xf numFmtId="0" fontId="25" fillId="3" borderId="37" xfId="0" applyFont="1" applyFill="1" applyBorder="1" applyAlignment="1" applyProtection="1">
      <alignment horizontal="center" vertical="center" wrapText="1"/>
    </xf>
    <xf numFmtId="0" fontId="25" fillId="3" borderId="108" xfId="0" applyFont="1" applyFill="1" applyBorder="1" applyAlignment="1" applyProtection="1">
      <alignment horizontal="center" vertical="center" wrapText="1"/>
    </xf>
    <xf numFmtId="197" fontId="14" fillId="2" borderId="1" xfId="1" applyNumberFormat="1" applyFont="1" applyFill="1" applyBorder="1" applyAlignment="1" applyProtection="1">
      <alignment horizontal="right" vertical="center" shrinkToFit="1"/>
    </xf>
    <xf numFmtId="197" fontId="14" fillId="2" borderId="9" xfId="1" applyNumberFormat="1" applyFont="1" applyFill="1" applyBorder="1" applyAlignment="1" applyProtection="1">
      <alignment horizontal="right" vertical="center" shrinkToFit="1"/>
    </xf>
    <xf numFmtId="0" fontId="25" fillId="2" borderId="259" xfId="0" applyFont="1" applyFill="1" applyBorder="1" applyAlignment="1" applyProtection="1">
      <alignment horizontal="center" vertical="center" shrinkToFit="1"/>
    </xf>
    <xf numFmtId="0" fontId="25" fillId="2" borderId="261" xfId="0" applyFont="1" applyFill="1" applyBorder="1" applyAlignment="1" applyProtection="1">
      <alignment horizontal="center" vertical="center" shrinkToFit="1"/>
    </xf>
    <xf numFmtId="199" fontId="11" fillId="2" borderId="353" xfId="1" applyNumberFormat="1" applyFont="1" applyFill="1" applyBorder="1" applyAlignment="1" applyProtection="1">
      <alignment horizontal="right" vertical="center" shrinkToFit="1"/>
    </xf>
    <xf numFmtId="199" fontId="11" fillId="2" borderId="356" xfId="1" applyNumberFormat="1" applyFont="1" applyFill="1" applyBorder="1" applyAlignment="1" applyProtection="1">
      <alignment horizontal="right" vertical="center" shrinkToFit="1"/>
    </xf>
    <xf numFmtId="0" fontId="44" fillId="0" borderId="39" xfId="0" applyFont="1" applyFill="1" applyBorder="1" applyAlignment="1" applyProtection="1">
      <alignment horizontal="center" vertical="center"/>
    </xf>
    <xf numFmtId="0" fontId="44" fillId="0" borderId="40" xfId="0" applyFont="1" applyFill="1" applyBorder="1" applyAlignment="1" applyProtection="1">
      <alignment horizontal="center" vertical="center"/>
    </xf>
    <xf numFmtId="0" fontId="44" fillId="0" borderId="41" xfId="0" applyFont="1" applyFill="1" applyBorder="1" applyAlignment="1" applyProtection="1">
      <alignment horizontal="center" vertical="center"/>
    </xf>
    <xf numFmtId="0" fontId="14" fillId="0" borderId="44" xfId="0" applyFont="1" applyFill="1" applyBorder="1" applyAlignment="1" applyProtection="1">
      <alignment horizontal="center" vertical="center"/>
    </xf>
    <xf numFmtId="0" fontId="14" fillId="0" borderId="45" xfId="0" applyFont="1" applyFill="1" applyBorder="1" applyAlignment="1" applyProtection="1">
      <alignment horizontal="center" vertical="center"/>
    </xf>
    <xf numFmtId="0" fontId="14" fillId="0" borderId="63" xfId="0" applyFont="1" applyFill="1" applyBorder="1" applyAlignment="1" applyProtection="1">
      <alignment horizontal="center" vertical="center"/>
    </xf>
    <xf numFmtId="0" fontId="14" fillId="0" borderId="61" xfId="0" applyFont="1" applyFill="1" applyBorder="1" applyAlignment="1" applyProtection="1">
      <alignment horizontal="center" vertical="center"/>
    </xf>
    <xf numFmtId="0" fontId="50" fillId="0" borderId="148" xfId="0" applyFont="1" applyFill="1" applyBorder="1" applyAlignment="1" applyProtection="1">
      <alignment horizontal="center" vertical="center" wrapText="1" shrinkToFit="1"/>
    </xf>
    <xf numFmtId="0" fontId="50" fillId="0" borderId="149" xfId="0" applyFont="1" applyFill="1" applyBorder="1" applyAlignment="1" applyProtection="1">
      <alignment horizontal="center" vertical="center" wrapText="1" shrinkToFit="1"/>
    </xf>
    <xf numFmtId="0" fontId="50" fillId="0" borderId="154" xfId="0" applyFont="1" applyFill="1" applyBorder="1" applyAlignment="1" applyProtection="1">
      <alignment horizontal="center" vertical="center" wrapText="1" shrinkToFit="1"/>
    </xf>
    <xf numFmtId="0" fontId="14" fillId="0" borderId="326" xfId="0" applyFont="1" applyFill="1" applyBorder="1" applyAlignment="1" applyProtection="1">
      <alignment horizontal="center" vertical="center" wrapText="1"/>
    </xf>
    <xf numFmtId="0" fontId="14" fillId="0" borderId="328" xfId="0" applyFont="1" applyFill="1" applyBorder="1" applyAlignment="1" applyProtection="1">
      <alignment horizontal="center" vertical="center" wrapText="1"/>
    </xf>
    <xf numFmtId="0" fontId="14" fillId="0" borderId="329"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xf>
    <xf numFmtId="199" fontId="11" fillId="2" borderId="337" xfId="1" applyNumberFormat="1" applyFont="1" applyFill="1" applyBorder="1" applyAlignment="1" applyProtection="1">
      <alignment horizontal="right" vertical="center" shrinkToFit="1"/>
    </xf>
    <xf numFmtId="193" fontId="11" fillId="2" borderId="6" xfId="1" applyNumberFormat="1" applyFont="1" applyFill="1" applyBorder="1" applyAlignment="1" applyProtection="1">
      <alignment horizontal="right" vertical="center" shrinkToFit="1"/>
    </xf>
    <xf numFmtId="193" fontId="11" fillId="2" borderId="8" xfId="1" applyNumberFormat="1" applyFont="1" applyFill="1" applyBorder="1" applyAlignment="1" applyProtection="1">
      <alignment horizontal="right" vertical="center" shrinkToFit="1"/>
    </xf>
    <xf numFmtId="197" fontId="11" fillId="2" borderId="1" xfId="1" applyNumberFormat="1" applyFont="1" applyFill="1" applyBorder="1" applyAlignment="1" applyProtection="1">
      <alignment horizontal="right" vertical="center" shrinkToFit="1"/>
    </xf>
    <xf numFmtId="197" fontId="14" fillId="2" borderId="6" xfId="1" applyNumberFormat="1" applyFont="1" applyFill="1" applyBorder="1" applyAlignment="1" applyProtection="1">
      <alignment horizontal="right" vertical="center" shrinkToFit="1"/>
    </xf>
    <xf numFmtId="197" fontId="14" fillId="2" borderId="8" xfId="1" applyNumberFormat="1" applyFont="1" applyFill="1" applyBorder="1" applyAlignment="1" applyProtection="1">
      <alignment horizontal="right" vertical="center" shrinkToFit="1"/>
    </xf>
    <xf numFmtId="0" fontId="25" fillId="2" borderId="293" xfId="0" applyFont="1" applyFill="1" applyBorder="1" applyAlignment="1" applyProtection="1">
      <alignment horizontal="center" vertical="center" shrinkToFit="1"/>
    </xf>
    <xf numFmtId="0" fontId="25" fillId="2" borderId="289" xfId="0" applyFont="1" applyFill="1" applyBorder="1" applyAlignment="1" applyProtection="1">
      <alignment horizontal="center" vertical="center" shrinkToFit="1"/>
    </xf>
    <xf numFmtId="0" fontId="25" fillId="2" borderId="359" xfId="0" applyFont="1" applyFill="1" applyBorder="1" applyAlignment="1" applyProtection="1">
      <alignment horizontal="center" vertical="center" shrinkToFit="1"/>
    </xf>
    <xf numFmtId="0" fontId="25" fillId="2" borderId="50" xfId="0" applyFont="1" applyFill="1" applyBorder="1" applyAlignment="1" applyProtection="1">
      <alignment horizontal="center" vertical="center" shrinkToFit="1"/>
    </xf>
    <xf numFmtId="0" fontId="25" fillId="2" borderId="19" xfId="0" applyFont="1" applyFill="1" applyBorder="1" applyAlignment="1" applyProtection="1">
      <alignment horizontal="center" vertical="center" shrinkToFit="1"/>
    </xf>
    <xf numFmtId="0" fontId="25" fillId="2" borderId="31" xfId="0" applyFont="1" applyFill="1" applyBorder="1" applyAlignment="1" applyProtection="1">
      <alignment horizontal="center" vertical="center" shrinkToFit="1"/>
    </xf>
    <xf numFmtId="0" fontId="25" fillId="5" borderId="387" xfId="0" applyFont="1" applyFill="1" applyBorder="1" applyAlignment="1" applyProtection="1">
      <alignment horizontal="center" vertical="center" shrinkToFit="1"/>
      <protection locked="0"/>
    </xf>
    <xf numFmtId="0" fontId="25" fillId="5" borderId="386" xfId="0" applyFont="1" applyFill="1" applyBorder="1" applyAlignment="1" applyProtection="1">
      <alignment horizontal="center" vertical="center" shrinkToFit="1"/>
      <protection locked="0"/>
    </xf>
    <xf numFmtId="0" fontId="25" fillId="4" borderId="80" xfId="0" applyFont="1" applyFill="1" applyBorder="1" applyAlignment="1" applyProtection="1">
      <alignment horizontal="center" vertical="center"/>
      <protection locked="0"/>
    </xf>
    <xf numFmtId="0" fontId="25" fillId="4" borderId="79" xfId="0" applyFont="1" applyFill="1" applyBorder="1" applyAlignment="1" applyProtection="1">
      <alignment horizontal="center" vertical="center"/>
      <protection locked="0"/>
    </xf>
    <xf numFmtId="0" fontId="25" fillId="2" borderId="78" xfId="0" applyFont="1" applyFill="1" applyBorder="1" applyAlignment="1" applyProtection="1">
      <alignment horizontal="center" vertical="center" shrinkToFit="1"/>
    </xf>
    <xf numFmtId="0" fontId="25" fillId="2" borderId="15" xfId="0" applyFont="1" applyFill="1" applyBorder="1" applyAlignment="1" applyProtection="1">
      <alignment horizontal="center" vertical="center"/>
    </xf>
    <xf numFmtId="0" fontId="25" fillId="2" borderId="13" xfId="0" applyFont="1" applyFill="1" applyBorder="1" applyAlignment="1" applyProtection="1">
      <alignment horizontal="center" vertical="center"/>
    </xf>
    <xf numFmtId="0" fontId="25" fillId="2" borderId="195" xfId="0" applyFont="1" applyFill="1" applyBorder="1" applyAlignment="1" applyProtection="1">
      <alignment horizontal="center" vertical="center" shrinkToFit="1"/>
    </xf>
    <xf numFmtId="0" fontId="25" fillId="2" borderId="55" xfId="0" applyFont="1" applyFill="1" applyBorder="1" applyAlignment="1" applyProtection="1">
      <alignment horizontal="center" vertical="center" shrinkToFit="1"/>
    </xf>
    <xf numFmtId="0" fontId="25" fillId="3" borderId="80" xfId="0" applyFont="1" applyFill="1" applyBorder="1" applyAlignment="1" applyProtection="1">
      <alignment horizontal="center" vertical="center"/>
    </xf>
    <xf numFmtId="0" fontId="25" fillId="3" borderId="78" xfId="0" applyFont="1" applyFill="1" applyBorder="1" applyAlignment="1" applyProtection="1">
      <alignment horizontal="center" vertical="center"/>
    </xf>
    <xf numFmtId="0" fontId="25" fillId="3" borderId="121" xfId="0" applyFont="1" applyFill="1" applyBorder="1" applyAlignment="1" applyProtection="1">
      <alignment horizontal="center" vertical="center"/>
    </xf>
    <xf numFmtId="0" fontId="25" fillId="3" borderId="368" xfId="0" applyFont="1" applyFill="1" applyBorder="1" applyAlignment="1" applyProtection="1">
      <alignment horizontal="center" vertical="center" shrinkToFit="1"/>
    </xf>
    <xf numFmtId="0" fontId="25" fillId="3" borderId="116" xfId="0" applyFont="1" applyFill="1" applyBorder="1" applyAlignment="1" applyProtection="1">
      <alignment horizontal="center" vertical="center" shrinkToFit="1"/>
    </xf>
    <xf numFmtId="0" fontId="25" fillId="3" borderId="80" xfId="0" applyFont="1" applyFill="1" applyBorder="1" applyAlignment="1" applyProtection="1">
      <alignment horizontal="center" vertical="center" shrinkToFit="1"/>
    </xf>
    <xf numFmtId="0" fontId="25" fillId="3" borderId="78" xfId="0" applyFont="1" applyFill="1" applyBorder="1" applyAlignment="1" applyProtection="1">
      <alignment horizontal="center" vertical="center" shrinkToFit="1"/>
    </xf>
    <xf numFmtId="0" fontId="25" fillId="3" borderId="121" xfId="0" applyFont="1" applyFill="1" applyBorder="1" applyAlignment="1" applyProtection="1">
      <alignment horizontal="center" vertical="center" shrinkToFit="1"/>
    </xf>
    <xf numFmtId="0" fontId="25" fillId="3" borderId="28" xfId="0" applyFont="1" applyFill="1" applyBorder="1" applyAlignment="1" applyProtection="1">
      <alignment horizontal="center" vertical="center"/>
    </xf>
    <xf numFmtId="0" fontId="25" fillId="3" borderId="34" xfId="0" applyFont="1" applyFill="1" applyBorder="1" applyAlignment="1" applyProtection="1">
      <alignment horizontal="center" vertical="center"/>
    </xf>
    <xf numFmtId="0" fontId="11" fillId="3" borderId="249" xfId="1" applyFont="1" applyFill="1" applyBorder="1" applyAlignment="1" applyProtection="1">
      <alignment horizontal="center" vertical="center" wrapText="1" shrinkToFit="1"/>
    </xf>
    <xf numFmtId="0" fontId="11" fillId="3" borderId="250" xfId="1" applyFont="1" applyFill="1" applyBorder="1" applyAlignment="1" applyProtection="1">
      <alignment horizontal="center" vertical="center" wrapText="1" shrinkToFit="1"/>
    </xf>
    <xf numFmtId="0" fontId="11" fillId="3" borderId="251" xfId="1" applyFont="1" applyFill="1" applyBorder="1" applyAlignment="1" applyProtection="1">
      <alignment horizontal="center" vertical="center" wrapText="1" shrinkToFit="1"/>
    </xf>
    <xf numFmtId="0" fontId="11" fillId="3" borderId="3" xfId="1" applyFont="1" applyFill="1" applyBorder="1" applyAlignment="1" applyProtection="1">
      <alignment horizontal="center" vertical="center" wrapText="1" shrinkToFit="1"/>
    </xf>
    <xf numFmtId="0" fontId="11" fillId="3" borderId="1" xfId="1" applyFont="1" applyFill="1" applyBorder="1" applyAlignment="1" applyProtection="1">
      <alignment horizontal="center" vertical="center" wrapText="1" shrinkToFit="1"/>
    </xf>
    <xf numFmtId="0" fontId="25" fillId="2" borderId="293" xfId="0" applyFont="1" applyFill="1" applyBorder="1" applyAlignment="1" applyProtection="1">
      <alignment horizontal="center" vertical="center" wrapText="1"/>
    </xf>
    <xf numFmtId="0" fontId="25" fillId="2" borderId="261" xfId="0" applyFont="1" applyFill="1" applyBorder="1" applyAlignment="1" applyProtection="1">
      <alignment horizontal="center" vertical="center" wrapText="1"/>
    </xf>
    <xf numFmtId="0" fontId="25" fillId="4" borderId="311" xfId="0" applyFont="1" applyFill="1" applyBorder="1" applyAlignment="1" applyProtection="1">
      <alignment horizontal="center" vertical="center"/>
      <protection locked="0"/>
    </xf>
    <xf numFmtId="0" fontId="25" fillId="4" borderId="56" xfId="0" applyFont="1" applyFill="1" applyBorder="1" applyAlignment="1" applyProtection="1">
      <alignment horizontal="center" vertical="center"/>
      <protection locked="0"/>
    </xf>
    <xf numFmtId="0" fontId="25" fillId="5" borderId="309" xfId="0" applyFont="1" applyFill="1" applyBorder="1" applyAlignment="1" applyProtection="1">
      <alignment horizontal="center" vertical="center" shrinkToFit="1"/>
      <protection locked="0"/>
    </xf>
    <xf numFmtId="0" fontId="25" fillId="5" borderId="55" xfId="0" applyFont="1" applyFill="1" applyBorder="1" applyAlignment="1" applyProtection="1">
      <alignment horizontal="center" vertical="center" shrinkToFit="1"/>
      <protection locked="0"/>
    </xf>
    <xf numFmtId="0" fontId="25" fillId="5" borderId="310" xfId="0" applyFont="1" applyFill="1" applyBorder="1" applyAlignment="1" applyProtection="1">
      <alignment horizontal="center" vertical="center" shrinkToFit="1"/>
      <protection locked="0"/>
    </xf>
    <xf numFmtId="0" fontId="11" fillId="3" borderId="69" xfId="1" applyFont="1" applyFill="1" applyBorder="1" applyAlignment="1" applyProtection="1">
      <alignment horizontal="center" vertical="center" wrapText="1" shrinkToFit="1"/>
    </xf>
    <xf numFmtId="0" fontId="11" fillId="3" borderId="65" xfId="1" applyFont="1" applyFill="1" applyBorder="1" applyAlignment="1" applyProtection="1">
      <alignment horizontal="center" vertical="center" wrapText="1" shrinkToFit="1"/>
    </xf>
    <xf numFmtId="0" fontId="11" fillId="3" borderId="105" xfId="1" applyFont="1" applyFill="1" applyBorder="1" applyAlignment="1" applyProtection="1">
      <alignment horizontal="center" vertical="center" wrapText="1" shrinkToFit="1"/>
    </xf>
    <xf numFmtId="0" fontId="25" fillId="3" borderId="116" xfId="0" applyFont="1" applyFill="1" applyBorder="1" applyAlignment="1" applyProtection="1">
      <alignment horizontal="center" vertical="center" wrapText="1"/>
    </xf>
    <xf numFmtId="0" fontId="25" fillId="3" borderId="117" xfId="0" applyFont="1" applyFill="1" applyBorder="1" applyAlignment="1" applyProtection="1">
      <alignment horizontal="center" vertical="center" wrapText="1"/>
    </xf>
    <xf numFmtId="0" fontId="41" fillId="2" borderId="261" xfId="0" applyFont="1" applyFill="1" applyBorder="1" applyAlignment="1" applyProtection="1">
      <alignment horizontal="center" vertical="center" shrinkToFit="1"/>
    </xf>
    <xf numFmtId="0" fontId="41" fillId="2" borderId="289" xfId="0" applyFont="1" applyFill="1" applyBorder="1" applyAlignment="1" applyProtection="1">
      <alignment horizontal="center" vertical="center" shrinkToFit="1"/>
    </xf>
    <xf numFmtId="0" fontId="25" fillId="5" borderId="78" xfId="0" applyFont="1" applyFill="1" applyBorder="1" applyAlignment="1" applyProtection="1">
      <alignment horizontal="center" vertical="center" shrinkToFit="1"/>
      <protection locked="0"/>
    </xf>
    <xf numFmtId="193" fontId="11" fillId="2" borderId="1" xfId="1" applyNumberFormat="1" applyFont="1" applyFill="1" applyBorder="1" applyAlignment="1" applyProtection="1">
      <alignment horizontal="right" vertical="center" shrinkToFit="1"/>
    </xf>
    <xf numFmtId="193" fontId="11" fillId="2" borderId="9" xfId="1" applyNumberFormat="1" applyFont="1" applyFill="1" applyBorder="1" applyAlignment="1" applyProtection="1">
      <alignment horizontal="right" vertical="center" shrinkToFit="1"/>
    </xf>
    <xf numFmtId="0" fontId="25" fillId="2" borderId="177" xfId="0" applyFont="1" applyFill="1" applyBorder="1" applyAlignment="1" applyProtection="1">
      <alignment horizontal="center" vertical="center" shrinkToFit="1"/>
    </xf>
    <xf numFmtId="0" fontId="25" fillId="2" borderId="313" xfId="0" applyFont="1" applyFill="1" applyBorder="1" applyAlignment="1" applyProtection="1">
      <alignment horizontal="center" vertical="center" shrinkToFit="1"/>
    </xf>
    <xf numFmtId="0" fontId="25" fillId="2" borderId="262" xfId="0" applyFont="1" applyFill="1" applyBorder="1" applyAlignment="1" applyProtection="1">
      <alignment horizontal="center" vertical="center" shrinkToFit="1"/>
    </xf>
    <xf numFmtId="0" fontId="25" fillId="2" borderId="263" xfId="0" applyFont="1" applyFill="1" applyBorder="1" applyAlignment="1" applyProtection="1">
      <alignment horizontal="center" vertical="center" shrinkToFit="1"/>
    </xf>
    <xf numFmtId="0" fontId="25" fillId="2" borderId="269" xfId="0" applyFont="1" applyFill="1" applyBorder="1" applyAlignment="1" applyProtection="1">
      <alignment horizontal="center" vertical="center" shrinkToFit="1"/>
    </xf>
    <xf numFmtId="0" fontId="25" fillId="2" borderId="15" xfId="0" applyFont="1" applyFill="1" applyBorder="1" applyAlignment="1" applyProtection="1">
      <alignment horizontal="center" vertical="center" shrinkToFit="1"/>
    </xf>
    <xf numFmtId="0" fontId="25" fillId="2" borderId="274" xfId="0" applyFont="1" applyFill="1" applyBorder="1" applyAlignment="1" applyProtection="1">
      <alignment horizontal="center" vertical="center" shrinkToFit="1"/>
    </xf>
    <xf numFmtId="0" fontId="25" fillId="2" borderId="225" xfId="0" applyFont="1" applyFill="1" applyBorder="1" applyAlignment="1" applyProtection="1">
      <alignment horizontal="center" vertical="center" shrinkToFit="1"/>
    </xf>
    <xf numFmtId="0" fontId="11" fillId="3" borderId="5" xfId="1" applyFont="1" applyFill="1" applyBorder="1" applyAlignment="1" applyProtection="1">
      <alignment horizontal="center" vertical="center" shrinkToFit="1"/>
    </xf>
    <xf numFmtId="0" fontId="11" fillId="3" borderId="27" xfId="1" applyFont="1" applyFill="1" applyBorder="1" applyAlignment="1" applyProtection="1">
      <alignment horizontal="center" vertical="center" shrinkToFit="1"/>
    </xf>
    <xf numFmtId="2" fontId="44" fillId="2" borderId="96" xfId="0" applyNumberFormat="1" applyFont="1" applyFill="1" applyBorder="1" applyAlignment="1" applyProtection="1">
      <alignment horizontal="center" vertical="center" shrinkToFit="1"/>
    </xf>
    <xf numFmtId="2" fontId="44" fillId="2" borderId="98" xfId="0" applyNumberFormat="1" applyFont="1" applyFill="1" applyBorder="1" applyAlignment="1" applyProtection="1">
      <alignment horizontal="center" vertical="center" shrinkToFit="1"/>
    </xf>
    <xf numFmtId="0" fontId="25" fillId="3" borderId="146" xfId="0" applyFont="1" applyFill="1" applyBorder="1" applyAlignment="1" applyProtection="1">
      <alignment horizontal="center" vertical="center"/>
    </xf>
    <xf numFmtId="0" fontId="25" fillId="3" borderId="48" xfId="0" applyFont="1" applyFill="1" applyBorder="1" applyAlignment="1" applyProtection="1">
      <alignment horizontal="center" vertical="center"/>
    </xf>
    <xf numFmtId="0" fontId="25" fillId="3" borderId="104" xfId="0" applyFont="1" applyFill="1" applyBorder="1" applyAlignment="1" applyProtection="1">
      <alignment horizontal="center" vertical="center"/>
    </xf>
    <xf numFmtId="0" fontId="25" fillId="3" borderId="214" xfId="0" applyFont="1" applyFill="1" applyBorder="1" applyAlignment="1" applyProtection="1">
      <alignment horizontal="center" vertical="center" wrapText="1"/>
    </xf>
    <xf numFmtId="0" fontId="25" fillId="3" borderId="261" xfId="0" applyFont="1" applyFill="1" applyBorder="1" applyAlignment="1" applyProtection="1">
      <alignment horizontal="center" vertical="center" wrapText="1"/>
    </xf>
    <xf numFmtId="0" fontId="25" fillId="3" borderId="220" xfId="0" applyFont="1" applyFill="1" applyBorder="1" applyAlignment="1" applyProtection="1">
      <alignment horizontal="center" vertical="center" wrapText="1"/>
    </xf>
    <xf numFmtId="0" fontId="25" fillId="3" borderId="316" xfId="0" applyFont="1" applyFill="1" applyBorder="1" applyAlignment="1" applyProtection="1">
      <alignment horizontal="center" vertical="center" wrapText="1"/>
    </xf>
    <xf numFmtId="0" fontId="25" fillId="3" borderId="317" xfId="0" applyFont="1" applyFill="1" applyBorder="1" applyAlignment="1" applyProtection="1">
      <alignment horizontal="center" vertical="center" wrapText="1"/>
    </xf>
    <xf numFmtId="0" fontId="25" fillId="3" borderId="269" xfId="0" applyFont="1" applyFill="1" applyBorder="1" applyAlignment="1" applyProtection="1">
      <alignment horizontal="center" vertical="center" wrapText="1"/>
    </xf>
    <xf numFmtId="0" fontId="25" fillId="3" borderId="255" xfId="0" applyFont="1" applyFill="1" applyBorder="1" applyAlignment="1" applyProtection="1">
      <alignment horizontal="center" vertical="center" wrapText="1"/>
    </xf>
    <xf numFmtId="0" fontId="25" fillId="4" borderId="252" xfId="0" applyFont="1" applyFill="1" applyBorder="1" applyAlignment="1" applyProtection="1">
      <alignment horizontal="center" vertical="center"/>
      <protection locked="0"/>
    </xf>
    <xf numFmtId="0" fontId="25" fillId="4" borderId="60" xfId="0" applyFont="1" applyFill="1" applyBorder="1" applyAlignment="1" applyProtection="1">
      <alignment horizontal="center" vertical="center"/>
      <protection locked="0"/>
    </xf>
    <xf numFmtId="0" fontId="25" fillId="2" borderId="58" xfId="0" applyFont="1" applyFill="1" applyBorder="1" applyAlignment="1" applyProtection="1">
      <alignment horizontal="center" vertical="center" shrinkToFit="1"/>
    </xf>
    <xf numFmtId="0" fontId="25" fillId="2" borderId="59" xfId="0" applyFont="1" applyFill="1" applyBorder="1" applyAlignment="1" applyProtection="1">
      <alignment horizontal="center" vertical="center" shrinkToFit="1"/>
    </xf>
    <xf numFmtId="0" fontId="25" fillId="5" borderId="383" xfId="0" applyFont="1" applyFill="1" applyBorder="1" applyAlignment="1" applyProtection="1">
      <alignment horizontal="center" vertical="center" shrinkToFit="1"/>
      <protection locked="0"/>
    </xf>
    <xf numFmtId="0" fontId="25" fillId="5" borderId="384" xfId="0" applyFont="1" applyFill="1" applyBorder="1" applyAlignment="1" applyProtection="1">
      <alignment horizontal="center" vertical="center" shrinkToFit="1"/>
      <protection locked="0"/>
    </xf>
    <xf numFmtId="0" fontId="25" fillId="5" borderId="385" xfId="0" applyFont="1" applyFill="1" applyBorder="1" applyAlignment="1" applyProtection="1">
      <alignment horizontal="center" vertical="center" shrinkToFit="1"/>
      <protection locked="0"/>
    </xf>
    <xf numFmtId="0" fontId="25" fillId="4" borderId="352" xfId="0" applyFont="1" applyFill="1" applyBorder="1" applyAlignment="1" applyProtection="1">
      <alignment horizontal="center" vertical="center"/>
      <protection locked="0"/>
    </xf>
    <xf numFmtId="0" fontId="25" fillId="4" borderId="98" xfId="0" applyFont="1" applyFill="1" applyBorder="1" applyAlignment="1" applyProtection="1">
      <alignment horizontal="center" vertical="center"/>
      <protection locked="0"/>
    </xf>
    <xf numFmtId="0" fontId="25" fillId="2" borderId="96" xfId="0" applyFont="1" applyFill="1" applyBorder="1" applyAlignment="1" applyProtection="1">
      <alignment horizontal="center" vertical="center" shrinkToFit="1"/>
    </xf>
    <xf numFmtId="0" fontId="25" fillId="2" borderId="291" xfId="0" applyFont="1" applyFill="1" applyBorder="1" applyAlignment="1" applyProtection="1">
      <alignment horizontal="center" vertical="center" shrinkToFit="1"/>
    </xf>
    <xf numFmtId="0" fontId="25" fillId="2" borderId="308" xfId="0" applyFont="1" applyFill="1" applyBorder="1" applyAlignment="1" applyProtection="1">
      <alignment horizontal="center" vertical="center" shrinkToFit="1"/>
    </xf>
    <xf numFmtId="0" fontId="25" fillId="2" borderId="97" xfId="0" applyFont="1" applyFill="1" applyBorder="1" applyAlignment="1" applyProtection="1">
      <alignment horizontal="center" vertical="center" shrinkToFit="1"/>
    </xf>
    <xf numFmtId="0" fontId="25" fillId="2" borderId="282" xfId="0" applyFont="1" applyFill="1" applyBorder="1" applyAlignment="1" applyProtection="1">
      <alignment horizontal="center" vertical="center" shrinkToFit="1"/>
    </xf>
    <xf numFmtId="0" fontId="25" fillId="2" borderId="265" xfId="0" applyFont="1" applyFill="1" applyBorder="1" applyAlignment="1" applyProtection="1">
      <alignment horizontal="center" vertical="center" shrinkToFit="1"/>
    </xf>
    <xf numFmtId="0" fontId="25" fillId="2" borderId="283" xfId="0" applyFont="1" applyFill="1" applyBorder="1" applyAlignment="1" applyProtection="1">
      <alignment horizontal="center" vertical="center" shrinkToFit="1"/>
    </xf>
    <xf numFmtId="0" fontId="25" fillId="2" borderId="264" xfId="0" applyFont="1" applyFill="1" applyBorder="1" applyAlignment="1" applyProtection="1">
      <alignment horizontal="center" vertical="center" shrinkToFit="1"/>
    </xf>
    <xf numFmtId="0" fontId="25" fillId="2" borderId="339" xfId="0" applyFont="1" applyFill="1" applyBorder="1" applyAlignment="1" applyProtection="1">
      <alignment horizontal="center" vertical="center" shrinkToFit="1"/>
    </xf>
    <xf numFmtId="0" fontId="25" fillId="2" borderId="139" xfId="0" applyFont="1" applyFill="1" applyBorder="1" applyAlignment="1" applyProtection="1">
      <alignment horizontal="center" vertical="center" shrinkToFit="1"/>
    </xf>
    <xf numFmtId="0" fontId="25" fillId="2" borderId="4" xfId="0" applyFont="1" applyFill="1" applyBorder="1" applyAlignment="1" applyProtection="1">
      <alignment horizontal="left" vertical="center" shrinkToFit="1"/>
    </xf>
    <xf numFmtId="0" fontId="25" fillId="2" borderId="17" xfId="0" applyFont="1" applyFill="1" applyBorder="1" applyAlignment="1" applyProtection="1">
      <alignment horizontal="left" vertical="center" shrinkToFit="1"/>
    </xf>
    <xf numFmtId="0" fontId="25" fillId="2" borderId="340" xfId="0" applyFont="1" applyFill="1" applyBorder="1" applyAlignment="1" applyProtection="1">
      <alignment horizontal="center" vertical="center" shrinkToFit="1"/>
    </xf>
    <xf numFmtId="0" fontId="25" fillId="2" borderId="341" xfId="0" applyFont="1" applyFill="1" applyBorder="1" applyAlignment="1" applyProtection="1">
      <alignment horizontal="center" vertical="center" shrinkToFit="1"/>
    </xf>
    <xf numFmtId="0" fontId="25" fillId="2" borderId="336" xfId="0" applyFont="1" applyFill="1" applyBorder="1" applyAlignment="1" applyProtection="1">
      <alignment horizontal="center" vertical="center" shrinkToFit="1"/>
    </xf>
    <xf numFmtId="0" fontId="25" fillId="2" borderId="337" xfId="0" applyFont="1" applyFill="1" applyBorder="1" applyAlignment="1" applyProtection="1">
      <alignment horizontal="center" vertical="center" shrinkToFit="1"/>
    </xf>
    <xf numFmtId="0" fontId="11" fillId="2" borderId="303" xfId="1" applyFont="1" applyFill="1" applyBorder="1" applyAlignment="1" applyProtection="1">
      <alignment horizontal="center" vertical="center" shrinkToFit="1"/>
    </xf>
    <xf numFmtId="0" fontId="11" fillId="2" borderId="305" xfId="1" applyFont="1" applyFill="1" applyBorder="1" applyAlignment="1" applyProtection="1">
      <alignment horizontal="center" vertical="center" shrinkToFit="1"/>
    </xf>
    <xf numFmtId="0" fontId="11" fillId="2" borderId="352" xfId="1" applyFont="1" applyFill="1" applyBorder="1" applyAlignment="1" applyProtection="1">
      <alignment horizontal="center" vertical="center" shrinkToFit="1"/>
    </xf>
    <xf numFmtId="0" fontId="11" fillId="2" borderId="292" xfId="1" applyFont="1" applyFill="1" applyBorder="1" applyAlignment="1" applyProtection="1">
      <alignment horizontal="center" vertical="center" shrinkToFit="1"/>
    </xf>
    <xf numFmtId="0" fontId="41" fillId="2" borderId="21" xfId="0" applyFont="1" applyFill="1" applyBorder="1" applyAlignment="1" applyProtection="1">
      <alignment horizontal="center" vertical="center" wrapText="1"/>
    </xf>
    <xf numFmtId="0" fontId="41" fillId="2" borderId="286" xfId="0" applyFont="1" applyFill="1" applyBorder="1" applyAlignment="1" applyProtection="1">
      <alignment horizontal="center" vertical="center" wrapText="1"/>
    </xf>
    <xf numFmtId="0" fontId="41" fillId="2" borderId="20" xfId="0" applyFont="1" applyFill="1" applyBorder="1" applyAlignment="1" applyProtection="1">
      <alignment horizontal="center" vertical="center" wrapText="1"/>
    </xf>
    <xf numFmtId="0" fontId="41" fillId="2" borderId="351" xfId="0" applyFont="1" applyFill="1" applyBorder="1" applyAlignment="1" applyProtection="1">
      <alignment horizontal="center" vertical="center" wrapText="1"/>
    </xf>
    <xf numFmtId="200" fontId="11" fillId="2" borderId="338" xfId="1" applyNumberFormat="1" applyFont="1" applyFill="1" applyBorder="1" applyAlignment="1" applyProtection="1">
      <alignment horizontal="center" vertical="center" wrapText="1" shrinkToFit="1"/>
    </xf>
    <xf numFmtId="200" fontId="11" fillId="2" borderId="355" xfId="1" applyNumberFormat="1" applyFont="1" applyFill="1" applyBorder="1" applyAlignment="1" applyProtection="1">
      <alignment horizontal="center" vertical="center" wrapText="1" shrinkToFit="1"/>
    </xf>
    <xf numFmtId="0" fontId="25" fillId="2" borderId="17" xfId="0" applyFont="1" applyFill="1" applyBorder="1" applyAlignment="1" applyProtection="1">
      <alignment horizontal="left" vertical="center" wrapText="1"/>
    </xf>
    <xf numFmtId="0" fontId="25" fillId="2" borderId="18" xfId="0" applyFont="1" applyFill="1" applyBorder="1" applyAlignment="1" applyProtection="1">
      <alignment horizontal="left" vertical="center" wrapText="1"/>
    </xf>
    <xf numFmtId="0" fontId="25" fillId="2" borderId="365" xfId="0" applyFont="1" applyFill="1" applyBorder="1" applyAlignment="1" applyProtection="1">
      <alignment horizontal="left" vertical="center" wrapText="1"/>
    </xf>
    <xf numFmtId="0" fontId="25" fillId="2" borderId="349" xfId="0" applyFont="1" applyFill="1" applyBorder="1" applyAlignment="1" applyProtection="1">
      <alignment horizontal="center" vertical="center" wrapText="1" shrinkToFit="1"/>
    </xf>
    <xf numFmtId="0" fontId="25" fillId="2" borderId="12" xfId="0" applyFont="1" applyFill="1" applyBorder="1" applyAlignment="1" applyProtection="1">
      <alignment horizontal="center" vertical="center" wrapText="1" shrinkToFit="1"/>
    </xf>
    <xf numFmtId="0" fontId="25" fillId="2" borderId="269" xfId="0" applyFont="1" applyFill="1" applyBorder="1" applyAlignment="1" applyProtection="1">
      <alignment horizontal="center" vertical="center" wrapText="1" shrinkToFit="1"/>
    </xf>
    <xf numFmtId="0" fontId="25" fillId="2" borderId="15" xfId="0" applyFont="1" applyFill="1" applyBorder="1" applyAlignment="1" applyProtection="1">
      <alignment horizontal="center" vertical="center" wrapText="1" shrinkToFit="1"/>
    </xf>
    <xf numFmtId="0" fontId="11" fillId="2" borderId="349" xfId="1" applyFont="1" applyFill="1" applyBorder="1" applyAlignment="1" applyProtection="1">
      <alignment horizontal="center" vertical="center" shrinkToFit="1"/>
    </xf>
    <xf numFmtId="0" fontId="11" fillId="2" borderId="260" xfId="1" applyFont="1" applyFill="1" applyBorder="1" applyAlignment="1" applyProtection="1">
      <alignment horizontal="center" vertical="center" shrinkToFit="1"/>
    </xf>
    <xf numFmtId="0" fontId="11" fillId="2" borderId="269" xfId="1" applyFont="1" applyFill="1" applyBorder="1" applyAlignment="1" applyProtection="1">
      <alignment horizontal="center" vertical="center" shrinkToFit="1"/>
    </xf>
    <xf numFmtId="0" fontId="11" fillId="2" borderId="286" xfId="1" applyFont="1" applyFill="1" applyBorder="1" applyAlignment="1" applyProtection="1">
      <alignment horizontal="center" vertical="center" shrinkToFit="1"/>
    </xf>
    <xf numFmtId="200" fontId="11" fillId="2" borderId="350" xfId="1" applyNumberFormat="1" applyFont="1" applyFill="1" applyBorder="1" applyAlignment="1" applyProtection="1">
      <alignment horizontal="center" vertical="center" shrinkToFit="1"/>
    </xf>
    <xf numFmtId="200" fontId="11" fillId="2" borderId="338" xfId="1" applyNumberFormat="1" applyFont="1" applyFill="1" applyBorder="1" applyAlignment="1" applyProtection="1">
      <alignment horizontal="center" vertical="center" shrinkToFit="1"/>
    </xf>
    <xf numFmtId="0" fontId="41" fillId="2" borderId="28" xfId="0" applyFont="1" applyFill="1" applyBorder="1" applyAlignment="1" applyProtection="1">
      <alignment horizontal="center" vertical="center" wrapText="1"/>
    </xf>
    <xf numFmtId="0" fontId="41" fillId="2" borderId="260" xfId="0" applyFont="1" applyFill="1" applyBorder="1" applyAlignment="1" applyProtection="1">
      <alignment horizontal="center" vertical="center" wrapText="1"/>
    </xf>
    <xf numFmtId="2" fontId="11" fillId="2" borderId="350" xfId="1" applyNumberFormat="1" applyFont="1" applyFill="1" applyBorder="1" applyAlignment="1" applyProtection="1">
      <alignment horizontal="right" vertical="center" shrinkToFit="1"/>
    </xf>
    <xf numFmtId="2" fontId="11" fillId="2" borderId="338" xfId="1" applyNumberFormat="1" applyFont="1" applyFill="1" applyBorder="1" applyAlignment="1" applyProtection="1">
      <alignment horizontal="right" vertical="center" shrinkToFit="1"/>
    </xf>
    <xf numFmtId="0" fontId="25" fillId="2" borderId="303" xfId="0" applyFont="1" applyFill="1" applyBorder="1" applyAlignment="1" applyProtection="1">
      <alignment horizontal="center" vertical="center" wrapText="1" shrinkToFit="1"/>
    </xf>
    <xf numFmtId="0" fontId="25" fillId="2" borderId="16" xfId="0" applyFont="1" applyFill="1" applyBorder="1" applyAlignment="1" applyProtection="1">
      <alignment horizontal="center" vertical="center" wrapText="1" shrinkToFit="1"/>
    </xf>
    <xf numFmtId="0" fontId="25" fillId="2" borderId="290" xfId="0" applyFont="1" applyFill="1" applyBorder="1" applyAlignment="1" applyProtection="1">
      <alignment horizontal="center" vertical="center" wrapText="1" shrinkToFit="1"/>
    </xf>
    <xf numFmtId="0" fontId="25" fillId="2" borderId="13" xfId="0" applyFont="1" applyFill="1" applyBorder="1" applyAlignment="1" applyProtection="1">
      <alignment horizontal="center" vertical="center" wrapText="1" shrinkToFit="1"/>
    </xf>
    <xf numFmtId="0" fontId="33" fillId="0" borderId="146" xfId="0" applyFont="1" applyFill="1" applyBorder="1" applyAlignment="1" applyProtection="1">
      <alignment horizontal="center" vertical="center" wrapText="1"/>
    </xf>
    <xf numFmtId="0" fontId="33" fillId="0" borderId="48" xfId="0" applyFont="1" applyFill="1" applyBorder="1" applyAlignment="1" applyProtection="1">
      <alignment horizontal="center" vertical="center" wrapText="1"/>
    </xf>
    <xf numFmtId="0" fontId="33" fillId="0" borderId="104" xfId="0" applyFont="1" applyFill="1" applyBorder="1" applyAlignment="1" applyProtection="1">
      <alignment horizontal="center" vertical="center" wrapText="1"/>
    </xf>
    <xf numFmtId="0" fontId="33" fillId="0" borderId="65" xfId="0" applyFont="1" applyFill="1" applyBorder="1" applyAlignment="1" applyProtection="1">
      <alignment horizontal="center" vertical="center" wrapText="1"/>
    </xf>
    <xf numFmtId="0" fontId="33" fillId="0" borderId="103" xfId="0" applyFont="1" applyFill="1" applyBorder="1" applyAlignment="1" applyProtection="1">
      <alignment horizontal="center" vertical="center" wrapText="1"/>
    </xf>
    <xf numFmtId="0" fontId="33" fillId="0" borderId="105" xfId="0" applyFont="1" applyFill="1" applyBorder="1" applyAlignment="1" applyProtection="1">
      <alignment horizontal="center" vertical="center" wrapText="1"/>
    </xf>
    <xf numFmtId="0" fontId="51" fillId="0" borderId="53" xfId="0" applyFont="1" applyFill="1" applyBorder="1" applyAlignment="1" applyProtection="1">
      <alignment horizontal="center" vertical="center" wrapText="1"/>
    </xf>
    <xf numFmtId="0" fontId="51" fillId="0" borderId="54" xfId="0" applyFont="1" applyFill="1" applyBorder="1" applyAlignment="1" applyProtection="1">
      <alignment horizontal="center" vertical="center" wrapText="1"/>
    </xf>
    <xf numFmtId="0" fontId="51" fillId="0" borderId="2" xfId="0" applyFont="1" applyFill="1" applyBorder="1" applyAlignment="1" applyProtection="1">
      <alignment horizontal="center" vertical="center" wrapText="1"/>
    </xf>
    <xf numFmtId="0" fontId="14" fillId="0" borderId="44"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14" fillId="0" borderId="45" xfId="0" applyFont="1" applyFill="1" applyBorder="1" applyAlignment="1" applyProtection="1">
      <alignment horizontal="center" vertical="center" wrapText="1"/>
    </xf>
    <xf numFmtId="0" fontId="50" fillId="0" borderId="63" xfId="0" applyFont="1" applyFill="1" applyBorder="1" applyAlignment="1" applyProtection="1">
      <alignment horizontal="center" vertical="center" wrapText="1" shrinkToFit="1"/>
    </xf>
    <xf numFmtId="0" fontId="50" fillId="0" borderId="46" xfId="0" applyFont="1" applyFill="1" applyBorder="1" applyAlignment="1" applyProtection="1">
      <alignment horizontal="center" vertical="center" wrapText="1" shrinkToFit="1"/>
    </xf>
    <xf numFmtId="0" fontId="14" fillId="0" borderId="4" xfId="0" applyFont="1" applyFill="1" applyBorder="1" applyAlignment="1" applyProtection="1">
      <alignment horizontal="center" vertical="center"/>
    </xf>
    <xf numFmtId="0" fontId="14" fillId="0" borderId="6" xfId="0" applyFont="1" applyFill="1" applyBorder="1" applyAlignment="1" applyProtection="1">
      <alignment horizontal="center" vertical="center"/>
    </xf>
    <xf numFmtId="0" fontId="14" fillId="0" borderId="4" xfId="0" applyFont="1" applyFill="1" applyBorder="1" applyAlignment="1" applyProtection="1">
      <alignment horizontal="center" vertical="center" wrapText="1" shrinkToFit="1"/>
    </xf>
    <xf numFmtId="0" fontId="14" fillId="0" borderId="6" xfId="0" applyFont="1" applyFill="1" applyBorder="1" applyAlignment="1" applyProtection="1">
      <alignment horizontal="center" vertical="center" wrapText="1" shrinkToFit="1"/>
    </xf>
    <xf numFmtId="0" fontId="14" fillId="0" borderId="4" xfId="0" applyFont="1" applyFill="1" applyBorder="1" applyAlignment="1" applyProtection="1">
      <alignment horizontal="center" vertical="center" shrinkToFit="1"/>
    </xf>
    <xf numFmtId="0" fontId="14" fillId="0" borderId="6" xfId="0" applyFont="1" applyFill="1" applyBorder="1" applyAlignment="1" applyProtection="1">
      <alignment horizontal="center" vertical="center" shrinkToFit="1"/>
    </xf>
    <xf numFmtId="0" fontId="14" fillId="0" borderId="16" xfId="0" applyFont="1" applyFill="1" applyBorder="1" applyAlignment="1" applyProtection="1">
      <alignment horizontal="center" vertical="center"/>
    </xf>
    <xf numFmtId="0" fontId="14" fillId="0" borderId="106" xfId="0" applyFont="1" applyFill="1" applyBorder="1" applyAlignment="1" applyProtection="1">
      <alignment horizontal="center" vertical="center"/>
    </xf>
    <xf numFmtId="0" fontId="49" fillId="0" borderId="63" xfId="0" applyFont="1" applyFill="1" applyBorder="1" applyAlignment="1" applyProtection="1">
      <alignment horizontal="center" vertical="center" wrapText="1"/>
    </xf>
    <xf numFmtId="0" fontId="49" fillId="0" borderId="46" xfId="0" applyFont="1" applyFill="1" applyBorder="1" applyAlignment="1" applyProtection="1">
      <alignment horizontal="center" vertical="center" wrapText="1"/>
    </xf>
    <xf numFmtId="0" fontId="44" fillId="0" borderId="4" xfId="0" applyFont="1" applyFill="1" applyBorder="1" applyAlignment="1" applyProtection="1">
      <alignment horizontal="center" vertical="center" wrapText="1"/>
    </xf>
    <xf numFmtId="0" fontId="44" fillId="0" borderId="5" xfId="0" applyFont="1" applyFill="1" applyBorder="1" applyAlignment="1" applyProtection="1">
      <alignment horizontal="center" vertical="center" wrapText="1"/>
    </xf>
    <xf numFmtId="0" fontId="44" fillId="0" borderId="216" xfId="0" applyFont="1" applyFill="1" applyBorder="1" applyAlignment="1" applyProtection="1">
      <alignment horizontal="center" vertical="center" wrapText="1"/>
    </xf>
    <xf numFmtId="0" fontId="44" fillId="0" borderId="223"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shrinkToFit="1"/>
    </xf>
    <xf numFmtId="0" fontId="14" fillId="0" borderId="27" xfId="0" applyFont="1" applyFill="1" applyBorder="1" applyAlignment="1" applyProtection="1">
      <alignment horizontal="center" vertical="center" shrinkToFit="1"/>
    </xf>
    <xf numFmtId="0" fontId="14" fillId="0" borderId="53" xfId="0" applyFont="1" applyFill="1" applyBorder="1" applyAlignment="1" applyProtection="1">
      <alignment horizontal="center" vertical="center" wrapText="1" shrinkToFit="1"/>
    </xf>
    <xf numFmtId="0" fontId="14" fillId="0" borderId="54" xfId="0" applyFont="1" applyFill="1" applyBorder="1" applyAlignment="1" applyProtection="1">
      <alignment horizontal="center" vertical="center" wrapText="1" shrinkToFit="1"/>
    </xf>
    <xf numFmtId="0" fontId="14" fillId="0" borderId="2" xfId="0" applyFont="1" applyFill="1" applyBorder="1" applyAlignment="1" applyProtection="1">
      <alignment horizontal="center" vertical="center" wrapText="1" shrinkToFit="1"/>
    </xf>
    <xf numFmtId="0" fontId="11" fillId="0" borderId="4" xfId="0" applyFont="1" applyFill="1" applyBorder="1" applyAlignment="1" applyProtection="1">
      <alignment horizontal="center" vertical="center" shrinkToFit="1"/>
    </xf>
    <xf numFmtId="0" fontId="11" fillId="0" borderId="61" xfId="0" applyFont="1" applyFill="1" applyBorder="1" applyAlignment="1" applyProtection="1">
      <alignment horizontal="center" vertical="center" shrinkToFit="1"/>
    </xf>
    <xf numFmtId="0" fontId="11" fillId="0" borderId="17" xfId="0" applyFont="1" applyFill="1" applyBorder="1" applyAlignment="1" applyProtection="1">
      <alignment horizontal="center" vertical="center" shrinkToFit="1"/>
    </xf>
    <xf numFmtId="0" fontId="11" fillId="0" borderId="25" xfId="0" applyFont="1" applyFill="1" applyBorder="1" applyAlignment="1" applyProtection="1">
      <alignment horizontal="center" vertical="center" shrinkToFit="1"/>
    </xf>
    <xf numFmtId="0" fontId="11" fillId="0" borderId="330" xfId="0" applyFont="1" applyFill="1" applyBorder="1" applyAlignment="1" applyProtection="1">
      <alignment horizontal="center" vertical="center" wrapText="1"/>
    </xf>
    <xf numFmtId="0" fontId="11" fillId="0" borderId="332" xfId="0" applyFont="1" applyFill="1" applyBorder="1" applyAlignment="1" applyProtection="1">
      <alignment horizontal="center" vertical="center" wrapText="1"/>
    </xf>
    <xf numFmtId="0" fontId="11" fillId="0" borderId="333" xfId="0" applyFont="1" applyFill="1" applyBorder="1" applyAlignment="1" applyProtection="1">
      <alignment horizontal="center" vertical="center" wrapText="1"/>
    </xf>
    <xf numFmtId="0" fontId="11" fillId="0" borderId="28" xfId="0" applyFont="1" applyFill="1" applyBorder="1" applyAlignment="1" applyProtection="1">
      <alignment horizontal="center" vertical="center" wrapText="1"/>
    </xf>
    <xf numFmtId="0" fontId="11" fillId="0" borderId="34" xfId="0" applyFont="1" applyFill="1" applyBorder="1" applyAlignment="1" applyProtection="1">
      <alignment horizontal="center" vertical="center" wrapText="1"/>
    </xf>
    <xf numFmtId="0" fontId="11" fillId="0" borderId="21"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1" fillId="0" borderId="51" xfId="0" applyFont="1" applyFill="1" applyBorder="1" applyAlignment="1" applyProtection="1">
      <alignment horizontal="center" vertical="center" wrapText="1"/>
    </xf>
    <xf numFmtId="0" fontId="11" fillId="0" borderId="37" xfId="0" applyFont="1" applyFill="1" applyBorder="1" applyAlignment="1" applyProtection="1">
      <alignment horizontal="center" vertical="center" wrapText="1"/>
    </xf>
    <xf numFmtId="0" fontId="52" fillId="0" borderId="11" xfId="0" applyFont="1" applyFill="1" applyBorder="1" applyAlignment="1" applyProtection="1">
      <alignment horizontal="center" vertical="center" wrapText="1"/>
    </xf>
    <xf numFmtId="0" fontId="52" fillId="0" borderId="29" xfId="0" applyFont="1" applyFill="1" applyBorder="1" applyAlignment="1" applyProtection="1">
      <alignment horizontal="center" vertical="center" wrapText="1"/>
    </xf>
    <xf numFmtId="0" fontId="52" fillId="0" borderId="35" xfId="0" applyFont="1" applyFill="1" applyBorder="1" applyAlignment="1" applyProtection="1">
      <alignment horizontal="center" vertical="center" wrapText="1"/>
    </xf>
    <xf numFmtId="0" fontId="52" fillId="0" borderId="33" xfId="0" applyFont="1" applyFill="1" applyBorder="1" applyAlignment="1" applyProtection="1">
      <alignment horizontal="center" vertical="center" wrapText="1"/>
    </xf>
    <xf numFmtId="0" fontId="52" fillId="0" borderId="36" xfId="0" applyFont="1" applyFill="1" applyBorder="1" applyAlignment="1" applyProtection="1">
      <alignment horizontal="center" vertical="center" wrapText="1"/>
    </xf>
    <xf numFmtId="0" fontId="52" fillId="0" borderId="38" xfId="0" applyFont="1" applyFill="1" applyBorder="1" applyAlignment="1" applyProtection="1">
      <alignment horizontal="center" vertical="center" wrapText="1"/>
    </xf>
    <xf numFmtId="0" fontId="25" fillId="5" borderId="121" xfId="0" applyFont="1" applyFill="1" applyBorder="1" applyAlignment="1" applyProtection="1">
      <alignment horizontal="center" vertical="center" shrinkToFit="1"/>
      <protection locked="0"/>
    </xf>
    <xf numFmtId="2" fontId="44" fillId="2" borderId="19" xfId="0" applyNumberFormat="1" applyFont="1" applyFill="1" applyBorder="1" applyAlignment="1" applyProtection="1">
      <alignment horizontal="center" vertical="center" shrinkToFit="1"/>
    </xf>
    <xf numFmtId="2" fontId="44" fillId="2" borderId="16" xfId="0" applyNumberFormat="1" applyFont="1" applyFill="1" applyBorder="1" applyAlignment="1" applyProtection="1">
      <alignment horizontal="center" vertical="center" shrinkToFit="1"/>
    </xf>
    <xf numFmtId="2" fontId="44" fillId="2" borderId="21" xfId="0" applyNumberFormat="1" applyFont="1" applyFill="1" applyBorder="1" applyAlignment="1" applyProtection="1">
      <alignment horizontal="center" vertical="center" shrinkToFit="1"/>
    </xf>
    <xf numFmtId="2" fontId="44" fillId="2" borderId="15" xfId="0" applyNumberFormat="1" applyFont="1" applyFill="1" applyBorder="1" applyAlignment="1" applyProtection="1">
      <alignment horizontal="center" vertical="center" shrinkToFit="1"/>
    </xf>
    <xf numFmtId="2" fontId="44" fillId="2" borderId="20" xfId="0" applyNumberFormat="1" applyFont="1" applyFill="1" applyBorder="1" applyAlignment="1" applyProtection="1">
      <alignment horizontal="center" vertical="center" shrinkToFit="1"/>
    </xf>
    <xf numFmtId="2" fontId="44" fillId="2" borderId="13" xfId="0" applyNumberFormat="1" applyFont="1" applyFill="1" applyBorder="1" applyAlignment="1" applyProtection="1">
      <alignment horizontal="center" vertical="center" shrinkToFit="1"/>
    </xf>
    <xf numFmtId="0" fontId="25" fillId="5" borderId="308" xfId="0" applyFont="1" applyFill="1" applyBorder="1" applyAlignment="1" applyProtection="1">
      <alignment horizontal="center" vertical="center" shrinkToFit="1"/>
      <protection locked="0"/>
    </xf>
    <xf numFmtId="0" fontId="25" fillId="5" borderId="97" xfId="0" applyFont="1" applyFill="1" applyBorder="1" applyAlignment="1" applyProtection="1">
      <alignment horizontal="center" vertical="center" shrinkToFit="1"/>
      <protection locked="0"/>
    </xf>
    <xf numFmtId="0" fontId="25" fillId="5" borderId="292" xfId="0" applyFont="1" applyFill="1" applyBorder="1" applyAlignment="1" applyProtection="1">
      <alignment horizontal="center" vertical="center" shrinkToFit="1"/>
      <protection locked="0"/>
    </xf>
    <xf numFmtId="0" fontId="25" fillId="2" borderId="174" xfId="0" applyFont="1" applyFill="1" applyBorder="1" applyAlignment="1" applyProtection="1">
      <alignment horizontal="center" vertical="center" wrapText="1"/>
    </xf>
    <xf numFmtId="0" fontId="25" fillId="2" borderId="175" xfId="0" applyFont="1" applyFill="1" applyBorder="1" applyAlignment="1" applyProtection="1">
      <alignment horizontal="center" vertical="center" wrapText="1"/>
    </xf>
    <xf numFmtId="0" fontId="25" fillId="2" borderId="176" xfId="0" applyFont="1" applyFill="1" applyBorder="1" applyAlignment="1" applyProtection="1">
      <alignment horizontal="center" vertical="center" wrapText="1"/>
    </xf>
    <xf numFmtId="0" fontId="25" fillId="2" borderId="168" xfId="0" applyFont="1" applyFill="1" applyBorder="1" applyAlignment="1" applyProtection="1">
      <alignment horizontal="center" vertical="center" wrapText="1"/>
    </xf>
    <xf numFmtId="0" fontId="25" fillId="2" borderId="280" xfId="0" applyFont="1" applyFill="1" applyBorder="1" applyAlignment="1" applyProtection="1">
      <alignment horizontal="center" vertical="center" wrapText="1"/>
    </xf>
    <xf numFmtId="0" fontId="25" fillId="2" borderId="158" xfId="0" applyFont="1" applyFill="1" applyBorder="1" applyAlignment="1" applyProtection="1">
      <alignment horizontal="center" vertical="center" wrapText="1"/>
    </xf>
    <xf numFmtId="0" fontId="25" fillId="2" borderId="177" xfId="0" applyFont="1" applyFill="1" applyBorder="1" applyAlignment="1" applyProtection="1">
      <alignment horizontal="center" vertical="center" wrapText="1"/>
    </xf>
    <xf numFmtId="0" fontId="25" fillId="2" borderId="178" xfId="0" applyFont="1" applyFill="1" applyBorder="1" applyAlignment="1" applyProtection="1">
      <alignment horizontal="center" vertical="center" wrapText="1"/>
    </xf>
    <xf numFmtId="0" fontId="25" fillId="2" borderId="179" xfId="0" applyFont="1" applyFill="1" applyBorder="1" applyAlignment="1" applyProtection="1">
      <alignment horizontal="center" vertical="center" wrapText="1"/>
    </xf>
    <xf numFmtId="0" fontId="25" fillId="5" borderId="382" xfId="0" applyFont="1" applyFill="1" applyBorder="1" applyAlignment="1" applyProtection="1">
      <alignment horizontal="center" vertical="center" shrinkToFit="1"/>
      <protection locked="0"/>
    </xf>
    <xf numFmtId="0" fontId="25" fillId="5" borderId="192" xfId="0" applyFont="1" applyFill="1" applyBorder="1" applyAlignment="1" applyProtection="1">
      <alignment horizontal="center" vertical="center" shrinkToFit="1"/>
      <protection locked="0"/>
    </xf>
    <xf numFmtId="0" fontId="25" fillId="5" borderId="377" xfId="0" applyFont="1" applyFill="1" applyBorder="1" applyAlignment="1" applyProtection="1">
      <alignment horizontal="center" vertical="center" shrinkToFit="1"/>
      <protection locked="0"/>
    </xf>
    <xf numFmtId="0" fontId="26" fillId="0" borderId="357" xfId="0" applyNumberFormat="1" applyFont="1" applyFill="1" applyBorder="1" applyAlignment="1" applyProtection="1">
      <alignment horizontal="center" vertical="center" shrinkToFit="1"/>
    </xf>
    <xf numFmtId="0" fontId="26" fillId="0" borderId="298" xfId="0" applyNumberFormat="1" applyFont="1" applyFill="1" applyBorder="1" applyAlignment="1" applyProtection="1">
      <alignment horizontal="center" vertical="center" shrinkToFit="1"/>
    </xf>
    <xf numFmtId="0" fontId="26" fillId="0" borderId="211" xfId="0" applyNumberFormat="1" applyFont="1" applyFill="1" applyBorder="1" applyAlignment="1" applyProtection="1">
      <alignment horizontal="center" vertical="center" shrinkToFit="1"/>
    </xf>
    <xf numFmtId="0" fontId="25" fillId="2" borderId="283" xfId="0" applyFont="1" applyFill="1" applyBorder="1" applyAlignment="1" applyProtection="1">
      <alignment horizontal="left" vertical="center" shrinkToFit="1"/>
    </xf>
    <xf numFmtId="0" fontId="25" fillId="2" borderId="264" xfId="0" applyFont="1" applyFill="1" applyBorder="1" applyAlignment="1" applyProtection="1">
      <alignment horizontal="left" vertical="center" shrinkToFit="1"/>
    </xf>
    <xf numFmtId="0" fontId="25" fillId="2" borderId="265" xfId="0" applyFont="1" applyFill="1" applyBorder="1" applyAlignment="1" applyProtection="1">
      <alignment horizontal="left" vertical="center" shrinkToFit="1"/>
    </xf>
    <xf numFmtId="0" fontId="25" fillId="2" borderId="361" xfId="0" applyFont="1" applyFill="1" applyBorder="1" applyAlignment="1" applyProtection="1">
      <alignment horizontal="center" vertical="center" shrinkToFit="1"/>
    </xf>
    <xf numFmtId="0" fontId="25" fillId="2" borderId="287" xfId="0" applyFont="1" applyFill="1" applyBorder="1" applyAlignment="1" applyProtection="1">
      <alignment horizontal="center" vertical="center" shrinkToFit="1"/>
    </xf>
    <xf numFmtId="0" fontId="25" fillId="2" borderId="271" xfId="0" applyFont="1" applyFill="1" applyBorder="1" applyAlignment="1" applyProtection="1">
      <alignment horizontal="center" vertical="center" shrinkToFit="1"/>
    </xf>
    <xf numFmtId="0" fontId="25" fillId="5" borderId="271" xfId="0" applyFont="1" applyFill="1" applyBorder="1" applyAlignment="1" applyProtection="1">
      <alignment horizontal="center" vertical="center" shrinkToFit="1"/>
      <protection locked="0"/>
    </xf>
    <xf numFmtId="0" fontId="25" fillId="5" borderId="301" xfId="0" applyFont="1" applyFill="1" applyBorder="1" applyAlignment="1" applyProtection="1">
      <alignment horizontal="center" vertical="center" shrinkToFit="1"/>
      <protection locked="0"/>
    </xf>
    <xf numFmtId="0" fontId="25" fillId="5" borderId="302" xfId="0" applyFont="1" applyFill="1" applyBorder="1" applyAlignment="1" applyProtection="1">
      <alignment horizontal="center" vertical="center" shrinkToFit="1"/>
      <protection locked="0"/>
    </xf>
    <xf numFmtId="0" fontId="44" fillId="2" borderId="388" xfId="0" applyFont="1" applyFill="1" applyBorder="1" applyAlignment="1" applyProtection="1">
      <alignment horizontal="center" vertical="center" shrinkToFit="1"/>
    </xf>
    <xf numFmtId="0" fontId="44" fillId="2" borderId="297" xfId="0" applyFont="1" applyFill="1" applyBorder="1" applyAlignment="1" applyProtection="1">
      <alignment horizontal="center" vertical="center" shrinkToFit="1"/>
    </xf>
    <xf numFmtId="0" fontId="44" fillId="2" borderId="299" xfId="0" applyFont="1" applyFill="1" applyBorder="1" applyAlignment="1" applyProtection="1">
      <alignment horizontal="center" vertical="center" shrinkToFit="1"/>
    </xf>
    <xf numFmtId="0" fontId="25" fillId="2" borderId="275" xfId="0" applyFont="1" applyFill="1" applyBorder="1" applyAlignment="1" applyProtection="1">
      <alignment horizontal="center" vertical="center" shrinkToFit="1"/>
    </xf>
    <xf numFmtId="0" fontId="25" fillId="5" borderId="265" xfId="0" applyFont="1" applyFill="1" applyBorder="1" applyAlignment="1" applyProtection="1">
      <alignment horizontal="center" vertical="center" shrinkToFit="1"/>
      <protection locked="0"/>
    </xf>
    <xf numFmtId="0" fontId="25" fillId="5" borderId="294" xfId="0" applyFont="1" applyFill="1" applyBorder="1" applyAlignment="1" applyProtection="1">
      <alignment horizontal="center" vertical="center" shrinkToFit="1"/>
      <protection locked="0"/>
    </xf>
    <xf numFmtId="0" fontId="25" fillId="5" borderId="283" xfId="0" applyFont="1" applyFill="1" applyBorder="1" applyAlignment="1" applyProtection="1">
      <alignment horizontal="center" vertical="center" shrinkToFit="1"/>
      <protection locked="0"/>
    </xf>
    <xf numFmtId="0" fontId="44" fillId="3" borderId="33" xfId="0" applyFont="1" applyFill="1" applyBorder="1" applyAlignment="1" applyProtection="1">
      <alignment horizontal="center" vertical="center" wrapText="1"/>
    </xf>
    <xf numFmtId="0" fontId="44" fillId="3" borderId="38" xfId="0" applyFont="1" applyFill="1" applyBorder="1" applyAlignment="1" applyProtection="1">
      <alignment horizontal="center" vertical="center" wrapText="1"/>
    </xf>
    <xf numFmtId="0" fontId="25" fillId="3" borderId="345" xfId="0" applyFont="1" applyFill="1" applyBorder="1" applyAlignment="1" applyProtection="1">
      <alignment horizontal="center" vertical="center" shrinkToFit="1"/>
    </xf>
    <xf numFmtId="0" fontId="25" fillId="3" borderId="134" xfId="0" applyFont="1" applyFill="1" applyBorder="1" applyAlignment="1" applyProtection="1">
      <alignment horizontal="center" vertical="center" shrinkToFit="1"/>
    </xf>
    <xf numFmtId="0" fontId="25" fillId="3" borderId="124" xfId="0" applyFont="1" applyFill="1" applyBorder="1" applyAlignment="1" applyProtection="1">
      <alignment horizontal="center" vertical="center" shrinkToFit="1"/>
    </xf>
    <xf numFmtId="0" fontId="25" fillId="3" borderId="95" xfId="0" applyFont="1" applyFill="1" applyBorder="1" applyAlignment="1" applyProtection="1">
      <alignment horizontal="center" vertical="center" shrinkToFit="1"/>
    </xf>
    <xf numFmtId="0" fontId="44" fillId="0" borderId="61" xfId="0" applyFont="1" applyFill="1" applyBorder="1" applyAlignment="1" applyProtection="1">
      <alignment horizontal="center" vertical="center" wrapText="1"/>
    </xf>
    <xf numFmtId="0" fontId="44" fillId="0" borderId="62" xfId="0" applyFont="1" applyFill="1" applyBorder="1" applyAlignment="1" applyProtection="1">
      <alignment horizontal="center" vertical="center" wrapText="1"/>
    </xf>
    <xf numFmtId="0" fontId="25" fillId="3" borderId="257" xfId="0" applyFont="1" applyFill="1" applyBorder="1" applyAlignment="1" applyProtection="1">
      <alignment horizontal="center" vertical="center" shrinkToFit="1"/>
    </xf>
    <xf numFmtId="0" fontId="49" fillId="0" borderId="35" xfId="0" applyFont="1" applyFill="1" applyBorder="1" applyAlignment="1" applyProtection="1">
      <alignment horizontal="center" vertical="center" wrapText="1"/>
    </xf>
    <xf numFmtId="0" fontId="44" fillId="0" borderId="6" xfId="0" applyFont="1" applyFill="1" applyBorder="1" applyAlignment="1" applyProtection="1">
      <alignment horizontal="center" vertical="center"/>
    </xf>
    <xf numFmtId="0" fontId="44" fillId="0" borderId="9" xfId="0" applyFont="1" applyFill="1" applyBorder="1" applyAlignment="1" applyProtection="1">
      <alignment horizontal="center" vertical="center"/>
    </xf>
    <xf numFmtId="0" fontId="44" fillId="0" borderId="6" xfId="0" applyFont="1" applyFill="1" applyBorder="1" applyAlignment="1" applyProtection="1">
      <alignment horizontal="center" vertical="center" wrapText="1" shrinkToFit="1"/>
    </xf>
    <xf numFmtId="0" fontId="44" fillId="0" borderId="69" xfId="0" applyFont="1" applyFill="1" applyBorder="1" applyAlignment="1" applyProtection="1">
      <alignment horizontal="center" vertical="center" wrapText="1" shrinkToFit="1"/>
    </xf>
    <xf numFmtId="0" fontId="44" fillId="0" borderId="17" xfId="0" applyFont="1" applyFill="1" applyBorder="1" applyAlignment="1" applyProtection="1">
      <alignment horizontal="center" vertical="center" shrinkToFit="1"/>
    </xf>
    <xf numFmtId="0" fontId="44" fillId="0" borderId="18" xfId="0" applyFont="1" applyFill="1" applyBorder="1" applyAlignment="1" applyProtection="1">
      <alignment horizontal="center" vertical="center" shrinkToFit="1"/>
    </xf>
    <xf numFmtId="0" fontId="44" fillId="0" borderId="31" xfId="0" applyFont="1" applyFill="1" applyBorder="1" applyAlignment="1" applyProtection="1">
      <alignment horizontal="center" vertical="center" shrinkToFit="1"/>
    </xf>
    <xf numFmtId="0" fontId="44" fillId="0" borderId="108" xfId="0" applyFont="1" applyFill="1" applyBorder="1" applyAlignment="1" applyProtection="1">
      <alignment horizontal="center" vertical="center"/>
    </xf>
    <xf numFmtId="0" fontId="44" fillId="0" borderId="106" xfId="0" applyFont="1" applyFill="1" applyBorder="1" applyAlignment="1" applyProtection="1">
      <alignment horizontal="center" vertical="center"/>
    </xf>
    <xf numFmtId="0" fontId="44" fillId="0" borderId="105" xfId="0" applyFont="1" applyFill="1" applyBorder="1" applyAlignment="1" applyProtection="1">
      <alignment horizontal="center" vertical="center"/>
    </xf>
    <xf numFmtId="0" fontId="49" fillId="0" borderId="53" xfId="0" applyFont="1" applyFill="1" applyBorder="1" applyAlignment="1" applyProtection="1">
      <alignment horizontal="center" vertical="center" wrapText="1" shrinkToFit="1"/>
    </xf>
    <xf numFmtId="0" fontId="49" fillId="0" borderId="54" xfId="0" applyFont="1" applyFill="1" applyBorder="1" applyAlignment="1" applyProtection="1">
      <alignment horizontal="center" vertical="center" wrapText="1" shrinkToFit="1"/>
    </xf>
    <xf numFmtId="0" fontId="44" fillId="0" borderId="53" xfId="0" applyFont="1" applyFill="1" applyBorder="1" applyAlignment="1" applyProtection="1">
      <alignment horizontal="center" vertical="center" wrapText="1"/>
    </xf>
    <xf numFmtId="0" fontId="44" fillId="0" borderId="54" xfId="0" applyFont="1" applyFill="1" applyBorder="1" applyAlignment="1" applyProtection="1">
      <alignment horizontal="center" vertical="center" wrapText="1"/>
    </xf>
    <xf numFmtId="0" fontId="44" fillId="0" borderId="2" xfId="0" applyFont="1" applyFill="1" applyBorder="1" applyAlignment="1" applyProtection="1">
      <alignment horizontal="center" vertical="center" wrapText="1"/>
    </xf>
    <xf numFmtId="0" fontId="44" fillId="0" borderId="11" xfId="0" applyFont="1" applyFill="1" applyBorder="1" applyAlignment="1" applyProtection="1">
      <alignment horizontal="center" vertical="center"/>
    </xf>
    <xf numFmtId="0" fontId="44" fillId="0" borderId="34" xfId="0" applyFont="1" applyFill="1" applyBorder="1" applyAlignment="1" applyProtection="1">
      <alignment horizontal="center" vertical="center"/>
    </xf>
    <xf numFmtId="0" fontId="44" fillId="0" borderId="29" xfId="0" applyFont="1" applyFill="1" applyBorder="1" applyAlignment="1" applyProtection="1">
      <alignment horizontal="center" vertical="center"/>
    </xf>
    <xf numFmtId="0" fontId="44" fillId="0" borderId="83" xfId="0" applyFont="1" applyFill="1" applyBorder="1" applyAlignment="1" applyProtection="1">
      <alignment horizontal="center" vertical="center"/>
    </xf>
    <xf numFmtId="0" fontId="44" fillId="0" borderId="10" xfId="0" applyFont="1" applyFill="1" applyBorder="1" applyAlignment="1" applyProtection="1">
      <alignment horizontal="center" vertical="center"/>
    </xf>
    <xf numFmtId="0" fontId="44" fillId="0" borderId="11" xfId="0" applyFont="1" applyFill="1" applyBorder="1" applyAlignment="1" applyProtection="1">
      <alignment horizontal="center" vertical="center" wrapText="1"/>
    </xf>
    <xf numFmtId="0" fontId="44" fillId="0" borderId="34" xfId="0" applyFont="1" applyFill="1" applyBorder="1" applyAlignment="1" applyProtection="1">
      <alignment horizontal="center" vertical="center" wrapText="1"/>
    </xf>
    <xf numFmtId="0" fontId="44" fillId="0" borderId="29" xfId="0" applyFont="1" applyFill="1" applyBorder="1" applyAlignment="1" applyProtection="1">
      <alignment horizontal="center" vertical="center" wrapText="1"/>
    </xf>
    <xf numFmtId="0" fontId="44" fillId="0" borderId="53" xfId="0" applyFont="1" applyFill="1" applyBorder="1" applyAlignment="1" applyProtection="1">
      <alignment horizontal="center" vertical="center"/>
    </xf>
    <xf numFmtId="0" fontId="44" fillId="0" borderId="54" xfId="0" applyFont="1" applyFill="1" applyBorder="1" applyAlignment="1" applyProtection="1">
      <alignment horizontal="center" vertical="center"/>
    </xf>
    <xf numFmtId="0" fontId="44" fillId="3" borderId="28" xfId="0" applyFont="1" applyFill="1" applyBorder="1" applyAlignment="1" applyProtection="1">
      <alignment horizontal="center" vertical="center" wrapText="1"/>
    </xf>
    <xf numFmtId="0" fontId="44" fillId="3" borderId="29" xfId="0" applyFont="1" applyFill="1" applyBorder="1" applyAlignment="1" applyProtection="1">
      <alignment horizontal="center" vertical="center" wrapText="1"/>
    </xf>
    <xf numFmtId="0" fontId="25" fillId="2" borderId="259" xfId="0" applyFont="1" applyFill="1" applyBorder="1" applyAlignment="1" applyProtection="1">
      <alignment horizontal="center" vertical="center"/>
    </xf>
    <xf numFmtId="0" fontId="25" fillId="2" borderId="261" xfId="0" applyFont="1" applyFill="1" applyBorder="1" applyAlignment="1" applyProtection="1">
      <alignment horizontal="center" vertical="center"/>
    </xf>
    <xf numFmtId="0" fontId="25" fillId="2" borderId="289" xfId="0" applyFont="1" applyFill="1" applyBorder="1" applyAlignment="1" applyProtection="1">
      <alignment horizontal="center" vertical="center"/>
    </xf>
    <xf numFmtId="0" fontId="25" fillId="0" borderId="4" xfId="0" applyFont="1" applyFill="1" applyBorder="1" applyAlignment="1" applyProtection="1">
      <alignment horizontal="center" vertical="center" shrinkToFit="1"/>
    </xf>
    <xf numFmtId="0" fontId="25" fillId="0" borderId="83" xfId="0" applyFont="1" applyFill="1" applyBorder="1" applyAlignment="1" applyProtection="1">
      <alignment horizontal="center" vertical="center" shrinkToFit="1"/>
    </xf>
    <xf numFmtId="0" fontId="25" fillId="0" borderId="10" xfId="0" applyFont="1" applyFill="1" applyBorder="1" applyAlignment="1" applyProtection="1">
      <alignment horizontal="center" vertical="center" shrinkToFit="1"/>
    </xf>
    <xf numFmtId="0" fontId="25" fillId="0" borderId="43" xfId="0" applyFont="1" applyFill="1" applyBorder="1" applyAlignment="1" applyProtection="1">
      <alignment horizontal="center" vertical="center" shrinkToFit="1"/>
    </xf>
    <xf numFmtId="0" fontId="40" fillId="0" borderId="83" xfId="0" applyFont="1" applyFill="1" applyBorder="1" applyAlignment="1" applyProtection="1">
      <alignment horizontal="center" vertical="center" shrinkToFit="1"/>
    </xf>
    <xf numFmtId="0" fontId="25" fillId="0" borderId="19" xfId="0" applyFont="1" applyFill="1" applyBorder="1" applyAlignment="1" applyProtection="1">
      <alignment horizontal="center" vertical="center" wrapText="1" shrinkToFit="1"/>
    </xf>
    <xf numFmtId="0" fontId="25" fillId="0" borderId="21" xfId="0" applyFont="1" applyFill="1" applyBorder="1" applyAlignment="1" applyProtection="1">
      <alignment horizontal="center" vertical="center" wrapText="1" shrinkToFit="1"/>
    </xf>
    <xf numFmtId="0" fontId="25" fillId="0" borderId="32" xfId="0" applyFont="1" applyFill="1" applyBorder="1" applyAlignment="1" applyProtection="1">
      <alignment horizontal="center" vertical="center" wrapText="1" shrinkToFit="1"/>
    </xf>
    <xf numFmtId="0" fontId="9" fillId="3" borderId="16" xfId="0" applyFont="1" applyFill="1" applyBorder="1" applyAlignment="1" applyProtection="1">
      <alignment horizontal="center" vertical="center" shrinkToFit="1"/>
    </xf>
    <xf numFmtId="0" fontId="9" fillId="3" borderId="8" xfId="0" applyFont="1" applyFill="1" applyBorder="1" applyAlignment="1" applyProtection="1">
      <alignment horizontal="center" vertical="center" shrinkToFit="1"/>
    </xf>
    <xf numFmtId="0" fontId="25" fillId="0" borderId="106" xfId="0" applyFont="1" applyFill="1" applyBorder="1" applyAlignment="1" applyProtection="1">
      <alignment horizontal="center" vertical="center" wrapText="1" shrinkToFit="1"/>
    </xf>
    <xf numFmtId="0" fontId="25" fillId="0" borderId="103" xfId="0" applyFont="1" applyFill="1" applyBorder="1" applyAlignment="1" applyProtection="1">
      <alignment horizontal="center" vertical="center" wrapText="1" shrinkToFit="1"/>
    </xf>
    <xf numFmtId="0" fontId="25" fillId="0" borderId="66" xfId="0" applyFont="1" applyFill="1" applyBorder="1" applyAlignment="1" applyProtection="1">
      <alignment horizontal="center" vertical="center" wrapText="1" shrinkToFit="1"/>
    </xf>
    <xf numFmtId="0" fontId="44" fillId="0" borderId="43" xfId="0" applyFont="1" applyFill="1" applyBorder="1" applyAlignment="1" applyProtection="1">
      <alignment horizontal="center" vertical="center"/>
    </xf>
    <xf numFmtId="0" fontId="25" fillId="3" borderId="254" xfId="0" applyFont="1" applyFill="1" applyBorder="1" applyAlignment="1" applyProtection="1">
      <alignment horizontal="center" vertical="center"/>
    </xf>
    <xf numFmtId="0" fontId="25" fillId="3" borderId="258" xfId="0" applyFont="1" applyFill="1" applyBorder="1" applyAlignment="1" applyProtection="1">
      <alignment horizontal="center" vertical="center"/>
    </xf>
    <xf numFmtId="2" fontId="25" fillId="2" borderId="28" xfId="0" applyNumberFormat="1" applyFont="1" applyFill="1" applyBorder="1" applyAlignment="1" applyProtection="1">
      <alignment horizontal="center" vertical="center" shrinkToFit="1"/>
    </xf>
    <xf numFmtId="2" fontId="25" fillId="2" borderId="21" xfId="0" applyNumberFormat="1" applyFont="1" applyFill="1" applyBorder="1" applyAlignment="1" applyProtection="1">
      <alignment horizontal="center" vertical="center" shrinkToFit="1"/>
    </xf>
    <xf numFmtId="0" fontId="44" fillId="3" borderId="34" xfId="0" applyFont="1" applyFill="1" applyBorder="1" applyAlignment="1" applyProtection="1">
      <alignment horizontal="center" vertical="center" wrapText="1"/>
    </xf>
    <xf numFmtId="0" fontId="44" fillId="3" borderId="21" xfId="0" applyFont="1" applyFill="1" applyBorder="1" applyAlignment="1" applyProtection="1">
      <alignment horizontal="center" vertical="center" wrapText="1"/>
    </xf>
    <xf numFmtId="0" fontId="44" fillId="3" borderId="0" xfId="0" applyFont="1" applyFill="1" applyBorder="1" applyAlignment="1" applyProtection="1">
      <alignment horizontal="center" vertical="center" wrapText="1"/>
    </xf>
    <xf numFmtId="0" fontId="44" fillId="3" borderId="51" xfId="0" applyFont="1" applyFill="1" applyBorder="1" applyAlignment="1" applyProtection="1">
      <alignment horizontal="center" vertical="center" wrapText="1"/>
    </xf>
    <xf numFmtId="0" fontId="44" fillId="3" borderId="37" xfId="0" applyFont="1" applyFill="1" applyBorder="1" applyAlignment="1" applyProtection="1">
      <alignment horizontal="center" vertical="center" wrapText="1"/>
    </xf>
    <xf numFmtId="0" fontId="25" fillId="3" borderId="93" xfId="0" applyFont="1" applyFill="1" applyBorder="1" applyAlignment="1" applyProtection="1">
      <alignment horizontal="center" vertical="center" shrinkToFit="1"/>
    </xf>
    <xf numFmtId="0" fontId="25" fillId="3" borderId="253" xfId="0" applyFont="1" applyFill="1" applyBorder="1" applyAlignment="1" applyProtection="1">
      <alignment horizontal="center" vertical="center" shrinkToFit="1"/>
    </xf>
    <xf numFmtId="0" fontId="25" fillId="3" borderId="51" xfId="0" applyFont="1" applyFill="1" applyBorder="1" applyAlignment="1" applyProtection="1">
      <alignment horizontal="center" vertical="center" shrinkToFit="1"/>
    </xf>
    <xf numFmtId="0" fontId="25" fillId="3" borderId="256" xfId="0" applyFont="1" applyFill="1" applyBorder="1" applyAlignment="1" applyProtection="1">
      <alignment horizontal="center" vertical="center" shrinkToFit="1"/>
    </xf>
    <xf numFmtId="0" fontId="25" fillId="3" borderId="133" xfId="0" applyFont="1" applyFill="1" applyBorder="1" applyAlignment="1" applyProtection="1">
      <alignment horizontal="center" vertical="center" shrinkToFit="1"/>
    </xf>
    <xf numFmtId="0" fontId="25" fillId="3" borderId="131" xfId="0" applyFont="1" applyFill="1" applyBorder="1" applyAlignment="1" applyProtection="1">
      <alignment horizontal="center" vertical="center" shrinkToFit="1"/>
    </xf>
    <xf numFmtId="0" fontId="25" fillId="3" borderId="132" xfId="0" applyFont="1" applyFill="1" applyBorder="1" applyAlignment="1" applyProtection="1">
      <alignment horizontal="center" vertical="center" shrinkToFit="1"/>
    </xf>
    <xf numFmtId="0" fontId="25" fillId="2" borderId="314" xfId="0" applyFont="1" applyFill="1" applyBorder="1" applyAlignment="1" applyProtection="1">
      <alignment horizontal="left" vertical="center" shrinkToFit="1"/>
    </xf>
    <xf numFmtId="0" fontId="25" fillId="2" borderId="178" xfId="0" applyFont="1" applyFill="1" applyBorder="1" applyAlignment="1" applyProtection="1">
      <alignment horizontal="left" vertical="center" shrinkToFit="1"/>
    </xf>
    <xf numFmtId="0" fontId="25" fillId="2" borderId="313" xfId="0" applyFont="1" applyFill="1" applyBorder="1" applyAlignment="1" applyProtection="1">
      <alignment horizontal="left" vertical="center" shrinkToFit="1"/>
    </xf>
    <xf numFmtId="0" fontId="25" fillId="2" borderId="371" xfId="0" applyFont="1" applyFill="1" applyBorder="1" applyAlignment="1" applyProtection="1">
      <alignment horizontal="left" vertical="center" shrinkToFit="1"/>
    </xf>
    <xf numFmtId="0" fontId="25" fillId="2" borderId="175" xfId="0" applyFont="1" applyFill="1" applyBorder="1" applyAlignment="1" applyProtection="1">
      <alignment horizontal="left" vertical="center" shrinkToFit="1"/>
    </xf>
    <xf numFmtId="0" fontId="25" fillId="2" borderId="372" xfId="0" applyFont="1" applyFill="1" applyBorder="1" applyAlignment="1" applyProtection="1">
      <alignment horizontal="left" vertical="center" shrinkToFit="1"/>
    </xf>
    <xf numFmtId="0" fontId="25" fillId="3" borderId="37" xfId="0" applyFont="1" applyFill="1" applyBorder="1" applyAlignment="1" applyProtection="1">
      <alignment horizontal="center" vertical="center" shrinkToFit="1"/>
    </xf>
    <xf numFmtId="0" fontId="25" fillId="3" borderId="108" xfId="0" applyFont="1" applyFill="1" applyBorder="1" applyAlignment="1" applyProtection="1">
      <alignment horizontal="center" vertical="center" shrinkToFit="1"/>
    </xf>
    <xf numFmtId="0" fontId="47" fillId="2" borderId="0" xfId="0" applyFont="1" applyFill="1" applyAlignment="1" applyProtection="1">
      <alignment horizontal="right" vertical="center"/>
    </xf>
    <xf numFmtId="0" fontId="25" fillId="3" borderId="212" xfId="0" applyFont="1" applyFill="1" applyBorder="1" applyAlignment="1" applyProtection="1">
      <alignment horizontal="center" vertical="center" wrapText="1"/>
    </xf>
    <xf numFmtId="0" fontId="25" fillId="3" borderId="218" xfId="0" applyFont="1" applyFill="1" applyBorder="1" applyAlignment="1" applyProtection="1">
      <alignment horizontal="center" vertical="center" wrapText="1"/>
    </xf>
    <xf numFmtId="0" fontId="25" fillId="3" borderId="252" xfId="0" applyFont="1" applyFill="1" applyBorder="1" applyAlignment="1" applyProtection="1">
      <alignment horizontal="center" vertical="center" wrapText="1"/>
    </xf>
    <xf numFmtId="0" fontId="25" fillId="3" borderId="60" xfId="0" applyFont="1" applyFill="1" applyBorder="1" applyAlignment="1" applyProtection="1">
      <alignment horizontal="center" vertical="center" wrapText="1"/>
    </xf>
    <xf numFmtId="0" fontId="25" fillId="3" borderId="249" xfId="0" applyFont="1" applyFill="1" applyBorder="1" applyAlignment="1" applyProtection="1">
      <alignment horizontal="center" vertical="center" wrapText="1"/>
    </xf>
    <xf numFmtId="0" fontId="25" fillId="3" borderId="250" xfId="0" applyFont="1" applyFill="1" applyBorder="1" applyAlignment="1" applyProtection="1">
      <alignment horizontal="center" vertical="center" wrapText="1"/>
    </xf>
    <xf numFmtId="0" fontId="25" fillId="3" borderId="251" xfId="0" applyFont="1" applyFill="1" applyBorder="1" applyAlignment="1" applyProtection="1">
      <alignment horizontal="center" vertical="center" wrapText="1"/>
    </xf>
    <xf numFmtId="0" fontId="25" fillId="2" borderId="337" xfId="0" applyFont="1" applyFill="1" applyBorder="1" applyAlignment="1" applyProtection="1">
      <alignment horizontal="center" vertical="center" wrapText="1" shrinkToFit="1"/>
    </xf>
    <xf numFmtId="0" fontId="25" fillId="2" borderId="6" xfId="0" applyFont="1" applyFill="1" applyBorder="1" applyAlignment="1" applyProtection="1">
      <alignment horizontal="center" vertical="center" wrapText="1" shrinkToFit="1"/>
    </xf>
    <xf numFmtId="0" fontId="25" fillId="2" borderId="312" xfId="0" applyFont="1" applyFill="1" applyBorder="1" applyAlignment="1" applyProtection="1">
      <alignment horizontal="center" vertical="center" wrapText="1" shrinkToFit="1"/>
    </xf>
    <xf numFmtId="0" fontId="25" fillId="2" borderId="179" xfId="0" applyFont="1" applyFill="1" applyBorder="1" applyAlignment="1" applyProtection="1">
      <alignment horizontal="center" vertical="center" wrapText="1" shrinkToFit="1"/>
    </xf>
    <xf numFmtId="0" fontId="25" fillId="5" borderId="59" xfId="0" applyFont="1" applyFill="1" applyBorder="1" applyAlignment="1" applyProtection="1">
      <alignment horizontal="center" vertical="center" shrinkToFit="1"/>
      <protection locked="0"/>
    </xf>
    <xf numFmtId="0" fontId="25" fillId="0" borderId="59" xfId="0" applyFont="1" applyBorder="1" applyAlignment="1" applyProtection="1">
      <alignment horizontal="center" vertical="center" shrinkToFit="1"/>
    </xf>
    <xf numFmtId="0" fontId="25" fillId="2" borderId="278" xfId="0" applyFont="1" applyFill="1" applyBorder="1" applyAlignment="1" applyProtection="1">
      <alignment horizontal="center" vertical="center" shrinkToFit="1"/>
    </xf>
    <xf numFmtId="0" fontId="25" fillId="2" borderId="158" xfId="0" applyFont="1" applyFill="1" applyBorder="1" applyAlignment="1" applyProtection="1">
      <alignment horizontal="center" vertical="center" shrinkToFit="1"/>
    </xf>
    <xf numFmtId="0" fontId="25" fillId="2" borderId="168" xfId="0" applyFont="1" applyFill="1" applyBorder="1" applyAlignment="1" applyProtection="1">
      <alignment horizontal="center" vertical="center" shrinkToFit="1"/>
    </xf>
    <xf numFmtId="0" fontId="25" fillId="2" borderId="279" xfId="0" applyFont="1" applyFill="1" applyBorder="1" applyAlignment="1" applyProtection="1">
      <alignment horizontal="center" vertical="center" shrinkToFit="1"/>
    </xf>
    <xf numFmtId="0" fontId="47" fillId="2" borderId="0" xfId="0" applyFont="1" applyFill="1" applyAlignment="1" applyProtection="1">
      <alignment horizontal="center" vertical="center"/>
    </xf>
    <xf numFmtId="0" fontId="9" fillId="3" borderId="6" xfId="0" applyFont="1" applyFill="1" applyBorder="1" applyAlignment="1" applyProtection="1">
      <alignment horizontal="center" vertical="center" shrinkToFit="1"/>
    </xf>
    <xf numFmtId="176" fontId="16" fillId="0" borderId="6" xfId="1" applyNumberFormat="1" applyFont="1" applyFill="1" applyBorder="1" applyAlignment="1" applyProtection="1">
      <alignment horizontal="center" vertical="center" shrinkToFit="1"/>
    </xf>
    <xf numFmtId="176" fontId="16" fillId="0" borderId="9" xfId="1" applyNumberFormat="1" applyFont="1" applyFill="1" applyBorder="1" applyAlignment="1" applyProtection="1">
      <alignment horizontal="center" vertical="center" shrinkToFit="1"/>
    </xf>
    <xf numFmtId="176" fontId="16" fillId="0" borderId="8" xfId="1" applyNumberFormat="1" applyFont="1" applyFill="1" applyBorder="1" applyAlignment="1" applyProtection="1">
      <alignment horizontal="center" vertical="center" shrinkToFit="1"/>
    </xf>
    <xf numFmtId="0" fontId="9" fillId="3" borderId="19" xfId="0" applyFont="1" applyFill="1" applyBorder="1" applyAlignment="1" applyProtection="1">
      <alignment horizontal="center" vertical="center" shrinkToFit="1"/>
    </xf>
    <xf numFmtId="0" fontId="9" fillId="3" borderId="31" xfId="0" applyFont="1" applyFill="1" applyBorder="1" applyAlignment="1" applyProtection="1">
      <alignment horizontal="center" vertical="center" shrinkToFit="1"/>
    </xf>
    <xf numFmtId="0" fontId="9" fillId="0" borderId="174" xfId="0" applyFont="1" applyBorder="1" applyAlignment="1" applyProtection="1">
      <alignment horizontal="center" vertical="center"/>
    </xf>
    <xf numFmtId="0" fontId="9" fillId="0" borderId="177" xfId="0" applyFont="1" applyBorder="1" applyAlignment="1" applyProtection="1">
      <alignment horizontal="center" vertical="center"/>
    </xf>
    <xf numFmtId="196" fontId="16" fillId="2" borderId="6" xfId="1" applyNumberFormat="1" applyFont="1" applyFill="1" applyBorder="1" applyAlignment="1" applyProtection="1">
      <alignment horizontal="right" vertical="center" shrinkToFit="1"/>
    </xf>
    <xf numFmtId="196" fontId="16" fillId="2" borderId="9" xfId="1" applyNumberFormat="1" applyFont="1" applyFill="1" applyBorder="1" applyAlignment="1" applyProtection="1">
      <alignment horizontal="right" vertical="center" shrinkToFit="1"/>
    </xf>
    <xf numFmtId="196" fontId="16" fillId="2" borderId="8" xfId="1" applyNumberFormat="1" applyFont="1" applyFill="1" applyBorder="1" applyAlignment="1" applyProtection="1">
      <alignment horizontal="right" vertical="center" shrinkToFit="1"/>
    </xf>
    <xf numFmtId="0" fontId="9" fillId="0" borderId="75" xfId="0" applyFont="1" applyBorder="1" applyAlignment="1" applyProtection="1">
      <alignment horizontal="center" vertical="center"/>
    </xf>
    <xf numFmtId="0" fontId="9" fillId="0" borderId="77" xfId="0" applyFont="1" applyBorder="1" applyAlignment="1" applyProtection="1">
      <alignment horizontal="center" vertical="center"/>
    </xf>
    <xf numFmtId="0" fontId="8" fillId="5" borderId="65"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105" xfId="0" applyFont="1" applyFill="1" applyBorder="1" applyAlignment="1" applyProtection="1">
      <alignment horizontal="center" vertical="center" shrinkToFit="1"/>
      <protection locked="0"/>
    </xf>
    <xf numFmtId="0" fontId="8" fillId="2" borderId="21" xfId="0" applyFont="1" applyFill="1" applyBorder="1" applyAlignment="1" applyProtection="1">
      <alignment horizontal="center" vertical="top" textRotation="255" shrinkToFit="1"/>
    </xf>
    <xf numFmtId="0" fontId="8" fillId="2" borderId="15" xfId="0" applyFont="1" applyFill="1" applyBorder="1" applyAlignment="1" applyProtection="1">
      <alignment horizontal="center" vertical="top" textRotation="255" shrinkToFit="1"/>
    </xf>
    <xf numFmtId="182" fontId="8" fillId="2" borderId="1" xfId="5" applyNumberFormat="1" applyFont="1" applyFill="1" applyBorder="1" applyAlignment="1" applyProtection="1">
      <alignment horizontal="center" vertical="center"/>
    </xf>
    <xf numFmtId="182" fontId="8" fillId="2" borderId="9" xfId="5" applyNumberFormat="1" applyFont="1" applyFill="1" applyBorder="1" applyAlignment="1" applyProtection="1">
      <alignment horizontal="center" vertical="center"/>
    </xf>
    <xf numFmtId="182" fontId="8" fillId="2" borderId="69" xfId="5" applyNumberFormat="1" applyFont="1" applyFill="1" applyBorder="1" applyAlignment="1" applyProtection="1">
      <alignment horizontal="center" vertical="center"/>
    </xf>
    <xf numFmtId="182" fontId="8" fillId="3" borderId="401" xfId="0" applyNumberFormat="1" applyFont="1" applyFill="1" applyBorder="1" applyAlignment="1" applyProtection="1">
      <alignment horizontal="center" vertical="center"/>
    </xf>
    <xf numFmtId="182" fontId="8" fillId="3" borderId="402" xfId="0" applyNumberFormat="1" applyFont="1" applyFill="1" applyBorder="1" applyAlignment="1" applyProtection="1">
      <alignment horizontal="center" vertical="center"/>
    </xf>
    <xf numFmtId="182" fontId="8" fillId="3" borderId="403" xfId="0" applyNumberFormat="1" applyFont="1" applyFill="1" applyBorder="1" applyAlignment="1" applyProtection="1">
      <alignment horizontal="center" vertical="center"/>
    </xf>
    <xf numFmtId="182" fontId="8" fillId="3" borderId="404" xfId="5" applyNumberFormat="1" applyFont="1" applyFill="1" applyBorder="1" applyAlignment="1" applyProtection="1">
      <alignment horizontal="center" vertical="center"/>
    </xf>
    <xf numFmtId="182" fontId="8" fillId="3" borderId="405" xfId="5" applyNumberFormat="1" applyFont="1" applyFill="1" applyBorder="1" applyAlignment="1" applyProtection="1">
      <alignment horizontal="center" vertical="center"/>
    </xf>
    <xf numFmtId="182" fontId="8" fillId="3" borderId="406" xfId="5" applyNumberFormat="1" applyFont="1" applyFill="1" applyBorder="1" applyAlignment="1" applyProtection="1">
      <alignment horizontal="center" vertical="center"/>
    </xf>
    <xf numFmtId="0" fontId="8" fillId="2" borderId="1" xfId="0" applyFont="1" applyFill="1" applyBorder="1" applyAlignment="1" applyProtection="1">
      <alignment horizontal="center" vertical="center" shrinkToFit="1"/>
    </xf>
    <xf numFmtId="0" fontId="8" fillId="2" borderId="9" xfId="0" applyFont="1" applyFill="1" applyBorder="1" applyAlignment="1" applyProtection="1">
      <alignment horizontal="center" vertical="center" shrinkToFit="1"/>
    </xf>
    <xf numFmtId="0" fontId="8" fillId="2" borderId="69" xfId="0" applyFont="1" applyFill="1" applyBorder="1" applyAlignment="1" applyProtection="1">
      <alignment horizontal="center" vertical="center" shrinkToFit="1"/>
    </xf>
    <xf numFmtId="0" fontId="8" fillId="5" borderId="1" xfId="0" applyFont="1" applyFill="1" applyBorder="1" applyAlignment="1" applyProtection="1">
      <alignment horizontal="center" vertical="center" shrinkToFit="1"/>
      <protection locked="0"/>
    </xf>
    <xf numFmtId="0" fontId="8" fillId="5" borderId="9" xfId="0" applyFont="1" applyFill="1" applyBorder="1" applyAlignment="1" applyProtection="1">
      <alignment horizontal="center" vertical="center" shrinkToFit="1"/>
      <protection locked="0"/>
    </xf>
    <xf numFmtId="0" fontId="8" fillId="5" borderId="69" xfId="0" applyFont="1" applyFill="1" applyBorder="1" applyAlignment="1" applyProtection="1">
      <alignment horizontal="center" vertical="center" shrinkToFit="1"/>
      <protection locked="0"/>
    </xf>
    <xf numFmtId="0" fontId="9" fillId="6" borderId="0" xfId="0" applyFont="1" applyFill="1" applyBorder="1" applyAlignment="1" applyProtection="1">
      <alignment horizontal="center" vertical="center" shrinkToFit="1"/>
    </xf>
    <xf numFmtId="0" fontId="8" fillId="2" borderId="28" xfId="0" applyFont="1" applyFill="1" applyBorder="1" applyAlignment="1" applyProtection="1">
      <alignment horizontal="center" vertical="center" shrinkToFit="1"/>
    </xf>
    <xf numFmtId="0" fontId="8" fillId="2" borderId="12" xfId="0" applyFont="1" applyFill="1" applyBorder="1" applyAlignment="1" applyProtection="1">
      <alignment horizontal="center" vertical="center" shrinkToFit="1"/>
    </xf>
    <xf numFmtId="0" fontId="8" fillId="2" borderId="67" xfId="0" applyFont="1" applyFill="1" applyBorder="1" applyAlignment="1" applyProtection="1">
      <alignment horizontal="center" vertical="center" textRotation="255"/>
    </xf>
    <xf numFmtId="0" fontId="8" fillId="2" borderId="68" xfId="0" applyFont="1" applyFill="1" applyBorder="1" applyAlignment="1" applyProtection="1">
      <alignment horizontal="center" vertical="center" textRotation="255"/>
    </xf>
    <xf numFmtId="0" fontId="8" fillId="2" borderId="70" xfId="0" applyFont="1" applyFill="1" applyBorder="1" applyAlignment="1" applyProtection="1">
      <alignment horizontal="center" vertical="center"/>
    </xf>
    <xf numFmtId="0" fontId="8" fillId="2" borderId="34" xfId="0" applyFont="1" applyFill="1" applyBorder="1" applyAlignment="1" applyProtection="1">
      <alignment horizontal="center" vertical="center"/>
    </xf>
    <xf numFmtId="0" fontId="8" fillId="2" borderId="12" xfId="0" applyFont="1" applyFill="1" applyBorder="1" applyAlignment="1" applyProtection="1">
      <alignment horizontal="center" vertical="center"/>
    </xf>
    <xf numFmtId="0" fontId="8" fillId="2" borderId="71" xfId="0" applyFont="1" applyFill="1" applyBorder="1" applyAlignment="1" applyProtection="1">
      <alignment horizontal="center" vertical="top" textRotation="255"/>
    </xf>
    <xf numFmtId="0" fontId="8" fillId="2" borderId="0" xfId="0" applyFont="1" applyFill="1" applyBorder="1" applyAlignment="1" applyProtection="1">
      <alignment horizontal="center" vertical="top" textRotation="255"/>
    </xf>
    <xf numFmtId="0" fontId="8" fillId="2" borderId="15" xfId="0" applyFont="1" applyFill="1" applyBorder="1" applyAlignment="1" applyProtection="1">
      <alignment horizontal="center" vertical="top" textRotation="255"/>
    </xf>
    <xf numFmtId="0" fontId="8" fillId="2" borderId="0" xfId="0" applyFont="1" applyFill="1" applyAlignment="1" applyProtection="1">
      <alignment horizontal="right" vertical="center" shrinkToFit="1"/>
    </xf>
    <xf numFmtId="0" fontId="8" fillId="2" borderId="18" xfId="0" applyFont="1" applyFill="1" applyBorder="1" applyAlignment="1" applyProtection="1">
      <alignment horizontal="left" vertical="center"/>
    </xf>
    <xf numFmtId="0" fontId="8" fillId="2" borderId="14" xfId="0" applyFont="1" applyFill="1" applyBorder="1" applyAlignment="1" applyProtection="1">
      <alignment horizontal="left" vertical="center"/>
    </xf>
    <xf numFmtId="0" fontId="39" fillId="2" borderId="0" xfId="0" applyFont="1" applyFill="1" applyAlignment="1" applyProtection="1">
      <alignment horizontal="left" vertical="center" shrinkToFit="1"/>
    </xf>
    <xf numFmtId="0" fontId="8" fillId="2" borderId="17" xfId="0" applyFont="1" applyFill="1" applyBorder="1" applyAlignment="1" applyProtection="1">
      <alignment horizontal="center" vertical="center"/>
    </xf>
    <xf numFmtId="0" fontId="8" fillId="2" borderId="18" xfId="0" applyFont="1" applyFill="1" applyBorder="1" applyAlignment="1" applyProtection="1">
      <alignment horizontal="center" vertical="center"/>
    </xf>
    <xf numFmtId="0" fontId="8" fillId="2" borderId="14" xfId="0" applyFont="1" applyFill="1" applyBorder="1" applyAlignment="1" applyProtection="1">
      <alignment horizontal="center" vertical="center"/>
    </xf>
    <xf numFmtId="0" fontId="9" fillId="2" borderId="17" xfId="0" applyFont="1" applyFill="1" applyBorder="1" applyAlignment="1" applyProtection="1">
      <alignment horizontal="center" vertical="center" shrinkToFit="1"/>
    </xf>
    <xf numFmtId="0" fontId="9" fillId="2" borderId="18" xfId="0" applyFont="1" applyFill="1" applyBorder="1" applyAlignment="1" applyProtection="1">
      <alignment horizontal="center" vertical="center" shrinkToFit="1"/>
    </xf>
    <xf numFmtId="0" fontId="9" fillId="2" borderId="14" xfId="0" applyFont="1" applyFill="1" applyBorder="1" applyAlignment="1" applyProtection="1">
      <alignment horizontal="center" vertical="center" shrinkToFit="1"/>
    </xf>
    <xf numFmtId="0" fontId="11" fillId="4" borderId="407" xfId="0" applyFont="1" applyFill="1" applyBorder="1" applyAlignment="1" applyProtection="1">
      <alignment horizontal="left" vertical="center" shrinkToFit="1"/>
      <protection locked="0"/>
    </xf>
    <xf numFmtId="0" fontId="11" fillId="4" borderId="408" xfId="0" applyFont="1" applyFill="1" applyBorder="1" applyAlignment="1" applyProtection="1">
      <alignment horizontal="left" vertical="center" shrinkToFit="1"/>
      <protection locked="0"/>
    </xf>
    <xf numFmtId="0" fontId="11" fillId="4" borderId="409" xfId="0" applyFont="1" applyFill="1" applyBorder="1" applyAlignment="1" applyProtection="1">
      <alignment horizontal="left" vertical="center" shrinkToFit="1"/>
      <protection locked="0"/>
    </xf>
    <xf numFmtId="0" fontId="11" fillId="4" borderId="75" xfId="0" applyFont="1" applyFill="1" applyBorder="1" applyAlignment="1" applyProtection="1">
      <alignment horizontal="left" vertical="center" shrinkToFit="1"/>
      <protection locked="0"/>
    </xf>
    <xf numFmtId="0" fontId="11" fillId="4" borderId="76" xfId="0" applyFont="1" applyFill="1" applyBorder="1" applyAlignment="1" applyProtection="1">
      <alignment horizontal="left" vertical="center" shrinkToFit="1"/>
      <protection locked="0"/>
    </xf>
    <xf numFmtId="0" fontId="11" fillId="4" borderId="77" xfId="0" applyFont="1" applyFill="1" applyBorder="1" applyAlignment="1" applyProtection="1">
      <alignment horizontal="left" vertical="center" shrinkToFit="1"/>
      <protection locked="0"/>
    </xf>
    <xf numFmtId="0" fontId="11" fillId="5" borderId="57" xfId="0" applyFont="1" applyFill="1" applyBorder="1" applyAlignment="1" applyProtection="1">
      <alignment horizontal="center" vertical="center" shrinkToFit="1"/>
      <protection locked="0"/>
    </xf>
    <xf numFmtId="0" fontId="11" fillId="4" borderId="57" xfId="0" applyFont="1" applyFill="1" applyBorder="1" applyAlignment="1" applyProtection="1">
      <alignment horizontal="left" vertical="center" shrinkToFit="1"/>
      <protection locked="0"/>
    </xf>
    <xf numFmtId="0" fontId="11" fillId="4" borderId="18" xfId="0" applyFont="1" applyFill="1" applyBorder="1" applyAlignment="1" applyProtection="1">
      <alignment horizontal="center" vertical="center"/>
      <protection locked="0"/>
    </xf>
  </cellXfs>
  <cellStyles count="16">
    <cellStyle name="パーセント" xfId="5" builtinId="5"/>
    <cellStyle name="ハイパーリンク" xfId="12" builtinId="8"/>
    <cellStyle name="桁区切り" xfId="4" builtinId="6"/>
    <cellStyle name="桁区切り 2" xfId="2" xr:uid="{00000000-0005-0000-0000-000003000000}"/>
    <cellStyle name="標準" xfId="0" builtinId="0"/>
    <cellStyle name="標準 15" xfId="9" xr:uid="{00000000-0005-0000-0000-000005000000}"/>
    <cellStyle name="標準 2" xfId="1" xr:uid="{00000000-0005-0000-0000-000006000000}"/>
    <cellStyle name="標準 2 2" xfId="10" xr:uid="{00000000-0005-0000-0000-000007000000}"/>
    <cellStyle name="標準 2 4" xfId="6" xr:uid="{00000000-0005-0000-0000-000008000000}"/>
    <cellStyle name="標準 20" xfId="13" xr:uid="{00000000-0005-0000-0000-000009000000}"/>
    <cellStyle name="標準 22" xfId="15" xr:uid="{00000000-0005-0000-0000-00000A000000}"/>
    <cellStyle name="標準 3" xfId="3" xr:uid="{00000000-0005-0000-0000-00000B000000}"/>
    <cellStyle name="標準 3 2" xfId="7" xr:uid="{00000000-0005-0000-0000-00000C000000}"/>
    <cellStyle name="標準 3 2 4" xfId="14" xr:uid="{00000000-0005-0000-0000-00000D000000}"/>
    <cellStyle name="標準 4" xfId="11" xr:uid="{00000000-0005-0000-0000-00000E000000}"/>
    <cellStyle name="標準 4 2" xfId="8" xr:uid="{00000000-0005-0000-0000-00000F000000}"/>
  </cellStyles>
  <dxfs count="113">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00B0F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6" tint="0.79998168889431442"/>
        </patternFill>
      </fill>
    </dxf>
    <dxf>
      <fill>
        <patternFill patternType="gray0625">
          <bgColor theme="0"/>
        </patternFill>
      </fill>
    </dxf>
    <dxf>
      <fill>
        <patternFill patternType="gray0625">
          <fgColor theme="1"/>
          <bgColor theme="0"/>
        </patternFill>
      </fill>
    </dxf>
    <dxf>
      <font>
        <strike/>
      </font>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FF0000"/>
      </font>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0" tint="-4.9989318521683403E-2"/>
        </patternFill>
      </fill>
    </dxf>
    <dxf>
      <font>
        <color rgb="FFFF0000"/>
      </font>
    </dxf>
    <dxf>
      <font>
        <color rgb="FFFF0000"/>
      </font>
    </dxf>
    <dxf>
      <font>
        <color rgb="FFFF0000"/>
      </font>
    </dxf>
    <dxf>
      <font>
        <color rgb="FFFF0000"/>
      </font>
    </dxf>
    <dxf>
      <fill>
        <patternFill>
          <bgColor theme="0" tint="-4.9989318521683403E-2"/>
        </patternFill>
      </fill>
    </dxf>
    <dxf>
      <fill>
        <patternFill>
          <bgColor theme="0" tint="-4.9989318521683403E-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CCECFF"/>
      <color rgb="FFFF99CC"/>
      <color rgb="FFFF9900"/>
      <color rgb="FFFFCCFF"/>
      <color rgb="FFFFCCCC"/>
      <color rgb="FFFF99FF"/>
      <color rgb="FFCC99FF"/>
      <color rgb="FF99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0</xdr:row>
      <xdr:rowOff>0</xdr:rowOff>
    </xdr:from>
    <xdr:to>
      <xdr:col>23</xdr:col>
      <xdr:colOff>476250</xdr:colOff>
      <xdr:row>2</xdr:row>
      <xdr:rowOff>295275</xdr:rowOff>
    </xdr:to>
    <xdr:sp macro="" textlink="">
      <xdr:nvSpPr>
        <xdr:cNvPr id="2" name="線吹き出し 1 (枠付き) 1">
          <a:extLst>
            <a:ext uri="{FF2B5EF4-FFF2-40B4-BE49-F238E27FC236}">
              <a16:creationId xmlns:a16="http://schemas.microsoft.com/office/drawing/2014/main" id="{00000000-0008-0000-0000-000002000000}"/>
            </a:ext>
          </a:extLst>
        </xdr:cNvPr>
        <xdr:cNvSpPr/>
      </xdr:nvSpPr>
      <xdr:spPr>
        <a:xfrm>
          <a:off x="14620875" y="0"/>
          <a:ext cx="3781425" cy="1019175"/>
        </a:xfrm>
        <a:prstGeom prst="borderCallout1">
          <a:avLst>
            <a:gd name="adj1" fmla="val 63983"/>
            <a:gd name="adj2" fmla="val 100767"/>
            <a:gd name="adj3" fmla="val 127791"/>
            <a:gd name="adj4" fmla="val 108812"/>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en-US" altLang="ja-JP" sz="1100"/>
            <a:t>=INDEX($S$4:$V$700,MATCH($W4&amp;X$3,INDEX($S$4:$S$700&amp;$U$4:$U$700,),0),MATCH("</a:t>
          </a:r>
          <a:r>
            <a:rPr kumimoji="1" lang="ja-JP" altLang="en-US" sz="1100"/>
            <a:t>施設名</a:t>
          </a:r>
          <a:r>
            <a:rPr kumimoji="1" lang="en-US" altLang="ja-JP" sz="1100"/>
            <a:t>",$S$3:$V$3,0))</a:t>
          </a:r>
          <a:r>
            <a:rPr kumimoji="1" lang="ja-JP" altLang="en-US" sz="1100"/>
            <a:t>と貼り付けてコピー</a:t>
          </a:r>
        </a:p>
      </xdr:txBody>
    </xdr:sp>
    <xdr:clientData/>
  </xdr:twoCellAnchor>
  <xdr:twoCellAnchor>
    <xdr:from>
      <xdr:col>23</xdr:col>
      <xdr:colOff>504824</xdr:colOff>
      <xdr:row>0</xdr:row>
      <xdr:rowOff>47624</xdr:rowOff>
    </xdr:from>
    <xdr:to>
      <xdr:col>29</xdr:col>
      <xdr:colOff>219074</xdr:colOff>
      <xdr:row>1</xdr:row>
      <xdr:rowOff>66675</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18430874" y="47624"/>
          <a:ext cx="3971925" cy="371476"/>
        </a:xfrm>
        <a:prstGeom prst="wedgeRectCallout">
          <a:avLst>
            <a:gd name="adj1" fmla="val -33775"/>
            <a:gd name="adj2" fmla="val 122828"/>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=VLOOKUP(X2,$T$4:$U$700,2,FALSE)</a:t>
          </a:r>
          <a:r>
            <a:rPr kumimoji="1" lang="ja-JP" altLang="en-US" sz="1100"/>
            <a:t>と貼り付けてコピー</a:t>
          </a:r>
        </a:p>
      </xdr:txBody>
    </xdr:sp>
    <xdr:clientData/>
  </xdr:twoCellAnchor>
  <xdr:twoCellAnchor>
    <xdr:from>
      <xdr:col>25</xdr:col>
      <xdr:colOff>95250</xdr:colOff>
      <xdr:row>493</xdr:row>
      <xdr:rowOff>123825</xdr:rowOff>
    </xdr:from>
    <xdr:to>
      <xdr:col>31</xdr:col>
      <xdr:colOff>419100</xdr:colOff>
      <xdr:row>505</xdr:row>
      <xdr:rowOff>104775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9535775" y="83810475"/>
          <a:ext cx="4438650" cy="16954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　札幌市外の児童について</a:t>
          </a:r>
          <a:endParaRPr kumimoji="1" lang="en-US" altLang="ja-JP" sz="1400"/>
        </a:p>
        <a:p>
          <a:r>
            <a:rPr kumimoji="1" lang="ja-JP" altLang="en-US" sz="1400"/>
            <a:t>　貴施設に通所（園）している児童のうち、札幌市以外の児童全てを指します。</a:t>
          </a:r>
          <a:endParaRPr kumimoji="1" lang="en-US" altLang="ja-JP" sz="1400"/>
        </a:p>
        <a:p>
          <a:r>
            <a:rPr kumimoji="1" lang="ja-JP" altLang="en-US" sz="1400"/>
            <a:t>例）札幌市</a:t>
          </a:r>
          <a:r>
            <a:rPr kumimoji="1" lang="en-US" altLang="ja-JP" sz="1400"/>
            <a:t>2</a:t>
          </a:r>
          <a:r>
            <a:rPr kumimoji="1" lang="ja-JP" altLang="en-US" sz="1400"/>
            <a:t>人、○○市</a:t>
          </a:r>
          <a:r>
            <a:rPr kumimoji="1" lang="en-US" altLang="ja-JP" sz="1400"/>
            <a:t>5</a:t>
          </a:r>
          <a:r>
            <a:rPr kumimoji="1" lang="ja-JP" altLang="en-US" sz="1400"/>
            <a:t>人、△△市</a:t>
          </a:r>
          <a:r>
            <a:rPr kumimoji="1" lang="en-US" altLang="ja-JP" sz="1400"/>
            <a:t>3</a:t>
          </a:r>
          <a:r>
            <a:rPr kumimoji="1" lang="ja-JP" altLang="en-US" sz="1400"/>
            <a:t>人、貴施設の属する市</a:t>
          </a:r>
          <a:r>
            <a:rPr kumimoji="1" lang="en-US" altLang="ja-JP" sz="1400"/>
            <a:t>25</a:t>
          </a:r>
          <a:r>
            <a:rPr kumimoji="1" lang="ja-JP" altLang="en-US" sz="1400"/>
            <a:t>人</a:t>
          </a:r>
          <a:endParaRPr kumimoji="1" lang="en-US" altLang="ja-JP" sz="1400"/>
        </a:p>
        <a:p>
          <a:r>
            <a:rPr kumimoji="1" lang="ja-JP" altLang="en-US" sz="1400"/>
            <a:t>　⇒札幌市外：</a:t>
          </a:r>
          <a:r>
            <a:rPr kumimoji="1" lang="en-US" altLang="ja-JP" sz="1400"/>
            <a:t>33</a:t>
          </a:r>
          <a:r>
            <a:rPr kumimoji="1" lang="ja-JP" altLang="en-US" sz="1400"/>
            <a:t>人（＝</a:t>
          </a:r>
          <a:r>
            <a:rPr kumimoji="1" lang="en-US" altLang="ja-JP" sz="1400"/>
            <a:t>5+3+25</a:t>
          </a:r>
          <a:r>
            <a:rPr kumimoji="1" lang="ja-JP" altLang="en-US" sz="14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13</xdr:row>
      <xdr:rowOff>142874</xdr:rowOff>
    </xdr:from>
    <xdr:to>
      <xdr:col>12</xdr:col>
      <xdr:colOff>428625</xdr:colOff>
      <xdr:row>24</xdr:row>
      <xdr:rowOff>38099</xdr:rowOff>
    </xdr:to>
    <xdr:sp macro="" textlink="">
      <xdr:nvSpPr>
        <xdr:cNvPr id="2" name="左矢印吹き出し 1">
          <a:extLst>
            <a:ext uri="{FF2B5EF4-FFF2-40B4-BE49-F238E27FC236}">
              <a16:creationId xmlns:a16="http://schemas.microsoft.com/office/drawing/2014/main" id="{00000000-0008-0000-0100-000002000000}"/>
            </a:ext>
          </a:extLst>
        </xdr:cNvPr>
        <xdr:cNvSpPr/>
      </xdr:nvSpPr>
      <xdr:spPr>
        <a:xfrm>
          <a:off x="8229600" y="2752724"/>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twoCellAnchor>
    <xdr:from>
      <xdr:col>10</xdr:col>
      <xdr:colOff>142875</xdr:colOff>
      <xdr:row>25</xdr:row>
      <xdr:rowOff>38100</xdr:rowOff>
    </xdr:from>
    <xdr:to>
      <xdr:col>12</xdr:col>
      <xdr:colOff>438150</xdr:colOff>
      <xdr:row>35</xdr:row>
      <xdr:rowOff>104775</xdr:rowOff>
    </xdr:to>
    <xdr:sp macro="" textlink="">
      <xdr:nvSpPr>
        <xdr:cNvPr id="3" name="左矢印吹き出し 2">
          <a:extLst>
            <a:ext uri="{FF2B5EF4-FFF2-40B4-BE49-F238E27FC236}">
              <a16:creationId xmlns:a16="http://schemas.microsoft.com/office/drawing/2014/main" id="{00000000-0008-0000-0100-000003000000}"/>
            </a:ext>
          </a:extLst>
        </xdr:cNvPr>
        <xdr:cNvSpPr/>
      </xdr:nvSpPr>
      <xdr:spPr>
        <a:xfrm>
          <a:off x="8239125" y="4705350"/>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12/29</a:t>
          </a:r>
          <a:r>
            <a:rPr kumimoji="1" lang="ja-JP" altLang="en-US" sz="1100">
              <a:solidFill>
                <a:sysClr val="windowText" lastClr="000000"/>
              </a:solidFill>
            </a:rPr>
            <a:t>～</a:t>
          </a:r>
          <a:r>
            <a:rPr kumimoji="1" lang="en-US" altLang="ja-JP" sz="1100">
              <a:solidFill>
                <a:sysClr val="windowText" lastClr="000000"/>
              </a:solidFill>
            </a:rPr>
            <a:t>1/3</a:t>
          </a:r>
          <a:r>
            <a:rPr kumimoji="1" lang="ja-JP" altLang="en-US" sz="1100">
              <a:solidFill>
                <a:sysClr val="windowText" lastClr="000000"/>
              </a:solidFill>
            </a:rPr>
            <a:t>のうち、土曜日がある場合は入力すること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571501</xdr:colOff>
      <xdr:row>20</xdr:row>
      <xdr:rowOff>74543</xdr:rowOff>
    </xdr:from>
    <xdr:to>
      <xdr:col>11</xdr:col>
      <xdr:colOff>149087</xdr:colOff>
      <xdr:row>25</xdr:row>
      <xdr:rowOff>132522</xdr:rowOff>
    </xdr:to>
    <xdr:sp macro="" textlink="">
      <xdr:nvSpPr>
        <xdr:cNvPr id="2" name="吹き出し: 角を丸めた四角形 1">
          <a:extLst>
            <a:ext uri="{FF2B5EF4-FFF2-40B4-BE49-F238E27FC236}">
              <a16:creationId xmlns:a16="http://schemas.microsoft.com/office/drawing/2014/main" id="{33E23F9D-177C-4E54-A846-6E4DE1E70657}"/>
            </a:ext>
          </a:extLst>
        </xdr:cNvPr>
        <xdr:cNvSpPr/>
      </xdr:nvSpPr>
      <xdr:spPr>
        <a:xfrm>
          <a:off x="12506740" y="3925956"/>
          <a:ext cx="2095499" cy="969066"/>
        </a:xfrm>
        <a:prstGeom prst="wedgeRoundRectCallout">
          <a:avLst>
            <a:gd name="adj1" fmla="val -69823"/>
            <a:gd name="adj2" fmla="val -12315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障害児保育加算</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en-US" altLang="ja-JP" sz="1100">
              <a:solidFill>
                <a:sysClr val="windowText" lastClr="000000"/>
              </a:solidFill>
            </a:rPr>
            <a:t>G17</a:t>
          </a:r>
        </a:p>
        <a:p>
          <a:pPr algn="l"/>
          <a:r>
            <a:rPr kumimoji="1" lang="ja-JP" altLang="en-US" sz="1100">
              <a:solidFill>
                <a:sysClr val="windowText" lastClr="000000"/>
              </a:solidFill>
            </a:rPr>
            <a:t>→</a:t>
          </a:r>
          <a:r>
            <a:rPr kumimoji="1" lang="en-US" altLang="ja-JP" sz="1100">
              <a:solidFill>
                <a:sysClr val="windowText" lastClr="000000"/>
              </a:solidFill>
            </a:rPr>
            <a:t>=IF(G17="×","×","○")</a:t>
          </a:r>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38100</xdr:colOff>
      <xdr:row>0</xdr:row>
      <xdr:rowOff>0</xdr:rowOff>
    </xdr:from>
    <xdr:to>
      <xdr:col>33</xdr:col>
      <xdr:colOff>3781424</xdr:colOff>
      <xdr:row>6</xdr:row>
      <xdr:rowOff>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362825"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33</xdr:col>
      <xdr:colOff>57148</xdr:colOff>
      <xdr:row>6</xdr:row>
      <xdr:rowOff>38099</xdr:rowOff>
    </xdr:from>
    <xdr:to>
      <xdr:col>33</xdr:col>
      <xdr:colOff>3790950</xdr:colOff>
      <xdr:row>40</xdr:row>
      <xdr:rowOff>9525</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7381873" y="1181099"/>
          <a:ext cx="3733802" cy="638175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・総括表は毎月分提出が必要です。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法人名・代表者名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給付係に登録した債権者と同一とすること。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申請月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申請月をドロップダウンから選択。様式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全ての様式に反映されます。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所在区・施設名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所在区→施設名の順に入力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施設所在地を記入</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利用定員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前述の施設名を入れると自動出力します。年度内途中で利用定員を変更した場合のみ、上書き修正してください。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判定</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個票を入力すると判定結果が表示されます。申請・取得したい加算が正しく表示されているかを確認したうえで印刷・押印し提出してください。誤ったままご提出いただいた場合は加算が取得できません。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　「土曜日に閉所する場合」については、備考欄に前月分の実績が表示されます。実績で変更があった場合、</a:t>
          </a:r>
          <a:r>
            <a:rPr kumimoji="1" lang="en-US" altLang="ja-JP" sz="1000">
              <a:solidFill>
                <a:srgbClr val="FF0000"/>
              </a:solidFill>
              <a:latin typeface="ＭＳ ゴシック" panose="020B0609070205080204" pitchFamily="49" charset="-128"/>
              <a:ea typeface="ＭＳ ゴシック" panose="020B0609070205080204" pitchFamily="49" charset="-128"/>
            </a:rPr>
            <a:t>4</a:t>
          </a:r>
          <a:r>
            <a:rPr kumimoji="1" lang="ja-JP" altLang="en-US" sz="1000">
              <a:solidFill>
                <a:srgbClr val="FF0000"/>
              </a:solidFill>
              <a:latin typeface="ＭＳ ゴシック" panose="020B0609070205080204" pitchFamily="49" charset="-128"/>
              <a:ea typeface="ＭＳ ゴシック" panose="020B0609070205080204" pitchFamily="49" charset="-128"/>
            </a:rPr>
            <a:t>月及び</a:t>
          </a:r>
          <a:r>
            <a:rPr kumimoji="1" lang="en-US" altLang="ja-JP" sz="1000">
              <a:solidFill>
                <a:srgbClr val="FF0000"/>
              </a:solidFill>
              <a:latin typeface="ＭＳ ゴシック" panose="020B0609070205080204" pitchFamily="49" charset="-128"/>
              <a:ea typeface="ＭＳ ゴシック" panose="020B0609070205080204" pitchFamily="49" charset="-128"/>
            </a:rPr>
            <a:t>3</a:t>
          </a:r>
          <a:r>
            <a:rPr kumimoji="1" lang="ja-JP" altLang="en-US" sz="1000">
              <a:solidFill>
                <a:srgbClr val="FF0000"/>
              </a:solidFill>
              <a:latin typeface="ＭＳ ゴシック" panose="020B0609070205080204" pitchFamily="49" charset="-128"/>
              <a:ea typeface="ＭＳ ゴシック" panose="020B0609070205080204" pitchFamily="49" charset="-128"/>
            </a:rPr>
            <a:t>月をのぞき、遡及変更申請扱いとなります。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加算適用開始（変更）月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加算を取得開始または変更した月を入力してください。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例１）</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月分作成時：処遇改善等加算</a:t>
          </a:r>
          <a:r>
            <a:rPr kumimoji="1" lang="en-US" altLang="ja-JP" sz="1000">
              <a:latin typeface="ＭＳ ゴシック" panose="020B0609070205080204" pitchFamily="49" charset="-128"/>
              <a:ea typeface="ＭＳ ゴシック" panose="020B0609070205080204" pitchFamily="49" charset="-128"/>
            </a:rPr>
            <a:t>Ⅰ</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月から取得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月から継続中のため「</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例２）</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月分作成時：栄養管理加算</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B</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A</a:t>
          </a: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月から変更のため「</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なお、未来の月を入れるとエラー表示されます。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47625</xdr:colOff>
      <xdr:row>41</xdr:row>
      <xdr:rowOff>0</xdr:rowOff>
    </xdr:from>
    <xdr:to>
      <xdr:col>33</xdr:col>
      <xdr:colOff>3705225</xdr:colOff>
      <xdr:row>65</xdr:row>
      <xdr:rowOff>161925</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372350" y="7934325"/>
          <a:ext cx="3657600" cy="51054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は①～④のうち一つずつ選択してください。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・基本配置は公定価格の基本単価に含まれている費用です。必ず満たすように配置してください</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満たさない配置はできません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資格保有者加算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家庭的保育補助者加算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で職員配置の充足を確認します。</a:t>
          </a:r>
        </a:p>
        <a:p>
          <a:pPr algn="l"/>
          <a:endParaRPr kumimoji="1" lang="ja-JP" altLang="en-US"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28575</xdr:colOff>
      <xdr:row>81</xdr:row>
      <xdr:rowOff>0</xdr:rowOff>
    </xdr:from>
    <xdr:to>
      <xdr:col>33</xdr:col>
      <xdr:colOff>3686175</xdr:colOff>
      <xdr:row>88</xdr:row>
      <xdr:rowOff>152400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7353300" y="15859125"/>
          <a:ext cx="3657600" cy="16097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家庭的保育支援加算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・本市では原則非適用としている加算です。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申請する場合は、事前に担当に相談のうえ、要件及び提出書類を確認してください。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57150</xdr:colOff>
      <xdr:row>104</xdr:row>
      <xdr:rowOff>47627</xdr:rowOff>
    </xdr:from>
    <xdr:to>
      <xdr:col>33</xdr:col>
      <xdr:colOff>3724275</xdr:colOff>
      <xdr:row>132</xdr:row>
      <xdr:rowOff>178593</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248525" y="23800596"/>
          <a:ext cx="3667125" cy="816768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障害児保育加算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の全ての要件に該当し、かつ対象児童がいる場合加算</a:t>
          </a:r>
        </a:p>
        <a:p>
          <a:pPr algn="l"/>
          <a:r>
            <a:rPr kumimoji="1" lang="ja-JP" altLang="en-US" sz="1000" b="0">
              <a:latin typeface="ＭＳ ゴシック" panose="020B0609070205080204" pitchFamily="49" charset="-128"/>
              <a:ea typeface="ＭＳ ゴシック" panose="020B0609070205080204" pitchFamily="49" charset="-128"/>
            </a:rPr>
            <a:t>・職員配置上、家庭的保育補助者の配置が必要となるため、家庭的保育補助者加算を取得している必要があります</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自動引用</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・様式</a:t>
          </a:r>
          <a:r>
            <a:rPr kumimoji="1" lang="en-US" altLang="ja-JP" sz="1000" b="0">
              <a:latin typeface="ＭＳ ゴシック" panose="020B0609070205080204" pitchFamily="49" charset="-128"/>
              <a:ea typeface="ＭＳ ゴシック" panose="020B0609070205080204" pitchFamily="49" charset="-128"/>
            </a:rPr>
            <a:t>5</a:t>
          </a:r>
          <a:r>
            <a:rPr kumimoji="1" lang="ja-JP" altLang="en-US" sz="1000" b="0">
              <a:latin typeface="ＭＳ ゴシック" panose="020B0609070205080204" pitchFamily="49" charset="-128"/>
              <a:ea typeface="ＭＳ ゴシック" panose="020B0609070205080204" pitchFamily="49" charset="-128"/>
            </a:rPr>
            <a:t>で職員配置を確認します。</a:t>
          </a:r>
        </a:p>
        <a:p>
          <a:pPr algn="l"/>
          <a:r>
            <a:rPr kumimoji="1" lang="ja-JP" altLang="en-US" sz="1000" b="0">
              <a:latin typeface="ＭＳ ゴシック" panose="020B0609070205080204" pitchFamily="49" charset="-128"/>
              <a:ea typeface="ＭＳ ゴシック" panose="020B0609070205080204" pitchFamily="49" charset="-128"/>
            </a:rPr>
            <a:t>・対象児童の情報を入力してください。不整合な情報を入力すると対象外と判定します。</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・障がい児は原則札幌市の障がい児保育認定又は障がい者手帳を取得しているものとしております。併せて挙証書類をご提出ください。</a:t>
          </a:r>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減価償却費加算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：建物の自己所有の確認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：建物の整備・改修・取得する際に自己資金の発生</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：国庫補助金の交付を受けていない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取得又は増築する際に補助金を受けた場合は原則対象外になります。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なお、①～③の一定要件を全て満たす場合は国庫補助を受けていても対象といたしますが、その際は事前に給付係までご相談ください。相談もなく①～③を○としても認定は致しません。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改修の必要性の認定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老朽化等により建物全体を改修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一部の改修・補強等は不可</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②　①の回収について国庫補助を受けていない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②の改修費用の割合</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：賃借料加算の対象となっていないことの確認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賃借料</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の全ての要件に該当する場合加算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建物が賃貸物件であること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の確認</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賃借料が発生していることの確認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：国庫補助金の交付を受けていない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詳しくは公定価格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44</xdr:col>
      <xdr:colOff>123825</xdr:colOff>
      <xdr:row>104</xdr:row>
      <xdr:rowOff>38100</xdr:rowOff>
    </xdr:from>
    <xdr:to>
      <xdr:col>49</xdr:col>
      <xdr:colOff>180975</xdr:colOff>
      <xdr:row>137</xdr:row>
      <xdr:rowOff>257175</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11306175" y="24164925"/>
          <a:ext cx="3486150" cy="78676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減価償却費加算についての公定価格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Q122</a:t>
          </a:r>
          <a:r>
            <a:rPr kumimoji="1" lang="ja-JP" altLang="en-US" sz="1000" b="1">
              <a:latin typeface="ＭＳ ゴシック" panose="020B0609070205080204" pitchFamily="49" charset="-128"/>
              <a:ea typeface="ＭＳ ゴシック" panose="020B0609070205080204" pitchFamily="49" charset="-128"/>
            </a:rPr>
            <a:t>　自己所有であることとは？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建物の名義が事業主でなければいけません。例えば、事業主体が法人で、法人代表者の建物を使用している場合は、名義が異なりますので認定できません。</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なお、家庭的保育事業等は、建物が配偶者や生計を一にしている者の名義であるなど、社会通念上、要件の趣旨に反しないと判断される場合は認定して差し支えありません。</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Q128</a:t>
          </a:r>
          <a:r>
            <a:rPr kumimoji="1" lang="ja-JP" altLang="en-US" sz="1000" b="1">
              <a:latin typeface="ＭＳ ゴシック" panose="020B0609070205080204" pitchFamily="49" charset="-128"/>
              <a:ea typeface="ＭＳ ゴシック" panose="020B0609070205080204" pitchFamily="49" charset="-128"/>
            </a:rPr>
            <a:t>　国庫補助を受けていないの判定基準とは？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以下のとおり</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　保育所の場合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減価償却費加算の適用の判断は施設ごとに行う。このため、建物の一部</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分園を含む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でも整備補助金を受けている場合は対象外。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無償譲渡を受けて実施、整備や建物の購入をしていない場合は対象外。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整備補助金に該当しないもの</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地方自治体の単独事業による整備補助金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創設・増改築・改築・大規模修繕以外の補助金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スプリンクラーの整備補助など</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②　認定こども園の場合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保育所部分について、①と同様に一部でも補助を受けている場合は対象外。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このため、幼稚園部分のみを国補助を受けて整備し、保育所部分を自己資金で整備した場合は補助の対象となります。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賃借料加算についての公定価格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Q124</a:t>
          </a:r>
          <a:r>
            <a:rPr kumimoji="1" lang="ja-JP" altLang="en-US" sz="1000" b="0">
              <a:latin typeface="ＭＳ ゴシック" panose="020B0609070205080204" pitchFamily="49" charset="-128"/>
              <a:ea typeface="ＭＳ ゴシック" panose="020B0609070205080204" pitchFamily="49" charset="-128"/>
            </a:rPr>
            <a:t>　</a:t>
          </a:r>
          <a:r>
            <a:rPr kumimoji="1" lang="ja-JP" altLang="en-US" sz="1000" b="1">
              <a:latin typeface="ＭＳ ゴシック" panose="020B0609070205080204" pitchFamily="49" charset="-128"/>
              <a:ea typeface="ＭＳ ゴシック" panose="020B0609070205080204" pitchFamily="49" charset="-128"/>
            </a:rPr>
            <a:t>国庫補助金の残額について</a:t>
          </a:r>
        </a:p>
        <a:p>
          <a:pPr algn="l"/>
          <a:r>
            <a:rPr kumimoji="1" lang="en-US" altLang="ja-JP" sz="1000" b="0">
              <a:latin typeface="ＭＳ ゴシック" panose="020B0609070205080204" pitchFamily="49" charset="-128"/>
              <a:ea typeface="ＭＳ ゴシック" panose="020B0609070205080204" pitchFamily="49" charset="-128"/>
            </a:rPr>
            <a:t>A</a:t>
          </a:r>
          <a:r>
            <a:rPr kumimoji="1" lang="ja-JP" altLang="en-US" sz="1000" b="0">
              <a:latin typeface="ＭＳ ゴシック" panose="020B0609070205080204" pitchFamily="49" charset="-128"/>
              <a:ea typeface="ＭＳ ゴシック" panose="020B0609070205080204" pitchFamily="49" charset="-128"/>
            </a:rPr>
            <a:t>　国庫補助基準額から礼金を差し引いた額を軽減前の各月の賃借料で除して得られた月数を経過するまでは残額が生じているものと判定する。</a:t>
          </a:r>
        </a:p>
        <a:p>
          <a:pPr algn="l"/>
          <a:r>
            <a:rPr kumimoji="1" lang="ja-JP" altLang="en-US" sz="1000" b="0">
              <a:latin typeface="ＭＳ ゴシック" panose="020B0609070205080204" pitchFamily="49" charset="-128"/>
              <a:ea typeface="ＭＳ ゴシック" panose="020B0609070205080204" pitchFamily="49" charset="-128"/>
            </a:rPr>
            <a:t>例）賃借料</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万円</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月、礼金</a:t>
          </a:r>
          <a:r>
            <a:rPr kumimoji="1" lang="en-US" altLang="ja-JP" sz="1000" b="0">
              <a:latin typeface="ＭＳ ゴシック" panose="020B0609070205080204" pitchFamily="49" charset="-128"/>
              <a:ea typeface="ＭＳ ゴシック" panose="020B0609070205080204" pitchFamily="49" charset="-128"/>
            </a:rPr>
            <a:t>240</a:t>
          </a:r>
          <a:r>
            <a:rPr kumimoji="1" lang="ja-JP" altLang="en-US" sz="1000" b="0">
              <a:latin typeface="ＭＳ ゴシック" panose="020B0609070205080204" pitchFamily="49" charset="-128"/>
              <a:ea typeface="ＭＳ ゴシック" panose="020B0609070205080204" pitchFamily="49" charset="-128"/>
            </a:rPr>
            <a:t>万円、国庫補助基準額</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国</a:t>
          </a:r>
          <a:r>
            <a:rPr kumimoji="1" lang="en-US" altLang="ja-JP" sz="1000" b="0">
              <a:latin typeface="ＭＳ ゴシック" panose="020B0609070205080204" pitchFamily="49" charset="-128"/>
              <a:ea typeface="ＭＳ ゴシック" panose="020B0609070205080204" pitchFamily="49" charset="-128"/>
            </a:rPr>
            <a:t>1/2</a:t>
          </a:r>
          <a:r>
            <a:rPr kumimoji="1" lang="ja-JP" altLang="en-US" sz="1000" b="0">
              <a:latin typeface="ＭＳ ゴシック" panose="020B0609070205080204" pitchFamily="49" charset="-128"/>
              <a:ea typeface="ＭＳ ゴシック" panose="020B0609070205080204" pitchFamily="49" charset="-128"/>
            </a:rPr>
            <a:t>、地方自治体</a:t>
          </a:r>
          <a:r>
            <a:rPr kumimoji="1" lang="en-US" altLang="ja-JP" sz="1000" b="0">
              <a:latin typeface="ＭＳ ゴシック" panose="020B0609070205080204" pitchFamily="49" charset="-128"/>
              <a:ea typeface="ＭＳ ゴシック" panose="020B0609070205080204" pitchFamily="49" charset="-128"/>
            </a:rPr>
            <a:t>1/2)4100</a:t>
          </a:r>
          <a:r>
            <a:rPr kumimoji="1" lang="ja-JP" altLang="en-US" sz="1000" b="0">
              <a:latin typeface="ＭＳ ゴシック" panose="020B0609070205080204" pitchFamily="49" charset="-128"/>
              <a:ea typeface="ＭＳ ゴシック" panose="020B0609070205080204" pitchFamily="49" charset="-128"/>
            </a:rPr>
            <a:t>万円</a:t>
          </a:r>
        </a:p>
        <a:p>
          <a:pPr algn="l"/>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4100-240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32.2≒33(</a:t>
          </a:r>
          <a:r>
            <a:rPr kumimoji="1" lang="ja-JP" altLang="en-US" sz="1000" b="0">
              <a:latin typeface="ＭＳ ゴシック" panose="020B0609070205080204" pitchFamily="49" charset="-128"/>
              <a:ea typeface="ＭＳ ゴシック" panose="020B0609070205080204" pitchFamily="49" charset="-128"/>
            </a:rPr>
            <a:t>端数切り上げ</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となるため</a:t>
          </a:r>
          <a:r>
            <a:rPr kumimoji="1" lang="en-US" altLang="ja-JP" sz="1000" b="0">
              <a:latin typeface="ＭＳ ゴシック" panose="020B0609070205080204" pitchFamily="49" charset="-128"/>
              <a:ea typeface="ＭＳ ゴシック" panose="020B0609070205080204" pitchFamily="49" charset="-128"/>
            </a:rPr>
            <a:t>34</a:t>
          </a:r>
          <a:r>
            <a:rPr kumimoji="1" lang="ja-JP" altLang="en-US" sz="1000" b="0">
              <a:latin typeface="ＭＳ ゴシック" panose="020B0609070205080204" pitchFamily="49" charset="-128"/>
              <a:ea typeface="ＭＳ ゴシック" panose="020B0609070205080204" pitchFamily="49" charset="-128"/>
            </a:rPr>
            <a:t>か月目から賃借料加算の適用が可能</a:t>
          </a:r>
        </a:p>
        <a:p>
          <a:pPr algn="l"/>
          <a:r>
            <a:rPr kumimoji="1" lang="ja-JP" altLang="en-US" sz="1000" b="0">
              <a:latin typeface="ＭＳ ゴシック" panose="020B0609070205080204" pitchFamily="49" charset="-128"/>
              <a:ea typeface="ＭＳ ゴシック" panose="020B0609070205080204" pitchFamily="49" charset="-128"/>
            </a:rPr>
            <a:t>　</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141</xdr:row>
      <xdr:rowOff>0</xdr:rowOff>
    </xdr:from>
    <xdr:to>
      <xdr:col>33</xdr:col>
      <xdr:colOff>3705225</xdr:colOff>
      <xdr:row>171</xdr:row>
      <xdr:rowOff>190500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7362825" y="32661225"/>
          <a:ext cx="3667125" cy="69056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連携施設を設定しない場合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の要件をすべて満たさない場合減算</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：連携施設名</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：連携施設からの相談・助言の支援</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：連携施設からの代替保育の提供</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緊急時に代替で保育を提供してくれる体制の確保</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：卒園自分の受け入れ枠の確保</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実際の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歳児の児童数ではなく、</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歳児の利用定員分の確保が必要です。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食事の提供について</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の要件のどちらも満たさない場合減算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：自園調理</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：食事について連携施設等から搬入している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連携施設等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家庭的保育事業等の設備及び運営に関する基準第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項の施設を参照すること。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土曜日に閉所する場合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・毎月作成すること。</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により確認する。</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・当月については見込みで認定し、翌月に実績に報告すること。また、見込みと実績に差異があった場合は実績により精算を行う。ただし、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月分については実績確認を行わない。</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・減算区分は「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日以上」「全て」の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区分</a:t>
          </a: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44</xdr:col>
      <xdr:colOff>133350</xdr:colOff>
      <xdr:row>140</xdr:row>
      <xdr:rowOff>180975</xdr:rowOff>
    </xdr:from>
    <xdr:to>
      <xdr:col>49</xdr:col>
      <xdr:colOff>371475</xdr:colOff>
      <xdr:row>158</xdr:row>
      <xdr:rowOff>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11315700" y="32842200"/>
          <a:ext cx="3667125" cy="43148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家庭的保育事業等の設備及び運営に関する基準第</a:t>
          </a:r>
          <a:r>
            <a:rPr kumimoji="1" lang="en-US" altLang="ja-JP" sz="1000" b="1">
              <a:latin typeface="ＭＳ ゴシック" panose="020B0609070205080204" pitchFamily="49" charset="-128"/>
              <a:ea typeface="ＭＳ ゴシック" panose="020B0609070205080204" pitchFamily="49" charset="-128"/>
            </a:rPr>
            <a:t>16</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　連携施設</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　当該家庭的保育事業者等と同一の法人又は関連法人が運営する小規模保育事業若しくは事業所内保育事業を行う事業所、社会福祉施設、医療機関等</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　省略</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本市は該当なし</a:t>
          </a:r>
          <a:r>
            <a:rPr kumimoji="1" lang="en-US" altLang="ja-JP" sz="1000" b="0">
              <a:latin typeface="ＭＳ ゴシック" panose="020B0609070205080204" pitchFamily="49" charset="-128"/>
              <a:ea typeface="ＭＳ ゴシック" panose="020B0609070205080204" pitchFamily="49" charset="-128"/>
            </a:rPr>
            <a:t>)</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　保育所、幼稚園、認定こども園等から調理業務を受託している事業者のうち、当該家庭的保育事業者等による給食の趣旨を十分に認識し、衛生面、栄養面等、調理業務を適切に遂行できる能力を有するとともに、利用乳幼児の年齢及び発達の段階並びに健康状態に応じた食事の提供や、アレルギー、アトピー等への配慮、必要な栄養素量の給与等、利用乳幼児の食事の内容、回数及び時機に適切に応じることができる者として市町村が適当と認めるもの</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家庭的保育事業者が第二十二条に規定する家庭的保育事業を行う場所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第二十三条第二項に規定する家庭的保育者の居宅に限る。</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において家庭的保育事業を行う場合に限る。</a:t>
          </a:r>
          <a:r>
            <a:rPr kumimoji="1" lang="en-US" altLang="ja-JP" sz="1000" b="0">
              <a:latin typeface="ＭＳ ゴシック" panose="020B0609070205080204" pitchFamily="49" charset="-128"/>
              <a:ea typeface="ＭＳ ゴシック" panose="020B0609070205080204" pitchFamily="49" charset="-128"/>
            </a:rPr>
            <a:t>)</a:t>
          </a:r>
        </a:p>
        <a:p>
          <a:pPr algn="l"/>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172</xdr:row>
      <xdr:rowOff>83343</xdr:rowOff>
    </xdr:from>
    <xdr:to>
      <xdr:col>33</xdr:col>
      <xdr:colOff>3705225</xdr:colOff>
      <xdr:row>193</xdr:row>
      <xdr:rowOff>797719</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7229475" y="41779031"/>
          <a:ext cx="3667125" cy="407193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Ⅱ】</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を全て記載する場合加算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：栄養士の活用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栄養士を調理員として雇用し、調理員としてのみ活用している場合は該当しません。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　認定開始月は挙証書類の種類によって異なります。</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：栄養士の配置</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rPr>
            <a:t>　なお、雇用契約等については、直接雇用もしくは派遣契約が想定され、外部委託は含みません。</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21</xdr:col>
      <xdr:colOff>106846</xdr:colOff>
      <xdr:row>5</xdr:row>
      <xdr:rowOff>152400</xdr:rowOff>
    </xdr:to>
    <xdr:sp macro="" textlink="">
      <xdr:nvSpPr>
        <xdr:cNvPr id="2" name="テキスト ボックス 1">
          <a:extLst>
            <a:ext uri="{FF2B5EF4-FFF2-40B4-BE49-F238E27FC236}">
              <a16:creationId xmlns:a16="http://schemas.microsoft.com/office/drawing/2014/main" id="{17BCC671-2DB5-454E-A31E-B251C9F9A8CC}"/>
            </a:ext>
          </a:extLst>
        </xdr:cNvPr>
        <xdr:cNvSpPr txBox="1"/>
      </xdr:nvSpPr>
      <xdr:spPr>
        <a:xfrm>
          <a:off x="0" y="0"/>
          <a:ext cx="4683689" cy="1121044"/>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86121</xdr:colOff>
      <xdr:row>0</xdr:row>
      <xdr:rowOff>0</xdr:rowOff>
    </xdr:from>
    <xdr:to>
      <xdr:col>8</xdr:col>
      <xdr:colOff>3809999</xdr:colOff>
      <xdr:row>6</xdr:row>
      <xdr:rowOff>38100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9125346" y="0"/>
          <a:ext cx="3723878" cy="119062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8</xdr:col>
      <xdr:colOff>104775</xdr:colOff>
      <xdr:row>6</xdr:row>
      <xdr:rowOff>104775</xdr:rowOff>
    </xdr:from>
    <xdr:to>
      <xdr:col>8</xdr:col>
      <xdr:colOff>3810000</xdr:colOff>
      <xdr:row>30</xdr:row>
      <xdr:rowOff>56031</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136716" y="1583951"/>
          <a:ext cx="3705225" cy="5867962"/>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当該月の利用見込み</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当該月の利用児童の見込み数を入力してください。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－申請月を変更することで、土曜日・日にち・平日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祝日が自動表記されます。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また、土曜日が祝日の場合は減算対象から除外されます。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減算区分</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日以上：対象の土曜日が</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全て：対象の土曜日と閉所日が同一</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前月の利用実績</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前月の申請書で記載した利用見込み数と実績数をそれぞれ入力してください。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最終的には実績により減算区分を決定します。既に概算等が終了している場合は各期精算又は第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四半期精算で精算させていただきます。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月のみ実績値は確認いたしません。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56029</xdr:colOff>
      <xdr:row>0</xdr:row>
      <xdr:rowOff>59764</xdr:rowOff>
    </xdr:from>
    <xdr:to>
      <xdr:col>10</xdr:col>
      <xdr:colOff>4560794</xdr:colOff>
      <xdr:row>11</xdr:row>
      <xdr:rowOff>186765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11161058" y="59764"/>
          <a:ext cx="4504765" cy="22225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10</xdr:col>
      <xdr:colOff>56029</xdr:colOff>
      <xdr:row>12</xdr:row>
      <xdr:rowOff>179294</xdr:rowOff>
    </xdr:from>
    <xdr:to>
      <xdr:col>10</xdr:col>
      <xdr:colOff>4560795</xdr:colOff>
      <xdr:row>74</xdr:row>
      <xdr:rowOff>179293</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1161058" y="2465294"/>
          <a:ext cx="4504766" cy="12191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なお、業務委託と雇用職員（派遣含む）を分けて記載してください。業務委託については、家庭的保育者、家庭的保育補助者のみ常勤換算数に含まれます。 </a:t>
          </a: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家庭的保育者、家庭的保育補助者、栄養士、調理員、事務員、その他から選択。業務委託の場合は選択不要。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有給・有給（他法活用）・代替（助成金等対象）・無給を選択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4</xdr:col>
      <xdr:colOff>705601</xdr:colOff>
      <xdr:row>5</xdr:row>
      <xdr:rowOff>168544</xdr:rowOff>
    </xdr:to>
    <xdr:sp macro="" textlink="">
      <xdr:nvSpPr>
        <xdr:cNvPr id="3" name="テキスト ボックス 2">
          <a:extLst>
            <a:ext uri="{FF2B5EF4-FFF2-40B4-BE49-F238E27FC236}">
              <a16:creationId xmlns:a16="http://schemas.microsoft.com/office/drawing/2014/main" id="{66BFA0C0-A0DE-4772-B2CC-5C33C3987254}"/>
            </a:ext>
          </a:extLst>
        </xdr:cNvPr>
        <xdr:cNvSpPr txBox="1"/>
      </xdr:nvSpPr>
      <xdr:spPr>
        <a:xfrm>
          <a:off x="0" y="0"/>
          <a:ext cx="4683689" cy="1121044"/>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116417</xdr:colOff>
      <xdr:row>7</xdr:row>
      <xdr:rowOff>10583</xdr:rowOff>
    </xdr:from>
    <xdr:to>
      <xdr:col>37</xdr:col>
      <xdr:colOff>3783542</xdr:colOff>
      <xdr:row>24</xdr:row>
      <xdr:rowOff>162983</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651817" y="1344083"/>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10</xdr:col>
      <xdr:colOff>291606</xdr:colOff>
      <xdr:row>5</xdr:row>
      <xdr:rowOff>168544</xdr:rowOff>
    </xdr:to>
    <xdr:sp macro="" textlink="">
      <xdr:nvSpPr>
        <xdr:cNvPr id="4" name="テキスト ボックス 3">
          <a:extLst>
            <a:ext uri="{FF2B5EF4-FFF2-40B4-BE49-F238E27FC236}">
              <a16:creationId xmlns:a16="http://schemas.microsoft.com/office/drawing/2014/main" id="{2C034B4A-F7C0-49F4-879E-C053AF051B51}"/>
            </a:ext>
          </a:extLst>
        </xdr:cNvPr>
        <xdr:cNvSpPr txBox="1"/>
      </xdr:nvSpPr>
      <xdr:spPr>
        <a:xfrm>
          <a:off x="0" y="0"/>
          <a:ext cx="4683689" cy="1121044"/>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33620</xdr:colOff>
      <xdr:row>0</xdr:row>
      <xdr:rowOff>11206</xdr:rowOff>
    </xdr:from>
    <xdr:to>
      <xdr:col>15</xdr:col>
      <xdr:colOff>3877236</xdr:colOff>
      <xdr:row>7</xdr:row>
      <xdr:rowOff>100854</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12187520" y="11206"/>
          <a:ext cx="3843616" cy="14231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33617</xdr:colOff>
      <xdr:row>7</xdr:row>
      <xdr:rowOff>145677</xdr:rowOff>
    </xdr:from>
    <xdr:to>
      <xdr:col>15</xdr:col>
      <xdr:colOff>3877234</xdr:colOff>
      <xdr:row>96</xdr:row>
      <xdr:rowOff>22412</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12147176" y="1479177"/>
          <a:ext cx="3843617" cy="16764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・障がい児保育加算を受ける場合は、障がいと通常保育児童を分けて記載すること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家庭的保育者と家庭的保育補助者それぞれで必要数を満たす必要があります。家庭的保育者が過多かつ家庭的保育補助者が不足する場合は、基本配置の項で、「家庭的保育者➡家庭的保育補助者への振替え」を利用し、家庭的保育者・家庭的保育補助者共に充足するように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基本配置の調理員又は事務員が不足する場合は、その他職種から流用する常勤換算数を入力し、基本配置を充足すること（調理員及び事務員は資格不要）</a:t>
          </a:r>
          <a:endParaRPr lang="en-US" altLang="ja-JP" sz="1000">
            <a:effectLst/>
            <a:latin typeface="ＭＳ ゴシック" panose="020B0609070205080204" pitchFamily="49" charset="-128"/>
            <a:ea typeface="ＭＳ ゴシック" panose="020B0609070205080204" pitchFamily="49" charset="-128"/>
          </a:endParaRPr>
        </a:p>
        <a:p>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必要職員数</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公定価格上の基本配置や加算に必要な職員数を算出し、実際の配置数と比較し過不足を確認</a:t>
          </a:r>
          <a:endParaRPr lang="ja-JP" altLang="ja-JP" sz="1000" b="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　項目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職種ごとの基本配置や加算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留意事項に定められた必要数を自動算出</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配置数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前述の配置数より自動引用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配置数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の結果を表示。マイナスになる場合、充足されていないため見直しが必要であり、見直し後もマイナスの場合は運営指導監査の指導対象となりえる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5</xdr:col>
      <xdr:colOff>638365</xdr:colOff>
      <xdr:row>5</xdr:row>
      <xdr:rowOff>168544</xdr:rowOff>
    </xdr:to>
    <xdr:sp macro="" textlink="">
      <xdr:nvSpPr>
        <xdr:cNvPr id="3" name="テキスト ボックス 2">
          <a:extLst>
            <a:ext uri="{FF2B5EF4-FFF2-40B4-BE49-F238E27FC236}">
              <a16:creationId xmlns:a16="http://schemas.microsoft.com/office/drawing/2014/main" id="{39050298-171D-41B8-8980-75CC34C540DB}"/>
            </a:ext>
          </a:extLst>
        </xdr:cNvPr>
        <xdr:cNvSpPr txBox="1"/>
      </xdr:nvSpPr>
      <xdr:spPr>
        <a:xfrm>
          <a:off x="0" y="0"/>
          <a:ext cx="4683689" cy="1121044"/>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44824</xdr:colOff>
      <xdr:row>0</xdr:row>
      <xdr:rowOff>0</xdr:rowOff>
    </xdr:from>
    <xdr:to>
      <xdr:col>21</xdr:col>
      <xdr:colOff>3788148</xdr:colOff>
      <xdr:row>7</xdr:row>
      <xdr:rowOff>60512</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0130118"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21</xdr:col>
      <xdr:colOff>72038</xdr:colOff>
      <xdr:row>8</xdr:row>
      <xdr:rowOff>28815</xdr:rowOff>
    </xdr:from>
    <xdr:to>
      <xdr:col>21</xdr:col>
      <xdr:colOff>3739163</xdr:colOff>
      <xdr:row>19</xdr:row>
      <xdr:rowOff>268140</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10157332" y="1306286"/>
          <a:ext cx="3667125" cy="605517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記入方法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・上から順に埋めてください。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なお、最終的には</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月時点で</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月の全月の加算状況が埋まるように作成してください。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使用方法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当該様式は、以下の用途で使用いたします。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施設～給付係間での加算申請状況の齟齬が無いかの確認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各精算時の様式作成補助（</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基礎データ入力補助）</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注意</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・本様式は「申請書」ではありません。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本様式で加算をご申請いただいても認定することはできませんのでご注意ください。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加算の申請は様式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で行っていただく必要があります。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9</xdr:col>
      <xdr:colOff>145307</xdr:colOff>
      <xdr:row>6</xdr:row>
      <xdr:rowOff>134926</xdr:rowOff>
    </xdr:to>
    <xdr:sp macro="" textlink="">
      <xdr:nvSpPr>
        <xdr:cNvPr id="4" name="テキスト ボックス 3">
          <a:extLst>
            <a:ext uri="{FF2B5EF4-FFF2-40B4-BE49-F238E27FC236}">
              <a16:creationId xmlns:a16="http://schemas.microsoft.com/office/drawing/2014/main" id="{81B41A0D-FD07-4442-BD17-78DB0311CFCE}"/>
            </a:ext>
          </a:extLst>
        </xdr:cNvPr>
        <xdr:cNvSpPr txBox="1"/>
      </xdr:nvSpPr>
      <xdr:spPr>
        <a:xfrm>
          <a:off x="0" y="0"/>
          <a:ext cx="4683689" cy="1121044"/>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3&#32102;&#20184;&#20418;/02&#65306;&#32102;&#20184;&#36027;&#65288;&#21033;&#29992;&#32773;&#36000;&#25285;&#38989;&#65289;/01&#65306;&#21152;&#31639;&#30003;&#35531;&#38306;&#20418;/01&#65306;&#20966;&#36935;&#25913;&#21892;&#31561;&#21152;&#31639;&#20197;&#22806;/01&#65306;&#27096;&#24335;/2022(R4)/02&#65306;&#20445;&#32946;&#25152;/&#12304;&#20445;&#32946;&#25152;&#12305;2022&#21152;&#31639;&#35519;&#25972;&#38917;&#30446;&#30003;&#35531;&#26360;&#65288;&#9675;&#26376;&#20998;&#65289;Ver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状況(要更新)"/>
      <sheetName val="チーム保育単価(要更新)"/>
      <sheetName val="休日情報(要更新)"/>
      <sheetName val="作成方法"/>
      <sheetName val="【別添】添付書類の表紙"/>
      <sheetName val="【様式１】総括表・個票"/>
      <sheetName val="(別紙１)施設長設置"/>
      <sheetName val="(別紙2)土曜閉所"/>
      <sheetName val="(別紙3)休日"/>
      <sheetName val="(別紙6)定員超過"/>
      <sheetName val="【様式2】職員名簿"/>
      <sheetName val="【様式３】シフト表"/>
      <sheetName val="【様式4】クラス編成表"/>
      <sheetName val="【様式５】職員数算出表"/>
      <sheetName val="【様式6】加算確認表"/>
      <sheetName val="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R701" totalsRowShown="0" headerRowDxfId="112" dataDxfId="111" tableBorderDxfId="110">
  <autoFilter ref="A3:R701" xr:uid="{00000000-0009-0000-0100-000001000000}"/>
  <sortState xmlns:xlrd2="http://schemas.microsoft.com/office/spreadsheetml/2017/richdata2" ref="A4:R701">
    <sortCondition ref="C3:C701"/>
  </sortState>
  <tableColumns count="18">
    <tableColumn id="1" xr3:uid="{00000000-0010-0000-0000-000001000000}" name="ソート①" dataDxfId="109"/>
    <tableColumn id="2" xr3:uid="{00000000-0010-0000-0000-000002000000}" name="列1" dataDxfId="108"/>
    <tableColumn id="3" xr3:uid="{00000000-0010-0000-0000-000003000000}" name="ソート②" dataDxfId="107"/>
    <tableColumn id="4" xr3:uid="{00000000-0010-0000-0000-000004000000}" name="列2" dataDxfId="106"/>
    <tableColumn id="5" xr3:uid="{00000000-0010-0000-0000-000005000000}" name="列3" dataDxfId="105"/>
    <tableColumn id="6" xr3:uid="{00000000-0010-0000-0000-000006000000}" name="列4" dataDxfId="104"/>
    <tableColumn id="7" xr3:uid="{00000000-0010-0000-0000-000007000000}" name="列5" dataDxfId="103"/>
    <tableColumn id="8" xr3:uid="{00000000-0010-0000-0000-000008000000}" name="列6" dataDxfId="102"/>
    <tableColumn id="9" xr3:uid="{00000000-0010-0000-0000-000009000000}" name="列7" dataDxfId="101"/>
    <tableColumn id="10" xr3:uid="{00000000-0010-0000-0000-00000A000000}" name="列8" dataDxfId="100"/>
    <tableColumn id="11" xr3:uid="{00000000-0010-0000-0000-00000B000000}" name="列9" dataDxfId="99"/>
    <tableColumn id="12" xr3:uid="{00000000-0010-0000-0000-00000C000000}" name="列10" dataDxfId="98"/>
    <tableColumn id="13" xr3:uid="{00000000-0010-0000-0000-00000D000000}" name="列11" dataDxfId="97"/>
    <tableColumn id="14" xr3:uid="{00000000-0010-0000-0000-00000E000000}" name="列12" dataDxfId="96"/>
    <tableColumn id="15" xr3:uid="{00000000-0010-0000-0000-00000F000000}" name="列13" dataDxfId="95"/>
    <tableColumn id="16" xr3:uid="{00000000-0010-0000-0000-000010000000}" name="列132" dataDxfId="94"/>
    <tableColumn id="18" xr3:uid="{00000000-0010-0000-0000-000012000000}" name="列133" dataDxfId="93" dataCellStyle="標準 3"/>
    <tableColumn id="17" xr3:uid="{00000000-0010-0000-0000-000011000000}" name="列14" dataDxfId="9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DM1003"/>
  <sheetViews>
    <sheetView workbookViewId="0">
      <pane xSplit="6" ySplit="3" topLeftCell="G4" activePane="bottomRight" state="frozen"/>
      <selection activeCell="F13" sqref="F13"/>
      <selection pane="topRight" activeCell="F13" sqref="F13"/>
      <selection pane="bottomLeft" activeCell="F13" sqref="F13"/>
      <selection pane="bottomRight" activeCell="F13" sqref="F13"/>
    </sheetView>
  </sheetViews>
  <sheetFormatPr defaultRowHeight="13.5"/>
  <cols>
    <col min="1" max="1" width="6.125" style="12" customWidth="1"/>
    <col min="2" max="2" width="8" style="12" customWidth="1"/>
    <col min="3" max="3" width="11.875" style="12" customWidth="1"/>
    <col min="4" max="5" width="8" style="12" customWidth="1"/>
    <col min="6" max="6" width="35.5" style="12" customWidth="1"/>
    <col min="7" max="7" width="20.5" style="12" customWidth="1"/>
    <col min="8" max="11" width="8" style="12" customWidth="1"/>
    <col min="12" max="12" width="8.875" style="12" customWidth="1"/>
    <col min="13" max="13" width="9" style="12" customWidth="1"/>
    <col min="14" max="14" width="10.5" style="12" customWidth="1"/>
    <col min="15" max="15" width="8.875" style="12" customWidth="1"/>
    <col min="16" max="17" width="9.75" style="12" customWidth="1"/>
    <col min="18" max="18" width="8.875" style="12" customWidth="1"/>
    <col min="19" max="21" width="6" style="12" customWidth="1"/>
    <col min="22" max="22" width="14" style="10" customWidth="1"/>
    <col min="23" max="23" width="17.375" style="10" customWidth="1"/>
    <col min="24" max="24" width="10.875" style="11" customWidth="1"/>
    <col min="25" max="33" width="9" style="10"/>
    <col min="34" max="76" width="9" style="12"/>
    <col min="77" max="77" width="13.75" style="12" customWidth="1"/>
    <col min="78" max="249" width="9" style="12"/>
    <col min="250" max="250" width="6" style="12" bestFit="1" customWidth="1"/>
    <col min="251" max="253" width="8" style="12" bestFit="1" customWidth="1"/>
    <col min="254" max="254" width="35.5" style="12" bestFit="1" customWidth="1"/>
    <col min="255" max="255" width="20.5" style="12" bestFit="1" customWidth="1"/>
    <col min="256" max="259" width="8" style="12" bestFit="1" customWidth="1"/>
    <col min="260" max="260" width="8.875" style="12" bestFit="1" customWidth="1"/>
    <col min="261" max="261" width="9" style="12"/>
    <col min="262" max="262" width="10.5" style="12" bestFit="1" customWidth="1"/>
    <col min="263" max="263" width="8.875" style="12" bestFit="1" customWidth="1"/>
    <col min="264" max="264" width="9.75" style="12" bestFit="1" customWidth="1"/>
    <col min="265" max="265" width="8.875" style="12" bestFit="1" customWidth="1"/>
    <col min="266" max="266" width="6" style="12" bestFit="1" customWidth="1"/>
    <col min="267" max="505" width="9" style="12"/>
    <col min="506" max="506" width="6" style="12" bestFit="1" customWidth="1"/>
    <col min="507" max="509" width="8" style="12" bestFit="1" customWidth="1"/>
    <col min="510" max="510" width="35.5" style="12" bestFit="1" customWidth="1"/>
    <col min="511" max="511" width="20.5" style="12" bestFit="1" customWidth="1"/>
    <col min="512" max="515" width="8" style="12" bestFit="1" customWidth="1"/>
    <col min="516" max="516" width="8.875" style="12" bestFit="1" customWidth="1"/>
    <col min="517" max="517" width="9" style="12"/>
    <col min="518" max="518" width="10.5" style="12" bestFit="1" customWidth="1"/>
    <col min="519" max="519" width="8.875" style="12" bestFit="1" customWidth="1"/>
    <col min="520" max="520" width="9.75" style="12" bestFit="1" customWidth="1"/>
    <col min="521" max="521" width="8.875" style="12" bestFit="1" customWidth="1"/>
    <col min="522" max="522" width="6" style="12" bestFit="1" customWidth="1"/>
    <col min="523" max="761" width="9" style="12"/>
    <col min="762" max="762" width="6" style="12" bestFit="1" customWidth="1"/>
    <col min="763" max="765" width="8" style="12" bestFit="1" customWidth="1"/>
    <col min="766" max="766" width="35.5" style="12" bestFit="1" customWidth="1"/>
    <col min="767" max="767" width="20.5" style="12" bestFit="1" customWidth="1"/>
    <col min="768" max="771" width="8" style="12" bestFit="1" customWidth="1"/>
    <col min="772" max="772" width="8.875" style="12" bestFit="1" customWidth="1"/>
    <col min="773" max="773" width="9" style="12"/>
    <col min="774" max="774" width="10.5" style="12" bestFit="1" customWidth="1"/>
    <col min="775" max="775" width="8.875" style="12" bestFit="1" customWidth="1"/>
    <col min="776" max="776" width="9.75" style="12" bestFit="1" customWidth="1"/>
    <col min="777" max="777" width="8.875" style="12" bestFit="1" customWidth="1"/>
    <col min="778" max="778" width="6" style="12" bestFit="1" customWidth="1"/>
    <col min="779" max="1017" width="9" style="12"/>
    <col min="1018" max="1018" width="6" style="12" bestFit="1" customWidth="1"/>
    <col min="1019" max="1021" width="8" style="12" bestFit="1" customWidth="1"/>
    <col min="1022" max="1022" width="35.5" style="12" bestFit="1" customWidth="1"/>
    <col min="1023" max="1023" width="20.5" style="12" bestFit="1" customWidth="1"/>
    <col min="1024" max="1027" width="8" style="12" bestFit="1" customWidth="1"/>
    <col min="1028" max="1028" width="8.875" style="12" bestFit="1" customWidth="1"/>
    <col min="1029" max="1029" width="9" style="12"/>
    <col min="1030" max="1030" width="10.5" style="12" bestFit="1" customWidth="1"/>
    <col min="1031" max="1031" width="8.875" style="12" bestFit="1" customWidth="1"/>
    <col min="1032" max="1032" width="9.75" style="12" bestFit="1" customWidth="1"/>
    <col min="1033" max="1033" width="8.875" style="12" bestFit="1" customWidth="1"/>
    <col min="1034" max="1034" width="6" style="12" bestFit="1" customWidth="1"/>
    <col min="1035" max="1273" width="9" style="12"/>
    <col min="1274" max="1274" width="6" style="12" bestFit="1" customWidth="1"/>
    <col min="1275" max="1277" width="8" style="12" bestFit="1" customWidth="1"/>
    <col min="1278" max="1278" width="35.5" style="12" bestFit="1" customWidth="1"/>
    <col min="1279" max="1279" width="20.5" style="12" bestFit="1" customWidth="1"/>
    <col min="1280" max="1283" width="8" style="12" bestFit="1" customWidth="1"/>
    <col min="1284" max="1284" width="8.875" style="12" bestFit="1" customWidth="1"/>
    <col min="1285" max="1285" width="9" style="12"/>
    <col min="1286" max="1286" width="10.5" style="12" bestFit="1" customWidth="1"/>
    <col min="1287" max="1287" width="8.875" style="12" bestFit="1" customWidth="1"/>
    <col min="1288" max="1288" width="9.75" style="12" bestFit="1" customWidth="1"/>
    <col min="1289" max="1289" width="8.875" style="12" bestFit="1" customWidth="1"/>
    <col min="1290" max="1290" width="6" style="12" bestFit="1" customWidth="1"/>
    <col min="1291" max="1529" width="9" style="12"/>
    <col min="1530" max="1530" width="6" style="12" bestFit="1" customWidth="1"/>
    <col min="1531" max="1533" width="8" style="12" bestFit="1" customWidth="1"/>
    <col min="1534" max="1534" width="35.5" style="12" bestFit="1" customWidth="1"/>
    <col min="1535" max="1535" width="20.5" style="12" bestFit="1" customWidth="1"/>
    <col min="1536" max="1539" width="8" style="12" bestFit="1" customWidth="1"/>
    <col min="1540" max="1540" width="8.875" style="12" bestFit="1" customWidth="1"/>
    <col min="1541" max="1541" width="9" style="12"/>
    <col min="1542" max="1542" width="10.5" style="12" bestFit="1" customWidth="1"/>
    <col min="1543" max="1543" width="8.875" style="12" bestFit="1" customWidth="1"/>
    <col min="1544" max="1544" width="9.75" style="12" bestFit="1" customWidth="1"/>
    <col min="1545" max="1545" width="8.875" style="12" bestFit="1" customWidth="1"/>
    <col min="1546" max="1546" width="6" style="12" bestFit="1" customWidth="1"/>
    <col min="1547" max="1785" width="9" style="12"/>
    <col min="1786" max="1786" width="6" style="12" bestFit="1" customWidth="1"/>
    <col min="1787" max="1789" width="8" style="12" bestFit="1" customWidth="1"/>
    <col min="1790" max="1790" width="35.5" style="12" bestFit="1" customWidth="1"/>
    <col min="1791" max="1791" width="20.5" style="12" bestFit="1" customWidth="1"/>
    <col min="1792" max="1795" width="8" style="12" bestFit="1" customWidth="1"/>
    <col min="1796" max="1796" width="8.875" style="12" bestFit="1" customWidth="1"/>
    <col min="1797" max="1797" width="9" style="12"/>
    <col min="1798" max="1798" width="10.5" style="12" bestFit="1" customWidth="1"/>
    <col min="1799" max="1799" width="8.875" style="12" bestFit="1" customWidth="1"/>
    <col min="1800" max="1800" width="9.75" style="12" bestFit="1" customWidth="1"/>
    <col min="1801" max="1801" width="8.875" style="12" bestFit="1" customWidth="1"/>
    <col min="1802" max="1802" width="6" style="12" bestFit="1" customWidth="1"/>
    <col min="1803" max="2041" width="9" style="12"/>
    <col min="2042" max="2042" width="6" style="12" bestFit="1" customWidth="1"/>
    <col min="2043" max="2045" width="8" style="12" bestFit="1" customWidth="1"/>
    <col min="2046" max="2046" width="35.5" style="12" bestFit="1" customWidth="1"/>
    <col min="2047" max="2047" width="20.5" style="12" bestFit="1" customWidth="1"/>
    <col min="2048" max="2051" width="8" style="12" bestFit="1" customWidth="1"/>
    <col min="2052" max="2052" width="8.875" style="12" bestFit="1" customWidth="1"/>
    <col min="2053" max="2053" width="9" style="12"/>
    <col min="2054" max="2054" width="10.5" style="12" bestFit="1" customWidth="1"/>
    <col min="2055" max="2055" width="8.875" style="12" bestFit="1" customWidth="1"/>
    <col min="2056" max="2056" width="9.75" style="12" bestFit="1" customWidth="1"/>
    <col min="2057" max="2057" width="8.875" style="12" bestFit="1" customWidth="1"/>
    <col min="2058" max="2058" width="6" style="12" bestFit="1" customWidth="1"/>
    <col min="2059" max="2297" width="9" style="12"/>
    <col min="2298" max="2298" width="6" style="12" bestFit="1" customWidth="1"/>
    <col min="2299" max="2301" width="8" style="12" bestFit="1" customWidth="1"/>
    <col min="2302" max="2302" width="35.5" style="12" bestFit="1" customWidth="1"/>
    <col min="2303" max="2303" width="20.5" style="12" bestFit="1" customWidth="1"/>
    <col min="2304" max="2307" width="8" style="12" bestFit="1" customWidth="1"/>
    <col min="2308" max="2308" width="8.875" style="12" bestFit="1" customWidth="1"/>
    <col min="2309" max="2309" width="9" style="12"/>
    <col min="2310" max="2310" width="10.5" style="12" bestFit="1" customWidth="1"/>
    <col min="2311" max="2311" width="8.875" style="12" bestFit="1" customWidth="1"/>
    <col min="2312" max="2312" width="9.75" style="12" bestFit="1" customWidth="1"/>
    <col min="2313" max="2313" width="8.875" style="12" bestFit="1" customWidth="1"/>
    <col min="2314" max="2314" width="6" style="12" bestFit="1" customWidth="1"/>
    <col min="2315" max="2553" width="9" style="12"/>
    <col min="2554" max="2554" width="6" style="12" bestFit="1" customWidth="1"/>
    <col min="2555" max="2557" width="8" style="12" bestFit="1" customWidth="1"/>
    <col min="2558" max="2558" width="35.5" style="12" bestFit="1" customWidth="1"/>
    <col min="2559" max="2559" width="20.5" style="12" bestFit="1" customWidth="1"/>
    <col min="2560" max="2563" width="8" style="12" bestFit="1" customWidth="1"/>
    <col min="2564" max="2564" width="8.875" style="12" bestFit="1" customWidth="1"/>
    <col min="2565" max="2565" width="9" style="12"/>
    <col min="2566" max="2566" width="10.5" style="12" bestFit="1" customWidth="1"/>
    <col min="2567" max="2567" width="8.875" style="12" bestFit="1" customWidth="1"/>
    <col min="2568" max="2568" width="9.75" style="12" bestFit="1" customWidth="1"/>
    <col min="2569" max="2569" width="8.875" style="12" bestFit="1" customWidth="1"/>
    <col min="2570" max="2570" width="6" style="12" bestFit="1" customWidth="1"/>
    <col min="2571" max="2809" width="9" style="12"/>
    <col min="2810" max="2810" width="6" style="12" bestFit="1" customWidth="1"/>
    <col min="2811" max="2813" width="8" style="12" bestFit="1" customWidth="1"/>
    <col min="2814" max="2814" width="35.5" style="12" bestFit="1" customWidth="1"/>
    <col min="2815" max="2815" width="20.5" style="12" bestFit="1" customWidth="1"/>
    <col min="2816" max="2819" width="8" style="12" bestFit="1" customWidth="1"/>
    <col min="2820" max="2820" width="8.875" style="12" bestFit="1" customWidth="1"/>
    <col min="2821" max="2821" width="9" style="12"/>
    <col min="2822" max="2822" width="10.5" style="12" bestFit="1" customWidth="1"/>
    <col min="2823" max="2823" width="8.875" style="12" bestFit="1" customWidth="1"/>
    <col min="2824" max="2824" width="9.75" style="12" bestFit="1" customWidth="1"/>
    <col min="2825" max="2825" width="8.875" style="12" bestFit="1" customWidth="1"/>
    <col min="2826" max="2826" width="6" style="12" bestFit="1" customWidth="1"/>
    <col min="2827" max="3065" width="9" style="12"/>
    <col min="3066" max="3066" width="6" style="12" bestFit="1" customWidth="1"/>
    <col min="3067" max="3069" width="8" style="12" bestFit="1" customWidth="1"/>
    <col min="3070" max="3070" width="35.5" style="12" bestFit="1" customWidth="1"/>
    <col min="3071" max="3071" width="20.5" style="12" bestFit="1" customWidth="1"/>
    <col min="3072" max="3075" width="8" style="12" bestFit="1" customWidth="1"/>
    <col min="3076" max="3076" width="8.875" style="12" bestFit="1" customWidth="1"/>
    <col min="3077" max="3077" width="9" style="12"/>
    <col min="3078" max="3078" width="10.5" style="12" bestFit="1" customWidth="1"/>
    <col min="3079" max="3079" width="8.875" style="12" bestFit="1" customWidth="1"/>
    <col min="3080" max="3080" width="9.75" style="12" bestFit="1" customWidth="1"/>
    <col min="3081" max="3081" width="8.875" style="12" bestFit="1" customWidth="1"/>
    <col min="3082" max="3082" width="6" style="12" bestFit="1" customWidth="1"/>
    <col min="3083" max="3321" width="9" style="12"/>
    <col min="3322" max="3322" width="6" style="12" bestFit="1" customWidth="1"/>
    <col min="3323" max="3325" width="8" style="12" bestFit="1" customWidth="1"/>
    <col min="3326" max="3326" width="35.5" style="12" bestFit="1" customWidth="1"/>
    <col min="3327" max="3327" width="20.5" style="12" bestFit="1" customWidth="1"/>
    <col min="3328" max="3331" width="8" style="12" bestFit="1" customWidth="1"/>
    <col min="3332" max="3332" width="8.875" style="12" bestFit="1" customWidth="1"/>
    <col min="3333" max="3333" width="9" style="12"/>
    <col min="3334" max="3334" width="10.5" style="12" bestFit="1" customWidth="1"/>
    <col min="3335" max="3335" width="8.875" style="12" bestFit="1" customWidth="1"/>
    <col min="3336" max="3336" width="9.75" style="12" bestFit="1" customWidth="1"/>
    <col min="3337" max="3337" width="8.875" style="12" bestFit="1" customWidth="1"/>
    <col min="3338" max="3338" width="6" style="12" bestFit="1" customWidth="1"/>
    <col min="3339" max="3577" width="9" style="12"/>
    <col min="3578" max="3578" width="6" style="12" bestFit="1" customWidth="1"/>
    <col min="3579" max="3581" width="8" style="12" bestFit="1" customWidth="1"/>
    <col min="3582" max="3582" width="35.5" style="12" bestFit="1" customWidth="1"/>
    <col min="3583" max="3583" width="20.5" style="12" bestFit="1" customWidth="1"/>
    <col min="3584" max="3587" width="8" style="12" bestFit="1" customWidth="1"/>
    <col min="3588" max="3588" width="8.875" style="12" bestFit="1" customWidth="1"/>
    <col min="3589" max="3589" width="9" style="12"/>
    <col min="3590" max="3590" width="10.5" style="12" bestFit="1" customWidth="1"/>
    <col min="3591" max="3591" width="8.875" style="12" bestFit="1" customWidth="1"/>
    <col min="3592" max="3592" width="9.75" style="12" bestFit="1" customWidth="1"/>
    <col min="3593" max="3593" width="8.875" style="12" bestFit="1" customWidth="1"/>
    <col min="3594" max="3594" width="6" style="12" bestFit="1" customWidth="1"/>
    <col min="3595" max="3833" width="9" style="12"/>
    <col min="3834" max="3834" width="6" style="12" bestFit="1" customWidth="1"/>
    <col min="3835" max="3837" width="8" style="12" bestFit="1" customWidth="1"/>
    <col min="3838" max="3838" width="35.5" style="12" bestFit="1" customWidth="1"/>
    <col min="3839" max="3839" width="20.5" style="12" bestFit="1" customWidth="1"/>
    <col min="3840" max="3843" width="8" style="12" bestFit="1" customWidth="1"/>
    <col min="3844" max="3844" width="8.875" style="12" bestFit="1" customWidth="1"/>
    <col min="3845" max="3845" width="9" style="12"/>
    <col min="3846" max="3846" width="10.5" style="12" bestFit="1" customWidth="1"/>
    <col min="3847" max="3847" width="8.875" style="12" bestFit="1" customWidth="1"/>
    <col min="3848" max="3848" width="9.75" style="12" bestFit="1" customWidth="1"/>
    <col min="3849" max="3849" width="8.875" style="12" bestFit="1" customWidth="1"/>
    <col min="3850" max="3850" width="6" style="12" bestFit="1" customWidth="1"/>
    <col min="3851" max="4089" width="9" style="12"/>
    <col min="4090" max="4090" width="6" style="12" bestFit="1" customWidth="1"/>
    <col min="4091" max="4093" width="8" style="12" bestFit="1" customWidth="1"/>
    <col min="4094" max="4094" width="35.5" style="12" bestFit="1" customWidth="1"/>
    <col min="4095" max="4095" width="20.5" style="12" bestFit="1" customWidth="1"/>
    <col min="4096" max="4099" width="8" style="12" bestFit="1" customWidth="1"/>
    <col min="4100" max="4100" width="8.875" style="12" bestFit="1" customWidth="1"/>
    <col min="4101" max="4101" width="9" style="12"/>
    <col min="4102" max="4102" width="10.5" style="12" bestFit="1" customWidth="1"/>
    <col min="4103" max="4103" width="8.875" style="12" bestFit="1" customWidth="1"/>
    <col min="4104" max="4104" width="9.75" style="12" bestFit="1" customWidth="1"/>
    <col min="4105" max="4105" width="8.875" style="12" bestFit="1" customWidth="1"/>
    <col min="4106" max="4106" width="6" style="12" bestFit="1" customWidth="1"/>
    <col min="4107" max="4345" width="9" style="12"/>
    <col min="4346" max="4346" width="6" style="12" bestFit="1" customWidth="1"/>
    <col min="4347" max="4349" width="8" style="12" bestFit="1" customWidth="1"/>
    <col min="4350" max="4350" width="35.5" style="12" bestFit="1" customWidth="1"/>
    <col min="4351" max="4351" width="20.5" style="12" bestFit="1" customWidth="1"/>
    <col min="4352" max="4355" width="8" style="12" bestFit="1" customWidth="1"/>
    <col min="4356" max="4356" width="8.875" style="12" bestFit="1" customWidth="1"/>
    <col min="4357" max="4357" width="9" style="12"/>
    <col min="4358" max="4358" width="10.5" style="12" bestFit="1" customWidth="1"/>
    <col min="4359" max="4359" width="8.875" style="12" bestFit="1" customWidth="1"/>
    <col min="4360" max="4360" width="9.75" style="12" bestFit="1" customWidth="1"/>
    <col min="4361" max="4361" width="8.875" style="12" bestFit="1" customWidth="1"/>
    <col min="4362" max="4362" width="6" style="12" bestFit="1" customWidth="1"/>
    <col min="4363" max="4601" width="9" style="12"/>
    <col min="4602" max="4602" width="6" style="12" bestFit="1" customWidth="1"/>
    <col min="4603" max="4605" width="8" style="12" bestFit="1" customWidth="1"/>
    <col min="4606" max="4606" width="35.5" style="12" bestFit="1" customWidth="1"/>
    <col min="4607" max="4607" width="20.5" style="12" bestFit="1" customWidth="1"/>
    <col min="4608" max="4611" width="8" style="12" bestFit="1" customWidth="1"/>
    <col min="4612" max="4612" width="8.875" style="12" bestFit="1" customWidth="1"/>
    <col min="4613" max="4613" width="9" style="12"/>
    <col min="4614" max="4614" width="10.5" style="12" bestFit="1" customWidth="1"/>
    <col min="4615" max="4615" width="8.875" style="12" bestFit="1" customWidth="1"/>
    <col min="4616" max="4616" width="9.75" style="12" bestFit="1" customWidth="1"/>
    <col min="4617" max="4617" width="8.875" style="12" bestFit="1" customWidth="1"/>
    <col min="4618" max="4618" width="6" style="12" bestFit="1" customWidth="1"/>
    <col min="4619" max="4857" width="9" style="12"/>
    <col min="4858" max="4858" width="6" style="12" bestFit="1" customWidth="1"/>
    <col min="4859" max="4861" width="8" style="12" bestFit="1" customWidth="1"/>
    <col min="4862" max="4862" width="35.5" style="12" bestFit="1" customWidth="1"/>
    <col min="4863" max="4863" width="20.5" style="12" bestFit="1" customWidth="1"/>
    <col min="4864" max="4867" width="8" style="12" bestFit="1" customWidth="1"/>
    <col min="4868" max="4868" width="8.875" style="12" bestFit="1" customWidth="1"/>
    <col min="4869" max="4869" width="9" style="12"/>
    <col min="4870" max="4870" width="10.5" style="12" bestFit="1" customWidth="1"/>
    <col min="4871" max="4871" width="8.875" style="12" bestFit="1" customWidth="1"/>
    <col min="4872" max="4872" width="9.75" style="12" bestFit="1" customWidth="1"/>
    <col min="4873" max="4873" width="8.875" style="12" bestFit="1" customWidth="1"/>
    <col min="4874" max="4874" width="6" style="12" bestFit="1" customWidth="1"/>
    <col min="4875" max="5113" width="9" style="12"/>
    <col min="5114" max="5114" width="6" style="12" bestFit="1" customWidth="1"/>
    <col min="5115" max="5117" width="8" style="12" bestFit="1" customWidth="1"/>
    <col min="5118" max="5118" width="35.5" style="12" bestFit="1" customWidth="1"/>
    <col min="5119" max="5119" width="20.5" style="12" bestFit="1" customWidth="1"/>
    <col min="5120" max="5123" width="8" style="12" bestFit="1" customWidth="1"/>
    <col min="5124" max="5124" width="8.875" style="12" bestFit="1" customWidth="1"/>
    <col min="5125" max="5125" width="9" style="12"/>
    <col min="5126" max="5126" width="10.5" style="12" bestFit="1" customWidth="1"/>
    <col min="5127" max="5127" width="8.875" style="12" bestFit="1" customWidth="1"/>
    <col min="5128" max="5128" width="9.75" style="12" bestFit="1" customWidth="1"/>
    <col min="5129" max="5129" width="8.875" style="12" bestFit="1" customWidth="1"/>
    <col min="5130" max="5130" width="6" style="12" bestFit="1" customWidth="1"/>
    <col min="5131" max="5369" width="9" style="12"/>
    <col min="5370" max="5370" width="6" style="12" bestFit="1" customWidth="1"/>
    <col min="5371" max="5373" width="8" style="12" bestFit="1" customWidth="1"/>
    <col min="5374" max="5374" width="35.5" style="12" bestFit="1" customWidth="1"/>
    <col min="5375" max="5375" width="20.5" style="12" bestFit="1" customWidth="1"/>
    <col min="5376" max="5379" width="8" style="12" bestFit="1" customWidth="1"/>
    <col min="5380" max="5380" width="8.875" style="12" bestFit="1" customWidth="1"/>
    <col min="5381" max="5381" width="9" style="12"/>
    <col min="5382" max="5382" width="10.5" style="12" bestFit="1" customWidth="1"/>
    <col min="5383" max="5383" width="8.875" style="12" bestFit="1" customWidth="1"/>
    <col min="5384" max="5384" width="9.75" style="12" bestFit="1" customWidth="1"/>
    <col min="5385" max="5385" width="8.875" style="12" bestFit="1" customWidth="1"/>
    <col min="5386" max="5386" width="6" style="12" bestFit="1" customWidth="1"/>
    <col min="5387" max="5625" width="9" style="12"/>
    <col min="5626" max="5626" width="6" style="12" bestFit="1" customWidth="1"/>
    <col min="5627" max="5629" width="8" style="12" bestFit="1" customWidth="1"/>
    <col min="5630" max="5630" width="35.5" style="12" bestFit="1" customWidth="1"/>
    <col min="5631" max="5631" width="20.5" style="12" bestFit="1" customWidth="1"/>
    <col min="5632" max="5635" width="8" style="12" bestFit="1" customWidth="1"/>
    <col min="5636" max="5636" width="8.875" style="12" bestFit="1" customWidth="1"/>
    <col min="5637" max="5637" width="9" style="12"/>
    <col min="5638" max="5638" width="10.5" style="12" bestFit="1" customWidth="1"/>
    <col min="5639" max="5639" width="8.875" style="12" bestFit="1" customWidth="1"/>
    <col min="5640" max="5640" width="9.75" style="12" bestFit="1" customWidth="1"/>
    <col min="5641" max="5641" width="8.875" style="12" bestFit="1" customWidth="1"/>
    <col min="5642" max="5642" width="6" style="12" bestFit="1" customWidth="1"/>
    <col min="5643" max="5881" width="9" style="12"/>
    <col min="5882" max="5882" width="6" style="12" bestFit="1" customWidth="1"/>
    <col min="5883" max="5885" width="8" style="12" bestFit="1" customWidth="1"/>
    <col min="5886" max="5886" width="35.5" style="12" bestFit="1" customWidth="1"/>
    <col min="5887" max="5887" width="20.5" style="12" bestFit="1" customWidth="1"/>
    <col min="5888" max="5891" width="8" style="12" bestFit="1" customWidth="1"/>
    <col min="5892" max="5892" width="8.875" style="12" bestFit="1" customWidth="1"/>
    <col min="5893" max="5893" width="9" style="12"/>
    <col min="5894" max="5894" width="10.5" style="12" bestFit="1" customWidth="1"/>
    <col min="5895" max="5895" width="8.875" style="12" bestFit="1" customWidth="1"/>
    <col min="5896" max="5896" width="9.75" style="12" bestFit="1" customWidth="1"/>
    <col min="5897" max="5897" width="8.875" style="12" bestFit="1" customWidth="1"/>
    <col min="5898" max="5898" width="6" style="12" bestFit="1" customWidth="1"/>
    <col min="5899" max="6137" width="9" style="12"/>
    <col min="6138" max="6138" width="6" style="12" bestFit="1" customWidth="1"/>
    <col min="6139" max="6141" width="8" style="12" bestFit="1" customWidth="1"/>
    <col min="6142" max="6142" width="35.5" style="12" bestFit="1" customWidth="1"/>
    <col min="6143" max="6143" width="20.5" style="12" bestFit="1" customWidth="1"/>
    <col min="6144" max="6147" width="8" style="12" bestFit="1" customWidth="1"/>
    <col min="6148" max="6148" width="8.875" style="12" bestFit="1" customWidth="1"/>
    <col min="6149" max="6149" width="9" style="12"/>
    <col min="6150" max="6150" width="10.5" style="12" bestFit="1" customWidth="1"/>
    <col min="6151" max="6151" width="8.875" style="12" bestFit="1" customWidth="1"/>
    <col min="6152" max="6152" width="9.75" style="12" bestFit="1" customWidth="1"/>
    <col min="6153" max="6153" width="8.875" style="12" bestFit="1" customWidth="1"/>
    <col min="6154" max="6154" width="6" style="12" bestFit="1" customWidth="1"/>
    <col min="6155" max="6393" width="9" style="12"/>
    <col min="6394" max="6394" width="6" style="12" bestFit="1" customWidth="1"/>
    <col min="6395" max="6397" width="8" style="12" bestFit="1" customWidth="1"/>
    <col min="6398" max="6398" width="35.5" style="12" bestFit="1" customWidth="1"/>
    <col min="6399" max="6399" width="20.5" style="12" bestFit="1" customWidth="1"/>
    <col min="6400" max="6403" width="8" style="12" bestFit="1" customWidth="1"/>
    <col min="6404" max="6404" width="8.875" style="12" bestFit="1" customWidth="1"/>
    <col min="6405" max="6405" width="9" style="12"/>
    <col min="6406" max="6406" width="10.5" style="12" bestFit="1" customWidth="1"/>
    <col min="6407" max="6407" width="8.875" style="12" bestFit="1" customWidth="1"/>
    <col min="6408" max="6408" width="9.75" style="12" bestFit="1" customWidth="1"/>
    <col min="6409" max="6409" width="8.875" style="12" bestFit="1" customWidth="1"/>
    <col min="6410" max="6410" width="6" style="12" bestFit="1" customWidth="1"/>
    <col min="6411" max="6649" width="9" style="12"/>
    <col min="6650" max="6650" width="6" style="12" bestFit="1" customWidth="1"/>
    <col min="6651" max="6653" width="8" style="12" bestFit="1" customWidth="1"/>
    <col min="6654" max="6654" width="35.5" style="12" bestFit="1" customWidth="1"/>
    <col min="6655" max="6655" width="20.5" style="12" bestFit="1" customWidth="1"/>
    <col min="6656" max="6659" width="8" style="12" bestFit="1" customWidth="1"/>
    <col min="6660" max="6660" width="8.875" style="12" bestFit="1" customWidth="1"/>
    <col min="6661" max="6661" width="9" style="12"/>
    <col min="6662" max="6662" width="10.5" style="12" bestFit="1" customWidth="1"/>
    <col min="6663" max="6663" width="8.875" style="12" bestFit="1" customWidth="1"/>
    <col min="6664" max="6664" width="9.75" style="12" bestFit="1" customWidth="1"/>
    <col min="6665" max="6665" width="8.875" style="12" bestFit="1" customWidth="1"/>
    <col min="6666" max="6666" width="6" style="12" bestFit="1" customWidth="1"/>
    <col min="6667" max="6905" width="9" style="12"/>
    <col min="6906" max="6906" width="6" style="12" bestFit="1" customWidth="1"/>
    <col min="6907" max="6909" width="8" style="12" bestFit="1" customWidth="1"/>
    <col min="6910" max="6910" width="35.5" style="12" bestFit="1" customWidth="1"/>
    <col min="6911" max="6911" width="20.5" style="12" bestFit="1" customWidth="1"/>
    <col min="6912" max="6915" width="8" style="12" bestFit="1" customWidth="1"/>
    <col min="6916" max="6916" width="8.875" style="12" bestFit="1" customWidth="1"/>
    <col min="6917" max="6917" width="9" style="12"/>
    <col min="6918" max="6918" width="10.5" style="12" bestFit="1" customWidth="1"/>
    <col min="6919" max="6919" width="8.875" style="12" bestFit="1" customWidth="1"/>
    <col min="6920" max="6920" width="9.75" style="12" bestFit="1" customWidth="1"/>
    <col min="6921" max="6921" width="8.875" style="12" bestFit="1" customWidth="1"/>
    <col min="6922" max="6922" width="6" style="12" bestFit="1" customWidth="1"/>
    <col min="6923" max="7161" width="9" style="12"/>
    <col min="7162" max="7162" width="6" style="12" bestFit="1" customWidth="1"/>
    <col min="7163" max="7165" width="8" style="12" bestFit="1" customWidth="1"/>
    <col min="7166" max="7166" width="35.5" style="12" bestFit="1" customWidth="1"/>
    <col min="7167" max="7167" width="20.5" style="12" bestFit="1" customWidth="1"/>
    <col min="7168" max="7171" width="8" style="12" bestFit="1" customWidth="1"/>
    <col min="7172" max="7172" width="8.875" style="12" bestFit="1" customWidth="1"/>
    <col min="7173" max="7173" width="9" style="12"/>
    <col min="7174" max="7174" width="10.5" style="12" bestFit="1" customWidth="1"/>
    <col min="7175" max="7175" width="8.875" style="12" bestFit="1" customWidth="1"/>
    <col min="7176" max="7176" width="9.75" style="12" bestFit="1" customWidth="1"/>
    <col min="7177" max="7177" width="8.875" style="12" bestFit="1" customWidth="1"/>
    <col min="7178" max="7178" width="6" style="12" bestFit="1" customWidth="1"/>
    <col min="7179" max="7417" width="9" style="12"/>
    <col min="7418" max="7418" width="6" style="12" bestFit="1" customWidth="1"/>
    <col min="7419" max="7421" width="8" style="12" bestFit="1" customWidth="1"/>
    <col min="7422" max="7422" width="35.5" style="12" bestFit="1" customWidth="1"/>
    <col min="7423" max="7423" width="20.5" style="12" bestFit="1" customWidth="1"/>
    <col min="7424" max="7427" width="8" style="12" bestFit="1" customWidth="1"/>
    <col min="7428" max="7428" width="8.875" style="12" bestFit="1" customWidth="1"/>
    <col min="7429" max="7429" width="9" style="12"/>
    <col min="7430" max="7430" width="10.5" style="12" bestFit="1" customWidth="1"/>
    <col min="7431" max="7431" width="8.875" style="12" bestFit="1" customWidth="1"/>
    <col min="7432" max="7432" width="9.75" style="12" bestFit="1" customWidth="1"/>
    <col min="7433" max="7433" width="8.875" style="12" bestFit="1" customWidth="1"/>
    <col min="7434" max="7434" width="6" style="12" bestFit="1" customWidth="1"/>
    <col min="7435" max="7673" width="9" style="12"/>
    <col min="7674" max="7674" width="6" style="12" bestFit="1" customWidth="1"/>
    <col min="7675" max="7677" width="8" style="12" bestFit="1" customWidth="1"/>
    <col min="7678" max="7678" width="35.5" style="12" bestFit="1" customWidth="1"/>
    <col min="7679" max="7679" width="20.5" style="12" bestFit="1" customWidth="1"/>
    <col min="7680" max="7683" width="8" style="12" bestFit="1" customWidth="1"/>
    <col min="7684" max="7684" width="8.875" style="12" bestFit="1" customWidth="1"/>
    <col min="7685" max="7685" width="9" style="12"/>
    <col min="7686" max="7686" width="10.5" style="12" bestFit="1" customWidth="1"/>
    <col min="7687" max="7687" width="8.875" style="12" bestFit="1" customWidth="1"/>
    <col min="7688" max="7688" width="9.75" style="12" bestFit="1" customWidth="1"/>
    <col min="7689" max="7689" width="8.875" style="12" bestFit="1" customWidth="1"/>
    <col min="7690" max="7690" width="6" style="12" bestFit="1" customWidth="1"/>
    <col min="7691" max="7929" width="9" style="12"/>
    <col min="7930" max="7930" width="6" style="12" bestFit="1" customWidth="1"/>
    <col min="7931" max="7933" width="8" style="12" bestFit="1" customWidth="1"/>
    <col min="7934" max="7934" width="35.5" style="12" bestFit="1" customWidth="1"/>
    <col min="7935" max="7935" width="20.5" style="12" bestFit="1" customWidth="1"/>
    <col min="7936" max="7939" width="8" style="12" bestFit="1" customWidth="1"/>
    <col min="7940" max="7940" width="8.875" style="12" bestFit="1" customWidth="1"/>
    <col min="7941" max="7941" width="9" style="12"/>
    <col min="7942" max="7942" width="10.5" style="12" bestFit="1" customWidth="1"/>
    <col min="7943" max="7943" width="8.875" style="12" bestFit="1" customWidth="1"/>
    <col min="7944" max="7944" width="9.75" style="12" bestFit="1" customWidth="1"/>
    <col min="7945" max="7945" width="8.875" style="12" bestFit="1" customWidth="1"/>
    <col min="7946" max="7946" width="6" style="12" bestFit="1" customWidth="1"/>
    <col min="7947" max="8185" width="9" style="12"/>
    <col min="8186" max="8186" width="6" style="12" bestFit="1" customWidth="1"/>
    <col min="8187" max="8189" width="8" style="12" bestFit="1" customWidth="1"/>
    <col min="8190" max="8190" width="35.5" style="12" bestFit="1" customWidth="1"/>
    <col min="8191" max="8191" width="20.5" style="12" bestFit="1" customWidth="1"/>
    <col min="8192" max="8195" width="8" style="12" bestFit="1" customWidth="1"/>
    <col min="8196" max="8196" width="8.875" style="12" bestFit="1" customWidth="1"/>
    <col min="8197" max="8197" width="9" style="12"/>
    <col min="8198" max="8198" width="10.5" style="12" bestFit="1" customWidth="1"/>
    <col min="8199" max="8199" width="8.875" style="12" bestFit="1" customWidth="1"/>
    <col min="8200" max="8200" width="9.75" style="12" bestFit="1" customWidth="1"/>
    <col min="8201" max="8201" width="8.875" style="12" bestFit="1" customWidth="1"/>
    <col min="8202" max="8202" width="6" style="12" bestFit="1" customWidth="1"/>
    <col min="8203" max="8441" width="9" style="12"/>
    <col min="8442" max="8442" width="6" style="12" bestFit="1" customWidth="1"/>
    <col min="8443" max="8445" width="8" style="12" bestFit="1" customWidth="1"/>
    <col min="8446" max="8446" width="35.5" style="12" bestFit="1" customWidth="1"/>
    <col min="8447" max="8447" width="20.5" style="12" bestFit="1" customWidth="1"/>
    <col min="8448" max="8451" width="8" style="12" bestFit="1" customWidth="1"/>
    <col min="8452" max="8452" width="8.875" style="12" bestFit="1" customWidth="1"/>
    <col min="8453" max="8453" width="9" style="12"/>
    <col min="8454" max="8454" width="10.5" style="12" bestFit="1" customWidth="1"/>
    <col min="8455" max="8455" width="8.875" style="12" bestFit="1" customWidth="1"/>
    <col min="8456" max="8456" width="9.75" style="12" bestFit="1" customWidth="1"/>
    <col min="8457" max="8457" width="8.875" style="12" bestFit="1" customWidth="1"/>
    <col min="8458" max="8458" width="6" style="12" bestFit="1" customWidth="1"/>
    <col min="8459" max="8697" width="9" style="12"/>
    <col min="8698" max="8698" width="6" style="12" bestFit="1" customWidth="1"/>
    <col min="8699" max="8701" width="8" style="12" bestFit="1" customWidth="1"/>
    <col min="8702" max="8702" width="35.5" style="12" bestFit="1" customWidth="1"/>
    <col min="8703" max="8703" width="20.5" style="12" bestFit="1" customWidth="1"/>
    <col min="8704" max="8707" width="8" style="12" bestFit="1" customWidth="1"/>
    <col min="8708" max="8708" width="8.875" style="12" bestFit="1" customWidth="1"/>
    <col min="8709" max="8709" width="9" style="12"/>
    <col min="8710" max="8710" width="10.5" style="12" bestFit="1" customWidth="1"/>
    <col min="8711" max="8711" width="8.875" style="12" bestFit="1" customWidth="1"/>
    <col min="8712" max="8712" width="9.75" style="12" bestFit="1" customWidth="1"/>
    <col min="8713" max="8713" width="8.875" style="12" bestFit="1" customWidth="1"/>
    <col min="8714" max="8714" width="6" style="12" bestFit="1" customWidth="1"/>
    <col min="8715" max="8953" width="9" style="12"/>
    <col min="8954" max="8954" width="6" style="12" bestFit="1" customWidth="1"/>
    <col min="8955" max="8957" width="8" style="12" bestFit="1" customWidth="1"/>
    <col min="8958" max="8958" width="35.5" style="12" bestFit="1" customWidth="1"/>
    <col min="8959" max="8959" width="20.5" style="12" bestFit="1" customWidth="1"/>
    <col min="8960" max="8963" width="8" style="12" bestFit="1" customWidth="1"/>
    <col min="8964" max="8964" width="8.875" style="12" bestFit="1" customWidth="1"/>
    <col min="8965" max="8965" width="9" style="12"/>
    <col min="8966" max="8966" width="10.5" style="12" bestFit="1" customWidth="1"/>
    <col min="8967" max="8967" width="8.875" style="12" bestFit="1" customWidth="1"/>
    <col min="8968" max="8968" width="9.75" style="12" bestFit="1" customWidth="1"/>
    <col min="8969" max="8969" width="8.875" style="12" bestFit="1" customWidth="1"/>
    <col min="8970" max="8970" width="6" style="12" bestFit="1" customWidth="1"/>
    <col min="8971" max="9209" width="9" style="12"/>
    <col min="9210" max="9210" width="6" style="12" bestFit="1" customWidth="1"/>
    <col min="9211" max="9213" width="8" style="12" bestFit="1" customWidth="1"/>
    <col min="9214" max="9214" width="35.5" style="12" bestFit="1" customWidth="1"/>
    <col min="9215" max="9215" width="20.5" style="12" bestFit="1" customWidth="1"/>
    <col min="9216" max="9219" width="8" style="12" bestFit="1" customWidth="1"/>
    <col min="9220" max="9220" width="8.875" style="12" bestFit="1" customWidth="1"/>
    <col min="9221" max="9221" width="9" style="12"/>
    <col min="9222" max="9222" width="10.5" style="12" bestFit="1" customWidth="1"/>
    <col min="9223" max="9223" width="8.875" style="12" bestFit="1" customWidth="1"/>
    <col min="9224" max="9224" width="9.75" style="12" bestFit="1" customWidth="1"/>
    <col min="9225" max="9225" width="8.875" style="12" bestFit="1" customWidth="1"/>
    <col min="9226" max="9226" width="6" style="12" bestFit="1" customWidth="1"/>
    <col min="9227" max="9465" width="9" style="12"/>
    <col min="9466" max="9466" width="6" style="12" bestFit="1" customWidth="1"/>
    <col min="9467" max="9469" width="8" style="12" bestFit="1" customWidth="1"/>
    <col min="9470" max="9470" width="35.5" style="12" bestFit="1" customWidth="1"/>
    <col min="9471" max="9471" width="20.5" style="12" bestFit="1" customWidth="1"/>
    <col min="9472" max="9475" width="8" style="12" bestFit="1" customWidth="1"/>
    <col min="9476" max="9476" width="8.875" style="12" bestFit="1" customWidth="1"/>
    <col min="9477" max="9477" width="9" style="12"/>
    <col min="9478" max="9478" width="10.5" style="12" bestFit="1" customWidth="1"/>
    <col min="9479" max="9479" width="8.875" style="12" bestFit="1" customWidth="1"/>
    <col min="9480" max="9480" width="9.75" style="12" bestFit="1" customWidth="1"/>
    <col min="9481" max="9481" width="8.875" style="12" bestFit="1" customWidth="1"/>
    <col min="9482" max="9482" width="6" style="12" bestFit="1" customWidth="1"/>
    <col min="9483" max="9721" width="9" style="12"/>
    <col min="9722" max="9722" width="6" style="12" bestFit="1" customWidth="1"/>
    <col min="9723" max="9725" width="8" style="12" bestFit="1" customWidth="1"/>
    <col min="9726" max="9726" width="35.5" style="12" bestFit="1" customWidth="1"/>
    <col min="9727" max="9727" width="20.5" style="12" bestFit="1" customWidth="1"/>
    <col min="9728" max="9731" width="8" style="12" bestFit="1" customWidth="1"/>
    <col min="9732" max="9732" width="8.875" style="12" bestFit="1" customWidth="1"/>
    <col min="9733" max="9733" width="9" style="12"/>
    <col min="9734" max="9734" width="10.5" style="12" bestFit="1" customWidth="1"/>
    <col min="9735" max="9735" width="8.875" style="12" bestFit="1" customWidth="1"/>
    <col min="9736" max="9736" width="9.75" style="12" bestFit="1" customWidth="1"/>
    <col min="9737" max="9737" width="8.875" style="12" bestFit="1" customWidth="1"/>
    <col min="9738" max="9738" width="6" style="12" bestFit="1" customWidth="1"/>
    <col min="9739" max="9977" width="9" style="12"/>
    <col min="9978" max="9978" width="6" style="12" bestFit="1" customWidth="1"/>
    <col min="9979" max="9981" width="8" style="12" bestFit="1" customWidth="1"/>
    <col min="9982" max="9982" width="35.5" style="12" bestFit="1" customWidth="1"/>
    <col min="9983" max="9983" width="20.5" style="12" bestFit="1" customWidth="1"/>
    <col min="9984" max="9987" width="8" style="12" bestFit="1" customWidth="1"/>
    <col min="9988" max="9988" width="8.875" style="12" bestFit="1" customWidth="1"/>
    <col min="9989" max="9989" width="9" style="12"/>
    <col min="9990" max="9990" width="10.5" style="12" bestFit="1" customWidth="1"/>
    <col min="9991" max="9991" width="8.875" style="12" bestFit="1" customWidth="1"/>
    <col min="9992" max="9992" width="9.75" style="12" bestFit="1" customWidth="1"/>
    <col min="9993" max="9993" width="8.875" style="12" bestFit="1" customWidth="1"/>
    <col min="9994" max="9994" width="6" style="12" bestFit="1" customWidth="1"/>
    <col min="9995" max="10233" width="9" style="12"/>
    <col min="10234" max="10234" width="6" style="12" bestFit="1" customWidth="1"/>
    <col min="10235" max="10237" width="8" style="12" bestFit="1" customWidth="1"/>
    <col min="10238" max="10238" width="35.5" style="12" bestFit="1" customWidth="1"/>
    <col min="10239" max="10239" width="20.5" style="12" bestFit="1" customWidth="1"/>
    <col min="10240" max="10243" width="8" style="12" bestFit="1" customWidth="1"/>
    <col min="10244" max="10244" width="8.875" style="12" bestFit="1" customWidth="1"/>
    <col min="10245" max="10245" width="9" style="12"/>
    <col min="10246" max="10246" width="10.5" style="12" bestFit="1" customWidth="1"/>
    <col min="10247" max="10247" width="8.875" style="12" bestFit="1" customWidth="1"/>
    <col min="10248" max="10248" width="9.75" style="12" bestFit="1" customWidth="1"/>
    <col min="10249" max="10249" width="8.875" style="12" bestFit="1" customWidth="1"/>
    <col min="10250" max="10250" width="6" style="12" bestFit="1" customWidth="1"/>
    <col min="10251" max="10489" width="9" style="12"/>
    <col min="10490" max="10490" width="6" style="12" bestFit="1" customWidth="1"/>
    <col min="10491" max="10493" width="8" style="12" bestFit="1" customWidth="1"/>
    <col min="10494" max="10494" width="35.5" style="12" bestFit="1" customWidth="1"/>
    <col min="10495" max="10495" width="20.5" style="12" bestFit="1" customWidth="1"/>
    <col min="10496" max="10499" width="8" style="12" bestFit="1" customWidth="1"/>
    <col min="10500" max="10500" width="8.875" style="12" bestFit="1" customWidth="1"/>
    <col min="10501" max="10501" width="9" style="12"/>
    <col min="10502" max="10502" width="10.5" style="12" bestFit="1" customWidth="1"/>
    <col min="10503" max="10503" width="8.875" style="12" bestFit="1" customWidth="1"/>
    <col min="10504" max="10504" width="9.75" style="12" bestFit="1" customWidth="1"/>
    <col min="10505" max="10505" width="8.875" style="12" bestFit="1" customWidth="1"/>
    <col min="10506" max="10506" width="6" style="12" bestFit="1" customWidth="1"/>
    <col min="10507" max="10745" width="9" style="12"/>
    <col min="10746" max="10746" width="6" style="12" bestFit="1" customWidth="1"/>
    <col min="10747" max="10749" width="8" style="12" bestFit="1" customWidth="1"/>
    <col min="10750" max="10750" width="35.5" style="12" bestFit="1" customWidth="1"/>
    <col min="10751" max="10751" width="20.5" style="12" bestFit="1" customWidth="1"/>
    <col min="10752" max="10755" width="8" style="12" bestFit="1" customWidth="1"/>
    <col min="10756" max="10756" width="8.875" style="12" bestFit="1" customWidth="1"/>
    <col min="10757" max="10757" width="9" style="12"/>
    <col min="10758" max="10758" width="10.5" style="12" bestFit="1" customWidth="1"/>
    <col min="10759" max="10759" width="8.875" style="12" bestFit="1" customWidth="1"/>
    <col min="10760" max="10760" width="9.75" style="12" bestFit="1" customWidth="1"/>
    <col min="10761" max="10761" width="8.875" style="12" bestFit="1" customWidth="1"/>
    <col min="10762" max="10762" width="6" style="12" bestFit="1" customWidth="1"/>
    <col min="10763" max="11001" width="9" style="12"/>
    <col min="11002" max="11002" width="6" style="12" bestFit="1" customWidth="1"/>
    <col min="11003" max="11005" width="8" style="12" bestFit="1" customWidth="1"/>
    <col min="11006" max="11006" width="35.5" style="12" bestFit="1" customWidth="1"/>
    <col min="11007" max="11007" width="20.5" style="12" bestFit="1" customWidth="1"/>
    <col min="11008" max="11011" width="8" style="12" bestFit="1" customWidth="1"/>
    <col min="11012" max="11012" width="8.875" style="12" bestFit="1" customWidth="1"/>
    <col min="11013" max="11013" width="9" style="12"/>
    <col min="11014" max="11014" width="10.5" style="12" bestFit="1" customWidth="1"/>
    <col min="11015" max="11015" width="8.875" style="12" bestFit="1" customWidth="1"/>
    <col min="11016" max="11016" width="9.75" style="12" bestFit="1" customWidth="1"/>
    <col min="11017" max="11017" width="8.875" style="12" bestFit="1" customWidth="1"/>
    <col min="11018" max="11018" width="6" style="12" bestFit="1" customWidth="1"/>
    <col min="11019" max="11257" width="9" style="12"/>
    <col min="11258" max="11258" width="6" style="12" bestFit="1" customWidth="1"/>
    <col min="11259" max="11261" width="8" style="12" bestFit="1" customWidth="1"/>
    <col min="11262" max="11262" width="35.5" style="12" bestFit="1" customWidth="1"/>
    <col min="11263" max="11263" width="20.5" style="12" bestFit="1" customWidth="1"/>
    <col min="11264" max="11267" width="8" style="12" bestFit="1" customWidth="1"/>
    <col min="11268" max="11268" width="8.875" style="12" bestFit="1" customWidth="1"/>
    <col min="11269" max="11269" width="9" style="12"/>
    <col min="11270" max="11270" width="10.5" style="12" bestFit="1" customWidth="1"/>
    <col min="11271" max="11271" width="8.875" style="12" bestFit="1" customWidth="1"/>
    <col min="11272" max="11272" width="9.75" style="12" bestFit="1" customWidth="1"/>
    <col min="11273" max="11273" width="8.875" style="12" bestFit="1" customWidth="1"/>
    <col min="11274" max="11274" width="6" style="12" bestFit="1" customWidth="1"/>
    <col min="11275" max="11513" width="9" style="12"/>
    <col min="11514" max="11514" width="6" style="12" bestFit="1" customWidth="1"/>
    <col min="11515" max="11517" width="8" style="12" bestFit="1" customWidth="1"/>
    <col min="11518" max="11518" width="35.5" style="12" bestFit="1" customWidth="1"/>
    <col min="11519" max="11519" width="20.5" style="12" bestFit="1" customWidth="1"/>
    <col min="11520" max="11523" width="8" style="12" bestFit="1" customWidth="1"/>
    <col min="11524" max="11524" width="8.875" style="12" bestFit="1" customWidth="1"/>
    <col min="11525" max="11525" width="9" style="12"/>
    <col min="11526" max="11526" width="10.5" style="12" bestFit="1" customWidth="1"/>
    <col min="11527" max="11527" width="8.875" style="12" bestFit="1" customWidth="1"/>
    <col min="11528" max="11528" width="9.75" style="12" bestFit="1" customWidth="1"/>
    <col min="11529" max="11529" width="8.875" style="12" bestFit="1" customWidth="1"/>
    <col min="11530" max="11530" width="6" style="12" bestFit="1" customWidth="1"/>
    <col min="11531" max="11769" width="9" style="12"/>
    <col min="11770" max="11770" width="6" style="12" bestFit="1" customWidth="1"/>
    <col min="11771" max="11773" width="8" style="12" bestFit="1" customWidth="1"/>
    <col min="11774" max="11774" width="35.5" style="12" bestFit="1" customWidth="1"/>
    <col min="11775" max="11775" width="20.5" style="12" bestFit="1" customWidth="1"/>
    <col min="11776" max="11779" width="8" style="12" bestFit="1" customWidth="1"/>
    <col min="11780" max="11780" width="8.875" style="12" bestFit="1" customWidth="1"/>
    <col min="11781" max="11781" width="9" style="12"/>
    <col min="11782" max="11782" width="10.5" style="12" bestFit="1" customWidth="1"/>
    <col min="11783" max="11783" width="8.875" style="12" bestFit="1" customWidth="1"/>
    <col min="11784" max="11784" width="9.75" style="12" bestFit="1" customWidth="1"/>
    <col min="11785" max="11785" width="8.875" style="12" bestFit="1" customWidth="1"/>
    <col min="11786" max="11786" width="6" style="12" bestFit="1" customWidth="1"/>
    <col min="11787" max="12025" width="9" style="12"/>
    <col min="12026" max="12026" width="6" style="12" bestFit="1" customWidth="1"/>
    <col min="12027" max="12029" width="8" style="12" bestFit="1" customWidth="1"/>
    <col min="12030" max="12030" width="35.5" style="12" bestFit="1" customWidth="1"/>
    <col min="12031" max="12031" width="20.5" style="12" bestFit="1" customWidth="1"/>
    <col min="12032" max="12035" width="8" style="12" bestFit="1" customWidth="1"/>
    <col min="12036" max="12036" width="8.875" style="12" bestFit="1" customWidth="1"/>
    <col min="12037" max="12037" width="9" style="12"/>
    <col min="12038" max="12038" width="10.5" style="12" bestFit="1" customWidth="1"/>
    <col min="12039" max="12039" width="8.875" style="12" bestFit="1" customWidth="1"/>
    <col min="12040" max="12040" width="9.75" style="12" bestFit="1" customWidth="1"/>
    <col min="12041" max="12041" width="8.875" style="12" bestFit="1" customWidth="1"/>
    <col min="12042" max="12042" width="6" style="12" bestFit="1" customWidth="1"/>
    <col min="12043" max="12281" width="9" style="12"/>
    <col min="12282" max="12282" width="6" style="12" bestFit="1" customWidth="1"/>
    <col min="12283" max="12285" width="8" style="12" bestFit="1" customWidth="1"/>
    <col min="12286" max="12286" width="35.5" style="12" bestFit="1" customWidth="1"/>
    <col min="12287" max="12287" width="20.5" style="12" bestFit="1" customWidth="1"/>
    <col min="12288" max="12291" width="8" style="12" bestFit="1" customWidth="1"/>
    <col min="12292" max="12292" width="8.875" style="12" bestFit="1" customWidth="1"/>
    <col min="12293" max="12293" width="9" style="12"/>
    <col min="12294" max="12294" width="10.5" style="12" bestFit="1" customWidth="1"/>
    <col min="12295" max="12295" width="8.875" style="12" bestFit="1" customWidth="1"/>
    <col min="12296" max="12296" width="9.75" style="12" bestFit="1" customWidth="1"/>
    <col min="12297" max="12297" width="8.875" style="12" bestFit="1" customWidth="1"/>
    <col min="12298" max="12298" width="6" style="12" bestFit="1" customWidth="1"/>
    <col min="12299" max="12537" width="9" style="12"/>
    <col min="12538" max="12538" width="6" style="12" bestFit="1" customWidth="1"/>
    <col min="12539" max="12541" width="8" style="12" bestFit="1" customWidth="1"/>
    <col min="12542" max="12542" width="35.5" style="12" bestFit="1" customWidth="1"/>
    <col min="12543" max="12543" width="20.5" style="12" bestFit="1" customWidth="1"/>
    <col min="12544" max="12547" width="8" style="12" bestFit="1" customWidth="1"/>
    <col min="12548" max="12548" width="8.875" style="12" bestFit="1" customWidth="1"/>
    <col min="12549" max="12549" width="9" style="12"/>
    <col min="12550" max="12550" width="10.5" style="12" bestFit="1" customWidth="1"/>
    <col min="12551" max="12551" width="8.875" style="12" bestFit="1" customWidth="1"/>
    <col min="12552" max="12552" width="9.75" style="12" bestFit="1" customWidth="1"/>
    <col min="12553" max="12553" width="8.875" style="12" bestFit="1" customWidth="1"/>
    <col min="12554" max="12554" width="6" style="12" bestFit="1" customWidth="1"/>
    <col min="12555" max="12793" width="9" style="12"/>
    <col min="12794" max="12794" width="6" style="12" bestFit="1" customWidth="1"/>
    <col min="12795" max="12797" width="8" style="12" bestFit="1" customWidth="1"/>
    <col min="12798" max="12798" width="35.5" style="12" bestFit="1" customWidth="1"/>
    <col min="12799" max="12799" width="20.5" style="12" bestFit="1" customWidth="1"/>
    <col min="12800" max="12803" width="8" style="12" bestFit="1" customWidth="1"/>
    <col min="12804" max="12804" width="8.875" style="12" bestFit="1" customWidth="1"/>
    <col min="12805" max="12805" width="9" style="12"/>
    <col min="12806" max="12806" width="10.5" style="12" bestFit="1" customWidth="1"/>
    <col min="12807" max="12807" width="8.875" style="12" bestFit="1" customWidth="1"/>
    <col min="12808" max="12808" width="9.75" style="12" bestFit="1" customWidth="1"/>
    <col min="12809" max="12809" width="8.875" style="12" bestFit="1" customWidth="1"/>
    <col min="12810" max="12810" width="6" style="12" bestFit="1" customWidth="1"/>
    <col min="12811" max="13049" width="9" style="12"/>
    <col min="13050" max="13050" width="6" style="12" bestFit="1" customWidth="1"/>
    <col min="13051" max="13053" width="8" style="12" bestFit="1" customWidth="1"/>
    <col min="13054" max="13054" width="35.5" style="12" bestFit="1" customWidth="1"/>
    <col min="13055" max="13055" width="20.5" style="12" bestFit="1" customWidth="1"/>
    <col min="13056" max="13059" width="8" style="12" bestFit="1" customWidth="1"/>
    <col min="13060" max="13060" width="8.875" style="12" bestFit="1" customWidth="1"/>
    <col min="13061" max="13061" width="9" style="12"/>
    <col min="13062" max="13062" width="10.5" style="12" bestFit="1" customWidth="1"/>
    <col min="13063" max="13063" width="8.875" style="12" bestFit="1" customWidth="1"/>
    <col min="13064" max="13064" width="9.75" style="12" bestFit="1" customWidth="1"/>
    <col min="13065" max="13065" width="8.875" style="12" bestFit="1" customWidth="1"/>
    <col min="13066" max="13066" width="6" style="12" bestFit="1" customWidth="1"/>
    <col min="13067" max="13305" width="9" style="12"/>
    <col min="13306" max="13306" width="6" style="12" bestFit="1" customWidth="1"/>
    <col min="13307" max="13309" width="8" style="12" bestFit="1" customWidth="1"/>
    <col min="13310" max="13310" width="35.5" style="12" bestFit="1" customWidth="1"/>
    <col min="13311" max="13311" width="20.5" style="12" bestFit="1" customWidth="1"/>
    <col min="13312" max="13315" width="8" style="12" bestFit="1" customWidth="1"/>
    <col min="13316" max="13316" width="8.875" style="12" bestFit="1" customWidth="1"/>
    <col min="13317" max="13317" width="9" style="12"/>
    <col min="13318" max="13318" width="10.5" style="12" bestFit="1" customWidth="1"/>
    <col min="13319" max="13319" width="8.875" style="12" bestFit="1" customWidth="1"/>
    <col min="13320" max="13320" width="9.75" style="12" bestFit="1" customWidth="1"/>
    <col min="13321" max="13321" width="8.875" style="12" bestFit="1" customWidth="1"/>
    <col min="13322" max="13322" width="6" style="12" bestFit="1" customWidth="1"/>
    <col min="13323" max="13561" width="9" style="12"/>
    <col min="13562" max="13562" width="6" style="12" bestFit="1" customWidth="1"/>
    <col min="13563" max="13565" width="8" style="12" bestFit="1" customWidth="1"/>
    <col min="13566" max="13566" width="35.5" style="12" bestFit="1" customWidth="1"/>
    <col min="13567" max="13567" width="20.5" style="12" bestFit="1" customWidth="1"/>
    <col min="13568" max="13571" width="8" style="12" bestFit="1" customWidth="1"/>
    <col min="13572" max="13572" width="8.875" style="12" bestFit="1" customWidth="1"/>
    <col min="13573" max="13573" width="9" style="12"/>
    <col min="13574" max="13574" width="10.5" style="12" bestFit="1" customWidth="1"/>
    <col min="13575" max="13575" width="8.875" style="12" bestFit="1" customWidth="1"/>
    <col min="13576" max="13576" width="9.75" style="12" bestFit="1" customWidth="1"/>
    <col min="13577" max="13577" width="8.875" style="12" bestFit="1" customWidth="1"/>
    <col min="13578" max="13578" width="6" style="12" bestFit="1" customWidth="1"/>
    <col min="13579" max="13817" width="9" style="12"/>
    <col min="13818" max="13818" width="6" style="12" bestFit="1" customWidth="1"/>
    <col min="13819" max="13821" width="8" style="12" bestFit="1" customWidth="1"/>
    <col min="13822" max="13822" width="35.5" style="12" bestFit="1" customWidth="1"/>
    <col min="13823" max="13823" width="20.5" style="12" bestFit="1" customWidth="1"/>
    <col min="13824" max="13827" width="8" style="12" bestFit="1" customWidth="1"/>
    <col min="13828" max="13828" width="8.875" style="12" bestFit="1" customWidth="1"/>
    <col min="13829" max="13829" width="9" style="12"/>
    <col min="13830" max="13830" width="10.5" style="12" bestFit="1" customWidth="1"/>
    <col min="13831" max="13831" width="8.875" style="12" bestFit="1" customWidth="1"/>
    <col min="13832" max="13832" width="9.75" style="12" bestFit="1" customWidth="1"/>
    <col min="13833" max="13833" width="8.875" style="12" bestFit="1" customWidth="1"/>
    <col min="13834" max="13834" width="6" style="12" bestFit="1" customWidth="1"/>
    <col min="13835" max="14073" width="9" style="12"/>
    <col min="14074" max="14074" width="6" style="12" bestFit="1" customWidth="1"/>
    <col min="14075" max="14077" width="8" style="12" bestFit="1" customWidth="1"/>
    <col min="14078" max="14078" width="35.5" style="12" bestFit="1" customWidth="1"/>
    <col min="14079" max="14079" width="20.5" style="12" bestFit="1" customWidth="1"/>
    <col min="14080" max="14083" width="8" style="12" bestFit="1" customWidth="1"/>
    <col min="14084" max="14084" width="8.875" style="12" bestFit="1" customWidth="1"/>
    <col min="14085" max="14085" width="9" style="12"/>
    <col min="14086" max="14086" width="10.5" style="12" bestFit="1" customWidth="1"/>
    <col min="14087" max="14087" width="8.875" style="12" bestFit="1" customWidth="1"/>
    <col min="14088" max="14088" width="9.75" style="12" bestFit="1" customWidth="1"/>
    <col min="14089" max="14089" width="8.875" style="12" bestFit="1" customWidth="1"/>
    <col min="14090" max="14090" width="6" style="12" bestFit="1" customWidth="1"/>
    <col min="14091" max="14329" width="9" style="12"/>
    <col min="14330" max="14330" width="6" style="12" bestFit="1" customWidth="1"/>
    <col min="14331" max="14333" width="8" style="12" bestFit="1" customWidth="1"/>
    <col min="14334" max="14334" width="35.5" style="12" bestFit="1" customWidth="1"/>
    <col min="14335" max="14335" width="20.5" style="12" bestFit="1" customWidth="1"/>
    <col min="14336" max="14339" width="8" style="12" bestFit="1" customWidth="1"/>
    <col min="14340" max="14340" width="8.875" style="12" bestFit="1" customWidth="1"/>
    <col min="14341" max="14341" width="9" style="12"/>
    <col min="14342" max="14342" width="10.5" style="12" bestFit="1" customWidth="1"/>
    <col min="14343" max="14343" width="8.875" style="12" bestFit="1" customWidth="1"/>
    <col min="14344" max="14344" width="9.75" style="12" bestFit="1" customWidth="1"/>
    <col min="14345" max="14345" width="8.875" style="12" bestFit="1" customWidth="1"/>
    <col min="14346" max="14346" width="6" style="12" bestFit="1" customWidth="1"/>
    <col min="14347" max="14585" width="9" style="12"/>
    <col min="14586" max="14586" width="6" style="12" bestFit="1" customWidth="1"/>
    <col min="14587" max="14589" width="8" style="12" bestFit="1" customWidth="1"/>
    <col min="14590" max="14590" width="35.5" style="12" bestFit="1" customWidth="1"/>
    <col min="14591" max="14591" width="20.5" style="12" bestFit="1" customWidth="1"/>
    <col min="14592" max="14595" width="8" style="12" bestFit="1" customWidth="1"/>
    <col min="14596" max="14596" width="8.875" style="12" bestFit="1" customWidth="1"/>
    <col min="14597" max="14597" width="9" style="12"/>
    <col min="14598" max="14598" width="10.5" style="12" bestFit="1" customWidth="1"/>
    <col min="14599" max="14599" width="8.875" style="12" bestFit="1" customWidth="1"/>
    <col min="14600" max="14600" width="9.75" style="12" bestFit="1" customWidth="1"/>
    <col min="14601" max="14601" width="8.875" style="12" bestFit="1" customWidth="1"/>
    <col min="14602" max="14602" width="6" style="12" bestFit="1" customWidth="1"/>
    <col min="14603" max="14841" width="9" style="12"/>
    <col min="14842" max="14842" width="6" style="12" bestFit="1" customWidth="1"/>
    <col min="14843" max="14845" width="8" style="12" bestFit="1" customWidth="1"/>
    <col min="14846" max="14846" width="35.5" style="12" bestFit="1" customWidth="1"/>
    <col min="14847" max="14847" width="20.5" style="12" bestFit="1" customWidth="1"/>
    <col min="14848" max="14851" width="8" style="12" bestFit="1" customWidth="1"/>
    <col min="14852" max="14852" width="8.875" style="12" bestFit="1" customWidth="1"/>
    <col min="14853" max="14853" width="9" style="12"/>
    <col min="14854" max="14854" width="10.5" style="12" bestFit="1" customWidth="1"/>
    <col min="14855" max="14855" width="8.875" style="12" bestFit="1" customWidth="1"/>
    <col min="14856" max="14856" width="9.75" style="12" bestFit="1" customWidth="1"/>
    <col min="14857" max="14857" width="8.875" style="12" bestFit="1" customWidth="1"/>
    <col min="14858" max="14858" width="6" style="12" bestFit="1" customWidth="1"/>
    <col min="14859" max="15097" width="9" style="12"/>
    <col min="15098" max="15098" width="6" style="12" bestFit="1" customWidth="1"/>
    <col min="15099" max="15101" width="8" style="12" bestFit="1" customWidth="1"/>
    <col min="15102" max="15102" width="35.5" style="12" bestFit="1" customWidth="1"/>
    <col min="15103" max="15103" width="20.5" style="12" bestFit="1" customWidth="1"/>
    <col min="15104" max="15107" width="8" style="12" bestFit="1" customWidth="1"/>
    <col min="15108" max="15108" width="8.875" style="12" bestFit="1" customWidth="1"/>
    <col min="15109" max="15109" width="9" style="12"/>
    <col min="15110" max="15110" width="10.5" style="12" bestFit="1" customWidth="1"/>
    <col min="15111" max="15111" width="8.875" style="12" bestFit="1" customWidth="1"/>
    <col min="15112" max="15112" width="9.75" style="12" bestFit="1" customWidth="1"/>
    <col min="15113" max="15113" width="8.875" style="12" bestFit="1" customWidth="1"/>
    <col min="15114" max="15114" width="6" style="12" bestFit="1" customWidth="1"/>
    <col min="15115" max="15353" width="9" style="12"/>
    <col min="15354" max="15354" width="6" style="12" bestFit="1" customWidth="1"/>
    <col min="15355" max="15357" width="8" style="12" bestFit="1" customWidth="1"/>
    <col min="15358" max="15358" width="35.5" style="12" bestFit="1" customWidth="1"/>
    <col min="15359" max="15359" width="20.5" style="12" bestFit="1" customWidth="1"/>
    <col min="15360" max="15363" width="8" style="12" bestFit="1" customWidth="1"/>
    <col min="15364" max="15364" width="8.875" style="12" bestFit="1" customWidth="1"/>
    <col min="15365" max="15365" width="9" style="12"/>
    <col min="15366" max="15366" width="10.5" style="12" bestFit="1" customWidth="1"/>
    <col min="15367" max="15367" width="8.875" style="12" bestFit="1" customWidth="1"/>
    <col min="15368" max="15368" width="9.75" style="12" bestFit="1" customWidth="1"/>
    <col min="15369" max="15369" width="8.875" style="12" bestFit="1" customWidth="1"/>
    <col min="15370" max="15370" width="6" style="12" bestFit="1" customWidth="1"/>
    <col min="15371" max="15609" width="9" style="12"/>
    <col min="15610" max="15610" width="6" style="12" bestFit="1" customWidth="1"/>
    <col min="15611" max="15613" width="8" style="12" bestFit="1" customWidth="1"/>
    <col min="15614" max="15614" width="35.5" style="12" bestFit="1" customWidth="1"/>
    <col min="15615" max="15615" width="20.5" style="12" bestFit="1" customWidth="1"/>
    <col min="15616" max="15619" width="8" style="12" bestFit="1" customWidth="1"/>
    <col min="15620" max="15620" width="8.875" style="12" bestFit="1" customWidth="1"/>
    <col min="15621" max="15621" width="9" style="12"/>
    <col min="15622" max="15622" width="10.5" style="12" bestFit="1" customWidth="1"/>
    <col min="15623" max="15623" width="8.875" style="12" bestFit="1" customWidth="1"/>
    <col min="15624" max="15624" width="9.75" style="12" bestFit="1" customWidth="1"/>
    <col min="15625" max="15625" width="8.875" style="12" bestFit="1" customWidth="1"/>
    <col min="15626" max="15626" width="6" style="12" bestFit="1" customWidth="1"/>
    <col min="15627" max="15865" width="9" style="12"/>
    <col min="15866" max="15866" width="6" style="12" bestFit="1" customWidth="1"/>
    <col min="15867" max="15869" width="8" style="12" bestFit="1" customWidth="1"/>
    <col min="15870" max="15870" width="35.5" style="12" bestFit="1" customWidth="1"/>
    <col min="15871" max="15871" width="20.5" style="12" bestFit="1" customWidth="1"/>
    <col min="15872" max="15875" width="8" style="12" bestFit="1" customWidth="1"/>
    <col min="15876" max="15876" width="8.875" style="12" bestFit="1" customWidth="1"/>
    <col min="15877" max="15877" width="9" style="12"/>
    <col min="15878" max="15878" width="10.5" style="12" bestFit="1" customWidth="1"/>
    <col min="15879" max="15879" width="8.875" style="12" bestFit="1" customWidth="1"/>
    <col min="15880" max="15880" width="9.75" style="12" bestFit="1" customWidth="1"/>
    <col min="15881" max="15881" width="8.875" style="12" bestFit="1" customWidth="1"/>
    <col min="15882" max="15882" width="6" style="12" bestFit="1" customWidth="1"/>
    <col min="15883" max="16121" width="9" style="12"/>
    <col min="16122" max="16122" width="6" style="12" bestFit="1" customWidth="1"/>
    <col min="16123" max="16125" width="8" style="12" bestFit="1" customWidth="1"/>
    <col min="16126" max="16126" width="35.5" style="12" bestFit="1" customWidth="1"/>
    <col min="16127" max="16127" width="20.5" style="12" bestFit="1" customWidth="1"/>
    <col min="16128" max="16131" width="8" style="12" bestFit="1" customWidth="1"/>
    <col min="16132" max="16132" width="8.875" style="12" bestFit="1" customWidth="1"/>
    <col min="16133" max="16133" width="9" style="12"/>
    <col min="16134" max="16134" width="10.5" style="12" bestFit="1" customWidth="1"/>
    <col min="16135" max="16135" width="8.875" style="12" bestFit="1" customWidth="1"/>
    <col min="16136" max="16136" width="9.75" style="12" bestFit="1" customWidth="1"/>
    <col min="16137" max="16137" width="8.875" style="12" bestFit="1" customWidth="1"/>
    <col min="16138" max="16138" width="6" style="12" bestFit="1" customWidth="1"/>
    <col min="16139" max="16384" width="9" style="12"/>
  </cols>
  <sheetData>
    <row r="1" spans="1:117" ht="27.75" customHeight="1">
      <c r="A1" s="1" t="s">
        <v>136</v>
      </c>
      <c r="B1" s="1" t="s">
        <v>137</v>
      </c>
      <c r="C1" s="932" t="s">
        <v>138</v>
      </c>
      <c r="D1" s="933"/>
      <c r="E1" s="2" t="s">
        <v>139</v>
      </c>
      <c r="F1" s="2" t="s">
        <v>140</v>
      </c>
      <c r="G1" s="3" t="s">
        <v>141</v>
      </c>
      <c r="H1" s="4"/>
      <c r="I1" s="5"/>
      <c r="J1" s="2" t="s">
        <v>142</v>
      </c>
      <c r="K1" s="6" t="s">
        <v>143</v>
      </c>
      <c r="L1" s="7"/>
      <c r="M1" s="7"/>
      <c r="N1" s="7"/>
      <c r="O1" s="7"/>
      <c r="P1" s="934" t="s">
        <v>269</v>
      </c>
      <c r="Q1" s="935"/>
      <c r="R1" s="8"/>
      <c r="S1" s="1" t="s">
        <v>136</v>
      </c>
      <c r="T1" s="9"/>
      <c r="U1" s="9"/>
    </row>
    <row r="2" spans="1:117" ht="29.25" customHeight="1">
      <c r="A2" s="1"/>
      <c r="B2" s="1"/>
      <c r="C2" s="1">
        <v>1</v>
      </c>
      <c r="D2" s="13">
        <v>2</v>
      </c>
      <c r="E2" s="13"/>
      <c r="F2" s="13"/>
      <c r="G2" s="14" t="s">
        <v>144</v>
      </c>
      <c r="H2" s="14" t="s">
        <v>145</v>
      </c>
      <c r="I2" s="14" t="s">
        <v>146</v>
      </c>
      <c r="J2" s="13"/>
      <c r="K2" s="14" t="s">
        <v>144</v>
      </c>
      <c r="L2" s="14" t="s">
        <v>145</v>
      </c>
      <c r="M2" s="14" t="s">
        <v>147</v>
      </c>
      <c r="N2" s="14" t="s">
        <v>148</v>
      </c>
      <c r="O2" s="14" t="s">
        <v>149</v>
      </c>
      <c r="P2" s="14" t="s">
        <v>150</v>
      </c>
      <c r="Q2" s="14" t="s">
        <v>270</v>
      </c>
      <c r="R2" s="15" t="s">
        <v>150</v>
      </c>
      <c r="S2" s="1"/>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0">
        <v>81</v>
      </c>
      <c r="DB2" s="10">
        <v>82</v>
      </c>
      <c r="DC2" s="10">
        <v>83</v>
      </c>
      <c r="DD2" s="10">
        <v>84</v>
      </c>
      <c r="DE2" s="10">
        <v>85</v>
      </c>
      <c r="DF2" s="10">
        <v>86</v>
      </c>
      <c r="DG2" s="10">
        <v>87</v>
      </c>
      <c r="DH2" s="10">
        <v>88</v>
      </c>
      <c r="DI2" s="10">
        <v>89</v>
      </c>
      <c r="DJ2" s="10">
        <v>90</v>
      </c>
      <c r="DK2" s="10"/>
      <c r="DL2" s="10"/>
      <c r="DM2" s="10"/>
    </row>
    <row r="3" spans="1:117" ht="27.75" customHeight="1">
      <c r="A3" s="16" t="s">
        <v>398</v>
      </c>
      <c r="B3" s="17" t="s">
        <v>416</v>
      </c>
      <c r="C3" s="17" t="s">
        <v>399</v>
      </c>
      <c r="D3" s="17" t="s">
        <v>151</v>
      </c>
      <c r="E3" s="17" t="s">
        <v>152</v>
      </c>
      <c r="F3" s="17" t="s">
        <v>153</v>
      </c>
      <c r="G3" s="17" t="s">
        <v>154</v>
      </c>
      <c r="H3" s="17" t="s">
        <v>155</v>
      </c>
      <c r="I3" s="17" t="s">
        <v>156</v>
      </c>
      <c r="J3" s="17" t="s">
        <v>157</v>
      </c>
      <c r="K3" s="17" t="s">
        <v>158</v>
      </c>
      <c r="L3" s="17" t="s">
        <v>159</v>
      </c>
      <c r="M3" s="17" t="s">
        <v>160</v>
      </c>
      <c r="N3" s="17" t="s">
        <v>161</v>
      </c>
      <c r="O3" s="17" t="s">
        <v>162</v>
      </c>
      <c r="P3" s="17" t="s">
        <v>163</v>
      </c>
      <c r="Q3" s="17" t="s">
        <v>268</v>
      </c>
      <c r="R3" s="17" t="s">
        <v>164</v>
      </c>
      <c r="S3" s="18"/>
      <c r="T3" s="18"/>
      <c r="U3" s="18"/>
      <c r="W3" s="10" t="s">
        <v>3</v>
      </c>
      <c r="Y3" s="19" t="str">
        <f>VLOOKUP(Y2,$U$4:$V$700,2,FALSE)</f>
        <v>中央区05家庭的</v>
      </c>
      <c r="Z3" s="20" t="str">
        <f t="shared" ref="Z3:AG3" si="0">VLOOKUP(Z2,$U$4:$V$700,2,FALSE)</f>
        <v>北区05家庭的</v>
      </c>
      <c r="AA3" s="20" t="str">
        <f t="shared" si="0"/>
        <v>東区05家庭的</v>
      </c>
      <c r="AB3" s="20" t="str">
        <f t="shared" si="0"/>
        <v>清田区05家庭的</v>
      </c>
      <c r="AC3" s="20" t="str">
        <f t="shared" si="0"/>
        <v>南区05家庭的</v>
      </c>
      <c r="AD3" s="20" t="str">
        <f t="shared" si="0"/>
        <v>西区05家庭的</v>
      </c>
      <c r="AE3" s="20" t="str">
        <f t="shared" si="0"/>
        <v>手稲区05家庭的</v>
      </c>
      <c r="AF3" s="20" t="str">
        <f t="shared" si="0"/>
        <v/>
      </c>
      <c r="AG3" s="20" t="e">
        <f t="shared" si="0"/>
        <v>#N/A</v>
      </c>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1"/>
      <c r="CT3" s="21"/>
      <c r="CU3" s="21"/>
      <c r="CV3" s="21"/>
      <c r="CW3" s="21"/>
      <c r="CX3" s="21"/>
      <c r="CY3" s="21"/>
      <c r="CZ3" s="21"/>
      <c r="DA3" s="21"/>
      <c r="DB3" s="22"/>
      <c r="DC3" s="22"/>
      <c r="DD3" s="22"/>
      <c r="DE3" s="22"/>
      <c r="DF3" s="22"/>
      <c r="DG3" s="22"/>
      <c r="DH3" s="22"/>
      <c r="DI3" s="22"/>
      <c r="DJ3" s="23"/>
    </row>
    <row r="4" spans="1:117">
      <c r="A4" s="24">
        <v>100000</v>
      </c>
      <c r="B4" s="25" t="s">
        <v>393</v>
      </c>
      <c r="C4" s="25" t="s">
        <v>394</v>
      </c>
      <c r="D4" s="25" t="s">
        <v>395</v>
      </c>
      <c r="E4" s="25" t="s">
        <v>396</v>
      </c>
      <c r="F4" s="25" t="s">
        <v>397</v>
      </c>
      <c r="G4" s="25">
        <v>0</v>
      </c>
      <c r="H4" s="25">
        <v>0</v>
      </c>
      <c r="I4" s="25">
        <v>0</v>
      </c>
      <c r="J4" s="25">
        <v>5</v>
      </c>
      <c r="K4" s="25">
        <v>0</v>
      </c>
      <c r="L4" s="25">
        <v>0</v>
      </c>
      <c r="M4" s="25">
        <v>1</v>
      </c>
      <c r="N4" s="25">
        <v>4</v>
      </c>
      <c r="O4" s="25">
        <f>SUM(テーブル1[[#This Row],[列11]:[列12]])</f>
        <v>5</v>
      </c>
      <c r="P4" s="25"/>
      <c r="Q4" s="25"/>
      <c r="R4" s="25">
        <f>SUM(K4,L4,O4)</f>
        <v>5</v>
      </c>
      <c r="S4" s="26">
        <f>A4</f>
        <v>100000</v>
      </c>
      <c r="T4" s="26">
        <f>COUNTIF($V$4:V4,V4)</f>
        <v>1</v>
      </c>
      <c r="U4" s="26">
        <f>IF(T4=1,COUNTIF($T$4:T4,1),"")</f>
        <v>1</v>
      </c>
      <c r="V4" s="27" t="str">
        <f>'施設状況(要更新)'!$E4&amp;'施設状況(要更新)'!$C4</f>
        <v>中央区05家庭的</v>
      </c>
      <c r="W4" s="27" t="str">
        <f>'施設状況(要更新)'!$F4</f>
        <v>保育ママ札幌市未来局【例】</v>
      </c>
      <c r="X4" s="28"/>
      <c r="Y4" s="29"/>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1"/>
      <c r="CT4" s="31"/>
      <c r="CU4" s="31"/>
      <c r="CV4" s="31"/>
      <c r="CW4" s="31"/>
      <c r="CX4" s="31"/>
      <c r="CY4" s="31"/>
      <c r="CZ4" s="31"/>
      <c r="DA4" s="31"/>
      <c r="DB4" s="31"/>
      <c r="DC4" s="31"/>
      <c r="DD4" s="31"/>
      <c r="DE4" s="31"/>
      <c r="DF4" s="31"/>
      <c r="DG4" s="31"/>
      <c r="DH4" s="31"/>
      <c r="DI4" s="31"/>
      <c r="DJ4" s="32"/>
    </row>
    <row r="5" spans="1:117">
      <c r="A5" s="33">
        <v>200062</v>
      </c>
      <c r="B5" s="25" t="s">
        <v>165</v>
      </c>
      <c r="C5" s="25" t="s">
        <v>365</v>
      </c>
      <c r="D5" s="25" t="s">
        <v>646</v>
      </c>
      <c r="E5" s="25" t="s">
        <v>166</v>
      </c>
      <c r="F5" s="25" t="s">
        <v>174</v>
      </c>
      <c r="G5" s="25"/>
      <c r="H5" s="25"/>
      <c r="I5" s="25"/>
      <c r="J5" s="25">
        <v>5</v>
      </c>
      <c r="K5" s="25">
        <v>0</v>
      </c>
      <c r="L5" s="25">
        <v>0</v>
      </c>
      <c r="M5" s="25">
        <v>1</v>
      </c>
      <c r="N5" s="25">
        <v>4</v>
      </c>
      <c r="O5" s="25">
        <f>SUM(テーブル1[[#This Row],[列11]:[列12]])</f>
        <v>5</v>
      </c>
      <c r="P5" s="25"/>
      <c r="Q5" s="25"/>
      <c r="R5" s="25">
        <f t="shared" ref="R5:R11" si="1">SUM(K5,L5,O5)</f>
        <v>5</v>
      </c>
      <c r="S5" s="26">
        <f t="shared" ref="S5:S68" si="2">A5</f>
        <v>200062</v>
      </c>
      <c r="T5" s="26">
        <f>COUNTIF($V$4:V5,V5)</f>
        <v>1</v>
      </c>
      <c r="U5" s="26">
        <f>IF(T5=1,COUNTIF($T$4:T5,1),"")</f>
        <v>2</v>
      </c>
      <c r="V5" s="27" t="str">
        <f>'施設状況(要更新)'!$E5&amp;'施設状況(要更新)'!$C5</f>
        <v>北区05家庭的</v>
      </c>
      <c r="W5" s="27" t="str">
        <f>'施設状況(要更新)'!$F5</f>
        <v>保育室どんぐり</v>
      </c>
      <c r="X5" s="28">
        <v>1</v>
      </c>
      <c r="Y5" s="34" t="str">
        <f>IFERROR(INDEX($T$4:$W$700,MATCH($X5&amp;Y$3,INDEX($T$4:$T$700&amp;$V$4:$V$700,),0),MATCH("施設名",$T$3:$W$3,0)),"")</f>
        <v>保育ママ札幌市未来局【例】</v>
      </c>
      <c r="Z5" s="30" t="str">
        <f t="shared" ref="Z5:AG9" si="3">IFERROR(INDEX($T$4:$W$700,MATCH($X5&amp;Z$3,INDEX($T$4:$T$700&amp;$V$4:$V$700,),0),MATCH("施設名",$T$3:$W$3,0)),"")</f>
        <v>保育室どんぐり</v>
      </c>
      <c r="AA5" s="30" t="str">
        <f t="shared" si="3"/>
        <v>保育ママぐりぐら</v>
      </c>
      <c r="AB5" s="30" t="str">
        <f t="shared" si="3"/>
        <v>保育ママおひさま</v>
      </c>
      <c r="AC5" s="30" t="str">
        <f t="shared" si="3"/>
        <v>保育ママつぼみ</v>
      </c>
      <c r="AD5" s="30" t="str">
        <f t="shared" si="3"/>
        <v>保育るーむひなたぼっこ</v>
      </c>
      <c r="AE5" s="30" t="str">
        <f t="shared" si="3"/>
        <v>保育室ベリーベリー</v>
      </c>
      <c r="AF5" s="30">
        <f t="shared" si="3"/>
        <v>0</v>
      </c>
      <c r="AG5" s="30" t="str">
        <f t="shared" si="3"/>
        <v/>
      </c>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1"/>
      <c r="CT5" s="31"/>
      <c r="CU5" s="31"/>
      <c r="CV5" s="31"/>
      <c r="CW5" s="31"/>
      <c r="CX5" s="31"/>
      <c r="CY5" s="31"/>
      <c r="CZ5" s="31"/>
      <c r="DA5" s="31"/>
      <c r="DB5" s="31"/>
      <c r="DC5" s="31"/>
      <c r="DD5" s="31"/>
      <c r="DE5" s="31"/>
      <c r="DF5" s="31"/>
      <c r="DG5" s="31"/>
      <c r="DH5" s="31"/>
      <c r="DI5" s="31"/>
      <c r="DJ5" s="32"/>
    </row>
    <row r="6" spans="1:117">
      <c r="A6" s="33">
        <v>300083</v>
      </c>
      <c r="B6" s="25" t="s">
        <v>165</v>
      </c>
      <c r="C6" s="25" t="s">
        <v>365</v>
      </c>
      <c r="D6" s="25" t="s">
        <v>646</v>
      </c>
      <c r="E6" s="25" t="s">
        <v>167</v>
      </c>
      <c r="F6" s="25" t="s">
        <v>176</v>
      </c>
      <c r="G6" s="25"/>
      <c r="H6" s="25"/>
      <c r="I6" s="25"/>
      <c r="J6" s="25">
        <v>5</v>
      </c>
      <c r="K6" s="25">
        <v>0</v>
      </c>
      <c r="L6" s="25">
        <v>0</v>
      </c>
      <c r="M6" s="25">
        <v>1</v>
      </c>
      <c r="N6" s="25">
        <v>4</v>
      </c>
      <c r="O6" s="25">
        <f>SUM(テーブル1[[#This Row],[列11]:[列12]])</f>
        <v>5</v>
      </c>
      <c r="P6" s="25"/>
      <c r="Q6" s="25"/>
      <c r="R6" s="25">
        <f t="shared" si="1"/>
        <v>5</v>
      </c>
      <c r="S6" s="26">
        <f t="shared" si="2"/>
        <v>300083</v>
      </c>
      <c r="T6" s="26">
        <f>COUNTIF($V$4:V6,V6)</f>
        <v>1</v>
      </c>
      <c r="U6" s="26">
        <f>IF(T6=1,COUNTIF($T$4:T6,1),"")</f>
        <v>3</v>
      </c>
      <c r="V6" s="27" t="str">
        <f>'施設状況(要更新)'!$E6&amp;'施設状況(要更新)'!$C6</f>
        <v>東区05家庭的</v>
      </c>
      <c r="W6" s="27" t="str">
        <f>'施設状況(要更新)'!$F6</f>
        <v>保育ママぐりぐら</v>
      </c>
      <c r="X6" s="28">
        <v>2</v>
      </c>
      <c r="Y6" s="29" t="str">
        <f t="shared" ref="Y6:AG23" si="4">IFERROR(INDEX($T$4:$W$700,MATCH($X6&amp;Y$3,INDEX($T$4:$T$700&amp;$V$4:$V$700,),0),MATCH("施設名",$T$3:$W$3,0)),"")</f>
        <v/>
      </c>
      <c r="Z6" s="30" t="str">
        <f t="shared" si="4"/>
        <v/>
      </c>
      <c r="AA6" s="30" t="str">
        <f t="shared" si="4"/>
        <v>保育ママたんぽぽ</v>
      </c>
      <c r="AB6" s="30" t="str">
        <f t="shared" si="4"/>
        <v/>
      </c>
      <c r="AC6" s="30" t="str">
        <f t="shared" si="4"/>
        <v/>
      </c>
      <c r="AD6" s="30" t="str">
        <f t="shared" si="4"/>
        <v/>
      </c>
      <c r="AE6" s="30" t="str">
        <f t="shared" si="4"/>
        <v/>
      </c>
      <c r="AF6" s="30">
        <f t="shared" si="4"/>
        <v>0</v>
      </c>
      <c r="AG6" s="30" t="str">
        <f t="shared" si="4"/>
        <v/>
      </c>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1"/>
      <c r="CT6" s="31"/>
      <c r="CU6" s="31"/>
      <c r="CV6" s="31"/>
      <c r="CW6" s="31"/>
      <c r="CX6" s="31"/>
      <c r="CY6" s="31"/>
      <c r="CZ6" s="31"/>
      <c r="DA6" s="31"/>
      <c r="DB6" s="31"/>
      <c r="DC6" s="31"/>
      <c r="DD6" s="31"/>
      <c r="DE6" s="31"/>
      <c r="DF6" s="31"/>
      <c r="DG6" s="31"/>
      <c r="DH6" s="31"/>
      <c r="DI6" s="31"/>
      <c r="DJ6" s="32"/>
    </row>
    <row r="7" spans="1:117">
      <c r="A7" s="33">
        <v>300058</v>
      </c>
      <c r="B7" s="25" t="s">
        <v>165</v>
      </c>
      <c r="C7" s="25" t="s">
        <v>365</v>
      </c>
      <c r="D7" s="25" t="s">
        <v>646</v>
      </c>
      <c r="E7" s="25" t="s">
        <v>167</v>
      </c>
      <c r="F7" s="25" t="s">
        <v>175</v>
      </c>
      <c r="G7" s="25"/>
      <c r="H7" s="25"/>
      <c r="I7" s="25"/>
      <c r="J7" s="25">
        <v>5</v>
      </c>
      <c r="K7" s="25">
        <v>0</v>
      </c>
      <c r="L7" s="25">
        <v>0</v>
      </c>
      <c r="M7" s="25">
        <v>1</v>
      </c>
      <c r="N7" s="25">
        <v>4</v>
      </c>
      <c r="O7" s="25">
        <f>SUM(テーブル1[[#This Row],[列11]:[列12]])</f>
        <v>5</v>
      </c>
      <c r="P7" s="25"/>
      <c r="Q7" s="25"/>
      <c r="R7" s="25">
        <f t="shared" si="1"/>
        <v>5</v>
      </c>
      <c r="S7" s="26">
        <f t="shared" si="2"/>
        <v>300058</v>
      </c>
      <c r="T7" s="26">
        <f>COUNTIF($V$4:V7,V7)</f>
        <v>2</v>
      </c>
      <c r="U7" s="26" t="str">
        <f>IF(T7=1,COUNTIF($T$4:T7,1),"")</f>
        <v/>
      </c>
      <c r="V7" s="27" t="str">
        <f>'施設状況(要更新)'!$E7&amp;'施設状況(要更新)'!$C7</f>
        <v>東区05家庭的</v>
      </c>
      <c r="W7" s="27" t="str">
        <f>'施設状況(要更新)'!$F7</f>
        <v>保育ママたんぽぽ</v>
      </c>
      <c r="X7" s="28">
        <v>3</v>
      </c>
      <c r="Y7" s="29" t="str">
        <f t="shared" si="4"/>
        <v/>
      </c>
      <c r="Z7" s="30" t="str">
        <f t="shared" si="4"/>
        <v/>
      </c>
      <c r="AA7" s="30" t="str">
        <f t="shared" si="4"/>
        <v/>
      </c>
      <c r="AB7" s="30" t="str">
        <f t="shared" si="4"/>
        <v/>
      </c>
      <c r="AC7" s="30" t="str">
        <f t="shared" si="4"/>
        <v/>
      </c>
      <c r="AD7" s="30" t="str">
        <f t="shared" si="4"/>
        <v/>
      </c>
      <c r="AE7" s="30" t="str">
        <f t="shared" si="4"/>
        <v/>
      </c>
      <c r="AF7" s="30">
        <f t="shared" si="4"/>
        <v>0</v>
      </c>
      <c r="AG7" s="30" t="str">
        <f t="shared" si="4"/>
        <v/>
      </c>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1"/>
      <c r="CT7" s="31"/>
      <c r="CU7" s="31"/>
      <c r="CV7" s="31"/>
      <c r="CW7" s="31"/>
      <c r="CX7" s="31"/>
      <c r="CY7" s="31"/>
      <c r="CZ7" s="31"/>
      <c r="DA7" s="31"/>
      <c r="DB7" s="31"/>
      <c r="DC7" s="31"/>
      <c r="DD7" s="31"/>
      <c r="DE7" s="31"/>
      <c r="DF7" s="31"/>
      <c r="DG7" s="31"/>
      <c r="DH7" s="31"/>
      <c r="DI7" s="31"/>
      <c r="DJ7" s="32"/>
    </row>
    <row r="8" spans="1:117">
      <c r="A8" s="33">
        <v>550019</v>
      </c>
      <c r="B8" s="25" t="s">
        <v>165</v>
      </c>
      <c r="C8" s="25" t="s">
        <v>365</v>
      </c>
      <c r="D8" s="25" t="s">
        <v>646</v>
      </c>
      <c r="E8" s="25" t="s">
        <v>168</v>
      </c>
      <c r="F8" s="25" t="s">
        <v>177</v>
      </c>
      <c r="G8" s="25"/>
      <c r="H8" s="25"/>
      <c r="I8" s="25"/>
      <c r="J8" s="25">
        <v>5</v>
      </c>
      <c r="K8" s="25">
        <v>0</v>
      </c>
      <c r="L8" s="25">
        <v>0</v>
      </c>
      <c r="M8" s="25">
        <v>1</v>
      </c>
      <c r="N8" s="25">
        <v>4</v>
      </c>
      <c r="O8" s="25">
        <f>SUM(テーブル1[[#This Row],[列11]:[列12]])</f>
        <v>5</v>
      </c>
      <c r="P8" s="25"/>
      <c r="Q8" s="25"/>
      <c r="R8" s="25">
        <f t="shared" si="1"/>
        <v>5</v>
      </c>
      <c r="S8" s="26">
        <f t="shared" si="2"/>
        <v>550019</v>
      </c>
      <c r="T8" s="26">
        <f>COUNTIF($V$4:V8,V8)</f>
        <v>1</v>
      </c>
      <c r="U8" s="26">
        <f>IF(T8=1,COUNTIF($T$4:T8,1),"")</f>
        <v>4</v>
      </c>
      <c r="V8" s="27" t="str">
        <f>'施設状況(要更新)'!$E8&amp;'施設状況(要更新)'!$C8</f>
        <v>清田区05家庭的</v>
      </c>
      <c r="W8" s="27" t="str">
        <f>'施設状況(要更新)'!$F8</f>
        <v>保育ママおひさま</v>
      </c>
      <c r="X8" s="28">
        <v>4</v>
      </c>
      <c r="Y8" s="29" t="str">
        <f t="shared" si="4"/>
        <v/>
      </c>
      <c r="Z8" s="30" t="str">
        <f t="shared" si="3"/>
        <v/>
      </c>
      <c r="AA8" s="30" t="str">
        <f t="shared" si="3"/>
        <v/>
      </c>
      <c r="AB8" s="30" t="str">
        <f t="shared" si="3"/>
        <v/>
      </c>
      <c r="AC8" s="30" t="str">
        <f t="shared" si="3"/>
        <v/>
      </c>
      <c r="AD8" s="30" t="str">
        <f t="shared" si="3"/>
        <v/>
      </c>
      <c r="AE8" s="30" t="str">
        <f t="shared" si="3"/>
        <v/>
      </c>
      <c r="AF8" s="30">
        <f t="shared" si="3"/>
        <v>0</v>
      </c>
      <c r="AG8" s="30" t="str">
        <f t="shared" si="3"/>
        <v/>
      </c>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1"/>
      <c r="CT8" s="31"/>
      <c r="CU8" s="31"/>
      <c r="CV8" s="31"/>
      <c r="CW8" s="31"/>
      <c r="CX8" s="31"/>
      <c r="CY8" s="31"/>
      <c r="CZ8" s="31"/>
      <c r="DA8" s="31"/>
      <c r="DB8" s="31"/>
      <c r="DC8" s="31"/>
      <c r="DD8" s="31"/>
      <c r="DE8" s="31"/>
      <c r="DF8" s="31"/>
      <c r="DG8" s="31"/>
      <c r="DH8" s="31"/>
      <c r="DI8" s="31"/>
      <c r="DJ8" s="32"/>
    </row>
    <row r="9" spans="1:117">
      <c r="A9" s="33">
        <v>600025</v>
      </c>
      <c r="B9" s="25" t="s">
        <v>165</v>
      </c>
      <c r="C9" s="25" t="s">
        <v>365</v>
      </c>
      <c r="D9" s="25" t="s">
        <v>646</v>
      </c>
      <c r="E9" s="25" t="s">
        <v>169</v>
      </c>
      <c r="F9" s="25" t="s">
        <v>178</v>
      </c>
      <c r="G9" s="25"/>
      <c r="H9" s="25"/>
      <c r="I9" s="25"/>
      <c r="J9" s="25">
        <v>5</v>
      </c>
      <c r="K9" s="25">
        <v>0</v>
      </c>
      <c r="L9" s="25">
        <v>0</v>
      </c>
      <c r="M9" s="25">
        <v>1</v>
      </c>
      <c r="N9" s="25">
        <v>4</v>
      </c>
      <c r="O9" s="25">
        <f>SUM(テーブル1[[#This Row],[列11]:[列12]])</f>
        <v>5</v>
      </c>
      <c r="P9" s="25"/>
      <c r="Q9" s="25"/>
      <c r="R9" s="25">
        <f t="shared" si="1"/>
        <v>5</v>
      </c>
      <c r="S9" s="26">
        <f t="shared" si="2"/>
        <v>600025</v>
      </c>
      <c r="T9" s="26">
        <f>COUNTIF($V$4:V9,V9)</f>
        <v>1</v>
      </c>
      <c r="U9" s="26">
        <f>IF(T9=1,COUNTIF($T$4:T9,1),"")</f>
        <v>5</v>
      </c>
      <c r="V9" s="27" t="str">
        <f>'施設状況(要更新)'!$E9&amp;'施設状況(要更新)'!$C9</f>
        <v>南区05家庭的</v>
      </c>
      <c r="W9" s="27" t="str">
        <f>'施設状況(要更新)'!$F9</f>
        <v>保育ママつぼみ</v>
      </c>
      <c r="X9" s="28">
        <v>5</v>
      </c>
      <c r="Y9" s="29" t="str">
        <f t="shared" si="4"/>
        <v/>
      </c>
      <c r="Z9" s="30" t="str">
        <f t="shared" si="3"/>
        <v/>
      </c>
      <c r="AA9" s="30" t="str">
        <f t="shared" si="3"/>
        <v/>
      </c>
      <c r="AB9" s="30" t="str">
        <f t="shared" si="3"/>
        <v/>
      </c>
      <c r="AC9" s="30" t="str">
        <f t="shared" si="3"/>
        <v/>
      </c>
      <c r="AD9" s="30" t="str">
        <f t="shared" si="3"/>
        <v/>
      </c>
      <c r="AE9" s="30" t="str">
        <f t="shared" si="3"/>
        <v/>
      </c>
      <c r="AF9" s="30">
        <f t="shared" si="3"/>
        <v>0</v>
      </c>
      <c r="AG9" s="30" t="str">
        <f t="shared" si="3"/>
        <v/>
      </c>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1"/>
      <c r="CT9" s="31"/>
      <c r="CU9" s="31"/>
      <c r="CV9" s="31"/>
      <c r="CW9" s="31"/>
      <c r="CX9" s="31"/>
      <c r="CY9" s="31"/>
      <c r="CZ9" s="31"/>
      <c r="DA9" s="31"/>
      <c r="DB9" s="31"/>
      <c r="DC9" s="31"/>
      <c r="DD9" s="31"/>
      <c r="DE9" s="31"/>
      <c r="DF9" s="31"/>
      <c r="DG9" s="31"/>
      <c r="DH9" s="31"/>
      <c r="DI9" s="31"/>
      <c r="DJ9" s="32"/>
    </row>
    <row r="10" spans="1:117">
      <c r="A10" s="33">
        <v>700042</v>
      </c>
      <c r="B10" s="25" t="s">
        <v>165</v>
      </c>
      <c r="C10" s="25" t="s">
        <v>365</v>
      </c>
      <c r="D10" s="25" t="s">
        <v>646</v>
      </c>
      <c r="E10" s="25" t="s">
        <v>170</v>
      </c>
      <c r="F10" s="25" t="s">
        <v>179</v>
      </c>
      <c r="G10" s="25"/>
      <c r="H10" s="25"/>
      <c r="I10" s="25"/>
      <c r="J10" s="25">
        <v>5</v>
      </c>
      <c r="K10" s="25">
        <v>0</v>
      </c>
      <c r="L10" s="25">
        <v>0</v>
      </c>
      <c r="M10" s="25">
        <v>1</v>
      </c>
      <c r="N10" s="25">
        <v>4</v>
      </c>
      <c r="O10" s="25">
        <f>SUM(テーブル1[[#This Row],[列11]:[列12]])</f>
        <v>5</v>
      </c>
      <c r="P10" s="25"/>
      <c r="Q10" s="25"/>
      <c r="R10" s="25">
        <f t="shared" si="1"/>
        <v>5</v>
      </c>
      <c r="S10" s="26">
        <f t="shared" si="2"/>
        <v>700042</v>
      </c>
      <c r="T10" s="26">
        <f>COUNTIF($V$4:V10,V10)</f>
        <v>1</v>
      </c>
      <c r="U10" s="26">
        <f>IF(T10=1,COUNTIF($T$4:T10,1),"")</f>
        <v>6</v>
      </c>
      <c r="V10" s="27" t="str">
        <f>'施設状況(要更新)'!$E10&amp;'施設状況(要更新)'!$C10</f>
        <v>西区05家庭的</v>
      </c>
      <c r="W10" s="27" t="str">
        <f>'施設状況(要更新)'!$F10</f>
        <v>保育るーむひなたぼっこ</v>
      </c>
      <c r="X10" s="28">
        <v>6</v>
      </c>
      <c r="Y10" s="29" t="str">
        <f t="shared" si="4"/>
        <v/>
      </c>
      <c r="Z10" s="30" t="str">
        <f t="shared" si="4"/>
        <v/>
      </c>
      <c r="AA10" s="30" t="str">
        <f t="shared" si="4"/>
        <v/>
      </c>
      <c r="AB10" s="30" t="str">
        <f t="shared" si="4"/>
        <v/>
      </c>
      <c r="AC10" s="30" t="str">
        <f t="shared" si="4"/>
        <v/>
      </c>
      <c r="AD10" s="30" t="str">
        <f t="shared" si="4"/>
        <v/>
      </c>
      <c r="AE10" s="30" t="str">
        <f t="shared" si="4"/>
        <v/>
      </c>
      <c r="AF10" s="30">
        <f t="shared" si="4"/>
        <v>0</v>
      </c>
      <c r="AG10" s="30" t="str">
        <f t="shared" si="4"/>
        <v/>
      </c>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1"/>
      <c r="CT10" s="31"/>
      <c r="CU10" s="31"/>
      <c r="CV10" s="31"/>
      <c r="CW10" s="31"/>
      <c r="CX10" s="31"/>
      <c r="CY10" s="31"/>
      <c r="CZ10" s="31"/>
      <c r="DA10" s="31"/>
      <c r="DB10" s="31"/>
      <c r="DC10" s="31"/>
      <c r="DD10" s="31"/>
      <c r="DE10" s="31"/>
      <c r="DF10" s="31"/>
      <c r="DG10" s="31"/>
      <c r="DH10" s="31"/>
      <c r="DI10" s="31"/>
      <c r="DJ10" s="32"/>
    </row>
    <row r="11" spans="1:117">
      <c r="A11" s="33">
        <v>750033</v>
      </c>
      <c r="B11" s="25" t="s">
        <v>165</v>
      </c>
      <c r="C11" s="25" t="s">
        <v>365</v>
      </c>
      <c r="D11" s="25" t="s">
        <v>646</v>
      </c>
      <c r="E11" s="25" t="s">
        <v>171</v>
      </c>
      <c r="F11" s="25" t="s">
        <v>180</v>
      </c>
      <c r="G11" s="25"/>
      <c r="H11" s="25"/>
      <c r="I11" s="25"/>
      <c r="J11" s="25">
        <v>5</v>
      </c>
      <c r="K11" s="25">
        <v>0</v>
      </c>
      <c r="L11" s="25">
        <v>0</v>
      </c>
      <c r="M11" s="25">
        <v>1</v>
      </c>
      <c r="N11" s="25">
        <v>4</v>
      </c>
      <c r="O11" s="25">
        <f>SUM(テーブル1[[#This Row],[列11]:[列12]])</f>
        <v>5</v>
      </c>
      <c r="P11" s="25"/>
      <c r="Q11" s="25"/>
      <c r="R11" s="25">
        <f t="shared" si="1"/>
        <v>5</v>
      </c>
      <c r="S11" s="26">
        <f t="shared" si="2"/>
        <v>750033</v>
      </c>
      <c r="T11" s="26">
        <f>COUNTIF($V$4:V11,V11)</f>
        <v>1</v>
      </c>
      <c r="U11" s="26">
        <f>IF(T11=1,COUNTIF($T$4:T11,1),"")</f>
        <v>7</v>
      </c>
      <c r="V11" s="27" t="str">
        <f>'施設状況(要更新)'!$E11&amp;'施設状況(要更新)'!$C11</f>
        <v>手稲区05家庭的</v>
      </c>
      <c r="W11" s="27" t="str">
        <f>'施設状況(要更新)'!$F11</f>
        <v>保育室ベリーベリー</v>
      </c>
      <c r="X11" s="28">
        <v>7</v>
      </c>
      <c r="Y11" s="29" t="str">
        <f t="shared" si="4"/>
        <v/>
      </c>
      <c r="Z11" s="30" t="str">
        <f t="shared" si="4"/>
        <v/>
      </c>
      <c r="AA11" s="30" t="str">
        <f t="shared" si="4"/>
        <v/>
      </c>
      <c r="AB11" s="30" t="str">
        <f t="shared" si="4"/>
        <v/>
      </c>
      <c r="AC11" s="30" t="str">
        <f t="shared" si="4"/>
        <v/>
      </c>
      <c r="AD11" s="30" t="str">
        <f t="shared" si="4"/>
        <v/>
      </c>
      <c r="AE11" s="30" t="str">
        <f t="shared" si="4"/>
        <v/>
      </c>
      <c r="AF11" s="30">
        <f t="shared" si="4"/>
        <v>0</v>
      </c>
      <c r="AG11" s="30" t="str">
        <f t="shared" si="4"/>
        <v/>
      </c>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1"/>
      <c r="CT11" s="31"/>
      <c r="CU11" s="31"/>
      <c r="CV11" s="31"/>
      <c r="CW11" s="31"/>
      <c r="CX11" s="31"/>
      <c r="CY11" s="31"/>
      <c r="CZ11" s="31"/>
      <c r="DA11" s="31"/>
      <c r="DB11" s="31"/>
      <c r="DC11" s="31"/>
      <c r="DD11" s="31"/>
      <c r="DE11" s="31"/>
      <c r="DF11" s="31"/>
      <c r="DG11" s="31"/>
      <c r="DH11" s="31"/>
      <c r="DI11" s="31"/>
      <c r="DJ11" s="32"/>
    </row>
    <row r="12" spans="1:117">
      <c r="A12" s="33"/>
      <c r="B12" s="25"/>
      <c r="C12" s="25"/>
      <c r="D12" s="25"/>
      <c r="E12" s="25"/>
      <c r="F12" s="25"/>
      <c r="G12" s="25"/>
      <c r="H12" s="25"/>
      <c r="I12" s="25"/>
      <c r="J12" s="25"/>
      <c r="K12" s="25"/>
      <c r="L12" s="25"/>
      <c r="M12" s="25"/>
      <c r="N12" s="25"/>
      <c r="O12" s="25"/>
      <c r="P12" s="25"/>
      <c r="Q12" s="25"/>
      <c r="R12" s="25"/>
      <c r="S12" s="26">
        <f t="shared" si="2"/>
        <v>0</v>
      </c>
      <c r="T12" s="26">
        <f>COUNTIF($V$4:V12,V12)</f>
        <v>1</v>
      </c>
      <c r="U12" s="26">
        <f>IF(T12=1,COUNTIF($T$4:T12,1),"")</f>
        <v>8</v>
      </c>
      <c r="V12" s="27" t="str">
        <f>'施設状況(要更新)'!$E12&amp;'施設状況(要更新)'!$C12</f>
        <v/>
      </c>
      <c r="W12" s="27">
        <f>'施設状況(要更新)'!$F12</f>
        <v>0</v>
      </c>
      <c r="X12" s="28">
        <v>8</v>
      </c>
      <c r="Y12" s="29" t="str">
        <f t="shared" si="4"/>
        <v/>
      </c>
      <c r="Z12" s="30" t="str">
        <f t="shared" si="4"/>
        <v/>
      </c>
      <c r="AA12" s="30" t="str">
        <f t="shared" si="4"/>
        <v/>
      </c>
      <c r="AB12" s="30" t="str">
        <f t="shared" si="4"/>
        <v/>
      </c>
      <c r="AC12" s="30" t="str">
        <f t="shared" si="4"/>
        <v/>
      </c>
      <c r="AD12" s="30" t="str">
        <f t="shared" si="4"/>
        <v/>
      </c>
      <c r="AE12" s="30" t="str">
        <f t="shared" si="4"/>
        <v/>
      </c>
      <c r="AF12" s="30">
        <f t="shared" si="4"/>
        <v>0</v>
      </c>
      <c r="AG12" s="30" t="str">
        <f t="shared" si="4"/>
        <v/>
      </c>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1"/>
      <c r="CT12" s="31"/>
      <c r="CU12" s="31"/>
      <c r="CV12" s="31"/>
      <c r="CW12" s="31"/>
      <c r="CX12" s="31"/>
      <c r="CY12" s="31"/>
      <c r="CZ12" s="31"/>
      <c r="DA12" s="31"/>
      <c r="DB12" s="31"/>
      <c r="DC12" s="31"/>
      <c r="DD12" s="31"/>
      <c r="DE12" s="31"/>
      <c r="DF12" s="31"/>
      <c r="DG12" s="31"/>
      <c r="DH12" s="31"/>
      <c r="DI12" s="31"/>
      <c r="DJ12" s="32"/>
    </row>
    <row r="13" spans="1:117">
      <c r="A13" s="33"/>
      <c r="B13" s="25"/>
      <c r="C13" s="25"/>
      <c r="D13" s="25"/>
      <c r="E13" s="25"/>
      <c r="F13" s="25"/>
      <c r="G13" s="25"/>
      <c r="H13" s="25"/>
      <c r="I13" s="25"/>
      <c r="J13" s="25"/>
      <c r="K13" s="25"/>
      <c r="L13" s="25"/>
      <c r="M13" s="25"/>
      <c r="N13" s="25"/>
      <c r="O13" s="25"/>
      <c r="P13" s="25"/>
      <c r="Q13" s="25"/>
      <c r="R13" s="25"/>
      <c r="S13" s="26">
        <f t="shared" si="2"/>
        <v>0</v>
      </c>
      <c r="T13" s="26">
        <f>COUNTIF($V$4:V13,V13)</f>
        <v>2</v>
      </c>
      <c r="U13" s="26" t="str">
        <f>IF(T13=1,COUNTIF($T$4:T13,1),"")</f>
        <v/>
      </c>
      <c r="V13" s="27" t="str">
        <f>'施設状況(要更新)'!$E13&amp;'施設状況(要更新)'!$C13</f>
        <v/>
      </c>
      <c r="W13" s="27">
        <f>'施設状況(要更新)'!$F13</f>
        <v>0</v>
      </c>
      <c r="X13" s="28">
        <v>9</v>
      </c>
      <c r="Y13" s="29" t="str">
        <f t="shared" si="4"/>
        <v/>
      </c>
      <c r="Z13" s="30" t="str">
        <f t="shared" si="4"/>
        <v/>
      </c>
      <c r="AA13" s="30" t="str">
        <f t="shared" si="4"/>
        <v/>
      </c>
      <c r="AB13" s="30" t="str">
        <f t="shared" si="4"/>
        <v/>
      </c>
      <c r="AC13" s="30" t="str">
        <f t="shared" si="4"/>
        <v/>
      </c>
      <c r="AD13" s="30" t="str">
        <f t="shared" si="4"/>
        <v/>
      </c>
      <c r="AE13" s="30" t="str">
        <f t="shared" si="4"/>
        <v/>
      </c>
      <c r="AF13" s="30">
        <f t="shared" si="4"/>
        <v>0</v>
      </c>
      <c r="AG13" s="30" t="str">
        <f t="shared" si="4"/>
        <v/>
      </c>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1"/>
      <c r="CT13" s="31"/>
      <c r="CU13" s="31"/>
      <c r="CV13" s="31"/>
      <c r="CW13" s="31"/>
      <c r="CX13" s="31"/>
      <c r="CY13" s="31"/>
      <c r="CZ13" s="31"/>
      <c r="DA13" s="31"/>
      <c r="DB13" s="31"/>
      <c r="DC13" s="31"/>
      <c r="DD13" s="31"/>
      <c r="DE13" s="31"/>
      <c r="DF13" s="31"/>
      <c r="DG13" s="31"/>
      <c r="DH13" s="31"/>
      <c r="DI13" s="31"/>
      <c r="DJ13" s="32"/>
    </row>
    <row r="14" spans="1:117">
      <c r="A14" s="33"/>
      <c r="B14" s="25"/>
      <c r="C14" s="25"/>
      <c r="D14" s="25"/>
      <c r="E14" s="25"/>
      <c r="F14" s="25"/>
      <c r="G14" s="25"/>
      <c r="H14" s="25"/>
      <c r="I14" s="25"/>
      <c r="J14" s="25"/>
      <c r="K14" s="25"/>
      <c r="L14" s="25"/>
      <c r="M14" s="25"/>
      <c r="N14" s="25"/>
      <c r="O14" s="25"/>
      <c r="P14" s="25"/>
      <c r="Q14" s="25"/>
      <c r="R14" s="25"/>
      <c r="S14" s="26">
        <f t="shared" si="2"/>
        <v>0</v>
      </c>
      <c r="T14" s="26">
        <f>COUNTIF($V$4:V14,V14)</f>
        <v>3</v>
      </c>
      <c r="U14" s="26" t="str">
        <f>IF(T14=1,COUNTIF($T$4:T14,1),"")</f>
        <v/>
      </c>
      <c r="V14" s="27" t="str">
        <f>'施設状況(要更新)'!$E14&amp;'施設状況(要更新)'!$C14</f>
        <v/>
      </c>
      <c r="W14" s="27">
        <f>'施設状況(要更新)'!$F14</f>
        <v>0</v>
      </c>
      <c r="X14" s="28">
        <v>10</v>
      </c>
      <c r="Y14" s="29" t="str">
        <f t="shared" si="4"/>
        <v/>
      </c>
      <c r="Z14" s="30" t="str">
        <f t="shared" si="4"/>
        <v/>
      </c>
      <c r="AA14" s="30" t="str">
        <f t="shared" si="4"/>
        <v/>
      </c>
      <c r="AB14" s="30" t="str">
        <f t="shared" si="4"/>
        <v/>
      </c>
      <c r="AC14" s="30" t="str">
        <f t="shared" si="4"/>
        <v/>
      </c>
      <c r="AD14" s="30" t="str">
        <f t="shared" si="4"/>
        <v/>
      </c>
      <c r="AE14" s="30" t="str">
        <f t="shared" si="4"/>
        <v/>
      </c>
      <c r="AF14" s="30">
        <f t="shared" si="4"/>
        <v>0</v>
      </c>
      <c r="AG14" s="30" t="str">
        <f t="shared" si="4"/>
        <v/>
      </c>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1"/>
      <c r="CT14" s="31"/>
      <c r="CU14" s="31"/>
      <c r="CV14" s="31"/>
      <c r="CW14" s="31"/>
      <c r="CX14" s="31"/>
      <c r="CY14" s="31"/>
      <c r="CZ14" s="31"/>
      <c r="DA14" s="31"/>
      <c r="DB14" s="31"/>
      <c r="DC14" s="31"/>
      <c r="DD14" s="31"/>
      <c r="DE14" s="31"/>
      <c r="DF14" s="31"/>
      <c r="DG14" s="31"/>
      <c r="DH14" s="31"/>
      <c r="DI14" s="31"/>
      <c r="DJ14" s="32"/>
    </row>
    <row r="15" spans="1:117">
      <c r="A15" s="33"/>
      <c r="B15" s="25"/>
      <c r="C15" s="25"/>
      <c r="D15" s="25"/>
      <c r="E15" s="25"/>
      <c r="F15" s="25"/>
      <c r="G15" s="25"/>
      <c r="H15" s="25"/>
      <c r="I15" s="25"/>
      <c r="J15" s="25"/>
      <c r="K15" s="25"/>
      <c r="L15" s="25"/>
      <c r="M15" s="25"/>
      <c r="N15" s="25"/>
      <c r="O15" s="25"/>
      <c r="P15" s="25"/>
      <c r="Q15" s="25"/>
      <c r="R15" s="25"/>
      <c r="S15" s="26">
        <f t="shared" si="2"/>
        <v>0</v>
      </c>
      <c r="T15" s="26">
        <f>COUNTIF($V$4:V15,V15)</f>
        <v>4</v>
      </c>
      <c r="U15" s="26" t="str">
        <f>IF(T15=1,COUNTIF($T$4:T15,1),"")</f>
        <v/>
      </c>
      <c r="V15" s="27" t="str">
        <f>'施設状況(要更新)'!$E15&amp;'施設状況(要更新)'!$C15</f>
        <v/>
      </c>
      <c r="W15" s="27">
        <f>'施設状況(要更新)'!$F15</f>
        <v>0</v>
      </c>
      <c r="X15" s="28">
        <v>11</v>
      </c>
      <c r="Y15" s="29" t="str">
        <f t="shared" si="4"/>
        <v/>
      </c>
      <c r="Z15" s="30" t="str">
        <f t="shared" si="4"/>
        <v/>
      </c>
      <c r="AA15" s="30" t="str">
        <f t="shared" si="4"/>
        <v/>
      </c>
      <c r="AB15" s="30" t="str">
        <f t="shared" si="4"/>
        <v/>
      </c>
      <c r="AC15" s="30" t="str">
        <f t="shared" si="4"/>
        <v/>
      </c>
      <c r="AD15" s="30" t="str">
        <f t="shared" si="4"/>
        <v/>
      </c>
      <c r="AE15" s="30" t="str">
        <f t="shared" si="4"/>
        <v/>
      </c>
      <c r="AF15" s="30">
        <f t="shared" si="4"/>
        <v>0</v>
      </c>
      <c r="AG15" s="30" t="str">
        <f t="shared" si="4"/>
        <v/>
      </c>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1"/>
      <c r="CT15" s="31"/>
      <c r="CU15" s="31"/>
      <c r="CV15" s="31"/>
      <c r="CW15" s="31"/>
      <c r="CX15" s="31"/>
      <c r="CY15" s="31"/>
      <c r="CZ15" s="31"/>
      <c r="DA15" s="31"/>
      <c r="DB15" s="31"/>
      <c r="DC15" s="31"/>
      <c r="DD15" s="31"/>
      <c r="DE15" s="31"/>
      <c r="DF15" s="31"/>
      <c r="DG15" s="31"/>
      <c r="DH15" s="31"/>
      <c r="DI15" s="31"/>
      <c r="DJ15" s="32"/>
    </row>
    <row r="16" spans="1:117">
      <c r="A16" s="33"/>
      <c r="B16" s="25"/>
      <c r="C16" s="25"/>
      <c r="D16" s="25"/>
      <c r="E16" s="25"/>
      <c r="F16" s="25"/>
      <c r="G16" s="25"/>
      <c r="H16" s="25"/>
      <c r="I16" s="25"/>
      <c r="J16" s="25"/>
      <c r="K16" s="25"/>
      <c r="L16" s="25"/>
      <c r="M16" s="25"/>
      <c r="N16" s="25"/>
      <c r="O16" s="25"/>
      <c r="P16" s="25"/>
      <c r="Q16" s="25"/>
      <c r="R16" s="25"/>
      <c r="S16" s="26">
        <f t="shared" si="2"/>
        <v>0</v>
      </c>
      <c r="T16" s="26">
        <f>COUNTIF($V$4:V16,V16)</f>
        <v>5</v>
      </c>
      <c r="U16" s="26" t="str">
        <f>IF(T16=1,COUNTIF($T$4:T16,1),"")</f>
        <v/>
      </c>
      <c r="V16" s="27" t="str">
        <f>'施設状況(要更新)'!$E16&amp;'施設状況(要更新)'!$C16</f>
        <v/>
      </c>
      <c r="W16" s="27">
        <f>'施設状況(要更新)'!$F16</f>
        <v>0</v>
      </c>
      <c r="X16" s="28">
        <v>12</v>
      </c>
      <c r="Y16" s="29" t="str">
        <f t="shared" si="4"/>
        <v/>
      </c>
      <c r="Z16" s="30" t="str">
        <f t="shared" si="4"/>
        <v/>
      </c>
      <c r="AA16" s="30" t="str">
        <f t="shared" si="4"/>
        <v/>
      </c>
      <c r="AB16" s="30" t="str">
        <f t="shared" si="4"/>
        <v/>
      </c>
      <c r="AC16" s="30" t="str">
        <f t="shared" si="4"/>
        <v/>
      </c>
      <c r="AD16" s="30" t="str">
        <f t="shared" si="4"/>
        <v/>
      </c>
      <c r="AE16" s="30" t="str">
        <f t="shared" si="4"/>
        <v/>
      </c>
      <c r="AF16" s="30">
        <f t="shared" si="4"/>
        <v>0</v>
      </c>
      <c r="AG16" s="30" t="str">
        <f t="shared" si="4"/>
        <v/>
      </c>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1"/>
      <c r="CT16" s="31"/>
      <c r="CU16" s="31"/>
      <c r="CV16" s="31"/>
      <c r="CW16" s="31"/>
      <c r="CX16" s="31"/>
      <c r="CY16" s="31"/>
      <c r="CZ16" s="31"/>
      <c r="DA16" s="31"/>
      <c r="DB16" s="31"/>
      <c r="DC16" s="31"/>
      <c r="DD16" s="31"/>
      <c r="DE16" s="31"/>
      <c r="DF16" s="31"/>
      <c r="DG16" s="31"/>
      <c r="DH16" s="31"/>
      <c r="DI16" s="31"/>
      <c r="DJ16" s="32"/>
    </row>
    <row r="17" spans="1:114">
      <c r="A17" s="33"/>
      <c r="B17" s="25"/>
      <c r="C17" s="25"/>
      <c r="D17" s="25"/>
      <c r="E17" s="25"/>
      <c r="F17" s="25"/>
      <c r="G17" s="25"/>
      <c r="H17" s="25"/>
      <c r="I17" s="25"/>
      <c r="J17" s="25"/>
      <c r="K17" s="25"/>
      <c r="L17" s="25"/>
      <c r="M17" s="25"/>
      <c r="N17" s="25"/>
      <c r="O17" s="25"/>
      <c r="P17" s="25"/>
      <c r="Q17" s="25"/>
      <c r="R17" s="25"/>
      <c r="S17" s="26">
        <f t="shared" si="2"/>
        <v>0</v>
      </c>
      <c r="T17" s="26">
        <f>COUNTIF($V$4:V17,V17)</f>
        <v>6</v>
      </c>
      <c r="U17" s="26" t="str">
        <f>IF(T17=1,COUNTIF($T$4:T17,1),"")</f>
        <v/>
      </c>
      <c r="V17" s="27" t="str">
        <f>'施設状況(要更新)'!$E17&amp;'施設状況(要更新)'!$C17</f>
        <v/>
      </c>
      <c r="W17" s="27">
        <f>'施設状況(要更新)'!$F17</f>
        <v>0</v>
      </c>
      <c r="X17" s="28">
        <v>13</v>
      </c>
      <c r="Y17" s="29" t="str">
        <f t="shared" si="4"/>
        <v/>
      </c>
      <c r="Z17" s="30" t="str">
        <f t="shared" si="4"/>
        <v/>
      </c>
      <c r="AA17" s="30" t="str">
        <f t="shared" si="4"/>
        <v/>
      </c>
      <c r="AB17" s="30" t="str">
        <f t="shared" si="4"/>
        <v/>
      </c>
      <c r="AC17" s="30" t="str">
        <f t="shared" si="4"/>
        <v/>
      </c>
      <c r="AD17" s="30" t="str">
        <f t="shared" si="4"/>
        <v/>
      </c>
      <c r="AE17" s="30" t="str">
        <f t="shared" si="4"/>
        <v/>
      </c>
      <c r="AF17" s="30">
        <f t="shared" si="4"/>
        <v>0</v>
      </c>
      <c r="AG17" s="30" t="str">
        <f t="shared" si="4"/>
        <v/>
      </c>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1"/>
      <c r="CT17" s="31"/>
      <c r="CU17" s="31"/>
      <c r="CV17" s="31"/>
      <c r="CW17" s="31"/>
      <c r="CX17" s="31"/>
      <c r="CY17" s="31"/>
      <c r="CZ17" s="31"/>
      <c r="DA17" s="31"/>
      <c r="DB17" s="31"/>
      <c r="DC17" s="31"/>
      <c r="DD17" s="31"/>
      <c r="DE17" s="31"/>
      <c r="DF17" s="31"/>
      <c r="DG17" s="31"/>
      <c r="DH17" s="31"/>
      <c r="DI17" s="31"/>
      <c r="DJ17" s="32"/>
    </row>
    <row r="18" spans="1:114">
      <c r="A18" s="33"/>
      <c r="B18" s="25"/>
      <c r="C18" s="25"/>
      <c r="D18" s="25"/>
      <c r="E18" s="25"/>
      <c r="F18" s="25"/>
      <c r="G18" s="25"/>
      <c r="H18" s="25"/>
      <c r="I18" s="25"/>
      <c r="J18" s="25"/>
      <c r="K18" s="25"/>
      <c r="L18" s="25"/>
      <c r="M18" s="25"/>
      <c r="N18" s="25"/>
      <c r="O18" s="25"/>
      <c r="P18" s="25"/>
      <c r="Q18" s="25"/>
      <c r="R18" s="25"/>
      <c r="S18" s="26">
        <f t="shared" si="2"/>
        <v>0</v>
      </c>
      <c r="T18" s="26">
        <f>COUNTIF($V$4:V18,V18)</f>
        <v>7</v>
      </c>
      <c r="U18" s="26" t="str">
        <f>IF(T18=1,COUNTIF($T$4:T18,1),"")</f>
        <v/>
      </c>
      <c r="V18" s="27" t="str">
        <f>'施設状況(要更新)'!$E18&amp;'施設状況(要更新)'!$C18</f>
        <v/>
      </c>
      <c r="W18" s="27">
        <f>'施設状況(要更新)'!$F18</f>
        <v>0</v>
      </c>
      <c r="X18" s="28">
        <v>14</v>
      </c>
      <c r="Y18" s="29" t="str">
        <f t="shared" si="4"/>
        <v/>
      </c>
      <c r="Z18" s="30" t="str">
        <f t="shared" si="4"/>
        <v/>
      </c>
      <c r="AA18" s="30" t="str">
        <f t="shared" si="4"/>
        <v/>
      </c>
      <c r="AB18" s="30" t="str">
        <f t="shared" si="4"/>
        <v/>
      </c>
      <c r="AC18" s="30" t="str">
        <f t="shared" si="4"/>
        <v/>
      </c>
      <c r="AD18" s="30" t="str">
        <f t="shared" si="4"/>
        <v/>
      </c>
      <c r="AE18" s="30" t="str">
        <f t="shared" si="4"/>
        <v/>
      </c>
      <c r="AF18" s="30">
        <f t="shared" si="4"/>
        <v>0</v>
      </c>
      <c r="AG18" s="30" t="str">
        <f t="shared" si="4"/>
        <v/>
      </c>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1"/>
      <c r="CT18" s="31"/>
      <c r="CU18" s="31"/>
      <c r="CV18" s="31"/>
      <c r="CW18" s="31"/>
      <c r="CX18" s="31"/>
      <c r="CY18" s="31"/>
      <c r="CZ18" s="31"/>
      <c r="DA18" s="31"/>
      <c r="DB18" s="31"/>
      <c r="DC18" s="31"/>
      <c r="DD18" s="31"/>
      <c r="DE18" s="31"/>
      <c r="DF18" s="31"/>
      <c r="DG18" s="31"/>
      <c r="DH18" s="31"/>
      <c r="DI18" s="31"/>
      <c r="DJ18" s="32"/>
    </row>
    <row r="19" spans="1:114">
      <c r="A19" s="33"/>
      <c r="B19" s="25"/>
      <c r="C19" s="25"/>
      <c r="D19" s="25"/>
      <c r="E19" s="25"/>
      <c r="F19" s="25"/>
      <c r="G19" s="25"/>
      <c r="H19" s="25"/>
      <c r="I19" s="25"/>
      <c r="J19" s="25"/>
      <c r="K19" s="25"/>
      <c r="L19" s="25"/>
      <c r="M19" s="25"/>
      <c r="N19" s="25"/>
      <c r="O19" s="25"/>
      <c r="P19" s="25"/>
      <c r="Q19" s="25"/>
      <c r="R19" s="25"/>
      <c r="S19" s="26">
        <f t="shared" si="2"/>
        <v>0</v>
      </c>
      <c r="T19" s="26">
        <f>COUNTIF($V$4:V19,V19)</f>
        <v>8</v>
      </c>
      <c r="U19" s="26" t="str">
        <f>IF(T19=1,COUNTIF($T$4:T19,1),"")</f>
        <v/>
      </c>
      <c r="V19" s="27" t="str">
        <f>'施設状況(要更新)'!$E19&amp;'施設状況(要更新)'!$C19</f>
        <v/>
      </c>
      <c r="W19" s="27">
        <f>'施設状況(要更新)'!$F19</f>
        <v>0</v>
      </c>
      <c r="X19" s="28">
        <v>15</v>
      </c>
      <c r="Y19" s="29" t="str">
        <f t="shared" si="4"/>
        <v/>
      </c>
      <c r="Z19" s="30" t="str">
        <f t="shared" si="4"/>
        <v/>
      </c>
      <c r="AA19" s="30" t="str">
        <f t="shared" si="4"/>
        <v/>
      </c>
      <c r="AB19" s="30" t="str">
        <f t="shared" si="4"/>
        <v/>
      </c>
      <c r="AC19" s="30" t="str">
        <f t="shared" si="4"/>
        <v/>
      </c>
      <c r="AD19" s="30" t="str">
        <f t="shared" si="4"/>
        <v/>
      </c>
      <c r="AE19" s="30" t="str">
        <f t="shared" si="4"/>
        <v/>
      </c>
      <c r="AF19" s="30">
        <f t="shared" si="4"/>
        <v>0</v>
      </c>
      <c r="AG19" s="30" t="str">
        <f t="shared" si="4"/>
        <v/>
      </c>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1"/>
      <c r="CT19" s="31"/>
      <c r="CU19" s="31"/>
      <c r="CV19" s="31"/>
      <c r="CW19" s="31"/>
      <c r="CX19" s="31"/>
      <c r="CY19" s="31"/>
      <c r="CZ19" s="31"/>
      <c r="DA19" s="31"/>
      <c r="DB19" s="31"/>
      <c r="DC19" s="31"/>
      <c r="DD19" s="31"/>
      <c r="DE19" s="31"/>
      <c r="DF19" s="31"/>
      <c r="DG19" s="31"/>
      <c r="DH19" s="31"/>
      <c r="DI19" s="31"/>
      <c r="DJ19" s="32"/>
    </row>
    <row r="20" spans="1:114">
      <c r="A20" s="33"/>
      <c r="B20" s="25"/>
      <c r="C20" s="25"/>
      <c r="D20" s="25"/>
      <c r="E20" s="25"/>
      <c r="F20" s="25"/>
      <c r="G20" s="25"/>
      <c r="H20" s="25"/>
      <c r="I20" s="25"/>
      <c r="J20" s="25"/>
      <c r="K20" s="25"/>
      <c r="L20" s="25"/>
      <c r="M20" s="25"/>
      <c r="N20" s="25"/>
      <c r="O20" s="25"/>
      <c r="P20" s="25"/>
      <c r="Q20" s="25"/>
      <c r="R20" s="25"/>
      <c r="S20" s="26">
        <f t="shared" si="2"/>
        <v>0</v>
      </c>
      <c r="T20" s="26">
        <f>COUNTIF($V$4:V20,V20)</f>
        <v>9</v>
      </c>
      <c r="U20" s="26" t="str">
        <f>IF(T20=1,COUNTIF($T$4:T20,1),"")</f>
        <v/>
      </c>
      <c r="V20" s="27" t="str">
        <f>'施設状況(要更新)'!$E20&amp;'施設状況(要更新)'!$C20</f>
        <v/>
      </c>
      <c r="W20" s="27">
        <f>'施設状況(要更新)'!$F20</f>
        <v>0</v>
      </c>
      <c r="X20" s="28">
        <v>16</v>
      </c>
      <c r="Y20" s="29" t="str">
        <f t="shared" si="4"/>
        <v/>
      </c>
      <c r="Z20" s="30" t="str">
        <f t="shared" si="4"/>
        <v/>
      </c>
      <c r="AA20" s="30" t="str">
        <f t="shared" si="4"/>
        <v/>
      </c>
      <c r="AB20" s="30" t="str">
        <f t="shared" si="4"/>
        <v/>
      </c>
      <c r="AC20" s="30" t="str">
        <f t="shared" si="4"/>
        <v/>
      </c>
      <c r="AD20" s="30" t="str">
        <f t="shared" si="4"/>
        <v/>
      </c>
      <c r="AE20" s="30" t="str">
        <f t="shared" si="4"/>
        <v/>
      </c>
      <c r="AF20" s="30">
        <f t="shared" si="4"/>
        <v>0</v>
      </c>
      <c r="AG20" s="30" t="str">
        <f t="shared" si="4"/>
        <v/>
      </c>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1"/>
      <c r="CT20" s="31"/>
      <c r="CU20" s="31"/>
      <c r="CV20" s="31"/>
      <c r="CW20" s="31"/>
      <c r="CX20" s="31"/>
      <c r="CY20" s="31"/>
      <c r="CZ20" s="31"/>
      <c r="DA20" s="31"/>
      <c r="DB20" s="31"/>
      <c r="DC20" s="31"/>
      <c r="DD20" s="31"/>
      <c r="DE20" s="31"/>
      <c r="DF20" s="31"/>
      <c r="DG20" s="31"/>
      <c r="DH20" s="31"/>
      <c r="DI20" s="31"/>
      <c r="DJ20" s="32"/>
    </row>
    <row r="21" spans="1:114">
      <c r="A21" s="33"/>
      <c r="B21" s="25"/>
      <c r="C21" s="25"/>
      <c r="D21" s="25"/>
      <c r="E21" s="25"/>
      <c r="F21" s="25"/>
      <c r="G21" s="25"/>
      <c r="H21" s="25"/>
      <c r="I21" s="25"/>
      <c r="J21" s="25"/>
      <c r="K21" s="25"/>
      <c r="L21" s="25"/>
      <c r="M21" s="25"/>
      <c r="N21" s="25"/>
      <c r="O21" s="25"/>
      <c r="P21" s="25"/>
      <c r="Q21" s="25"/>
      <c r="R21" s="25"/>
      <c r="S21" s="26">
        <f t="shared" si="2"/>
        <v>0</v>
      </c>
      <c r="T21" s="26">
        <f>COUNTIF($V$4:V21,V21)</f>
        <v>10</v>
      </c>
      <c r="U21" s="26" t="str">
        <f>IF(T21=1,COUNTIF($T$4:T21,1),"")</f>
        <v/>
      </c>
      <c r="V21" s="27" t="str">
        <f>'施設状況(要更新)'!$E21&amp;'施設状況(要更新)'!$C21</f>
        <v/>
      </c>
      <c r="W21" s="27">
        <f>'施設状況(要更新)'!$F21</f>
        <v>0</v>
      </c>
      <c r="X21" s="28">
        <v>17</v>
      </c>
      <c r="Y21" s="29" t="str">
        <f t="shared" si="4"/>
        <v/>
      </c>
      <c r="Z21" s="30" t="str">
        <f t="shared" si="4"/>
        <v/>
      </c>
      <c r="AA21" s="30" t="str">
        <f t="shared" si="4"/>
        <v/>
      </c>
      <c r="AB21" s="30" t="str">
        <f t="shared" si="4"/>
        <v/>
      </c>
      <c r="AC21" s="30" t="str">
        <f t="shared" si="4"/>
        <v/>
      </c>
      <c r="AD21" s="30" t="str">
        <f t="shared" si="4"/>
        <v/>
      </c>
      <c r="AE21" s="30" t="str">
        <f t="shared" si="4"/>
        <v/>
      </c>
      <c r="AF21" s="30">
        <f t="shared" si="4"/>
        <v>0</v>
      </c>
      <c r="AG21" s="30" t="str">
        <f t="shared" si="4"/>
        <v/>
      </c>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1"/>
      <c r="CT21" s="31"/>
      <c r="CU21" s="31"/>
      <c r="CV21" s="31"/>
      <c r="CW21" s="31"/>
      <c r="CX21" s="31"/>
      <c r="CY21" s="31"/>
      <c r="CZ21" s="31"/>
      <c r="DA21" s="31"/>
      <c r="DB21" s="31"/>
      <c r="DC21" s="31"/>
      <c r="DD21" s="31"/>
      <c r="DE21" s="31"/>
      <c r="DF21" s="31"/>
      <c r="DG21" s="31"/>
      <c r="DH21" s="31"/>
      <c r="DI21" s="31"/>
      <c r="DJ21" s="32"/>
    </row>
    <row r="22" spans="1:114">
      <c r="A22" s="33"/>
      <c r="B22" s="25"/>
      <c r="C22" s="25"/>
      <c r="D22" s="25"/>
      <c r="E22" s="25"/>
      <c r="F22" s="25"/>
      <c r="G22" s="25"/>
      <c r="H22" s="25"/>
      <c r="I22" s="25"/>
      <c r="J22" s="25"/>
      <c r="K22" s="25"/>
      <c r="L22" s="25"/>
      <c r="M22" s="25"/>
      <c r="N22" s="25"/>
      <c r="O22" s="25"/>
      <c r="P22" s="25"/>
      <c r="Q22" s="25"/>
      <c r="R22" s="25"/>
      <c r="S22" s="26">
        <f t="shared" si="2"/>
        <v>0</v>
      </c>
      <c r="T22" s="26">
        <f>COUNTIF($V$4:V22,V22)</f>
        <v>11</v>
      </c>
      <c r="U22" s="26" t="str">
        <f>IF(T22=1,COUNTIF($T$4:T22,1),"")</f>
        <v/>
      </c>
      <c r="V22" s="27" t="str">
        <f>'施設状況(要更新)'!$E22&amp;'施設状況(要更新)'!$C22</f>
        <v/>
      </c>
      <c r="W22" s="27">
        <f>'施設状況(要更新)'!$F22</f>
        <v>0</v>
      </c>
      <c r="X22" s="28">
        <v>18</v>
      </c>
      <c r="Y22" s="29" t="str">
        <f t="shared" si="4"/>
        <v/>
      </c>
      <c r="Z22" s="30" t="str">
        <f t="shared" si="4"/>
        <v/>
      </c>
      <c r="AA22" s="30" t="str">
        <f t="shared" si="4"/>
        <v/>
      </c>
      <c r="AB22" s="30" t="str">
        <f t="shared" si="4"/>
        <v/>
      </c>
      <c r="AC22" s="30" t="str">
        <f t="shared" si="4"/>
        <v/>
      </c>
      <c r="AD22" s="30" t="str">
        <f t="shared" si="4"/>
        <v/>
      </c>
      <c r="AE22" s="30" t="str">
        <f t="shared" si="4"/>
        <v/>
      </c>
      <c r="AF22" s="30">
        <f t="shared" si="4"/>
        <v>0</v>
      </c>
      <c r="AG22" s="30" t="str">
        <f t="shared" si="4"/>
        <v/>
      </c>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1"/>
      <c r="CT22" s="31"/>
      <c r="CU22" s="31"/>
      <c r="CV22" s="31"/>
      <c r="CW22" s="31"/>
      <c r="CX22" s="31"/>
      <c r="CY22" s="31"/>
      <c r="CZ22" s="31"/>
      <c r="DA22" s="31"/>
      <c r="DB22" s="31"/>
      <c r="DC22" s="31"/>
      <c r="DD22" s="31"/>
      <c r="DE22" s="31"/>
      <c r="DF22" s="31"/>
      <c r="DG22" s="31"/>
      <c r="DH22" s="31"/>
      <c r="DI22" s="31"/>
      <c r="DJ22" s="32"/>
    </row>
    <row r="23" spans="1:114">
      <c r="A23" s="33"/>
      <c r="B23" s="25"/>
      <c r="C23" s="25"/>
      <c r="D23" s="25"/>
      <c r="E23" s="25"/>
      <c r="F23" s="25"/>
      <c r="G23" s="25"/>
      <c r="H23" s="25"/>
      <c r="I23" s="25"/>
      <c r="J23" s="25"/>
      <c r="K23" s="25"/>
      <c r="L23" s="25"/>
      <c r="M23" s="25"/>
      <c r="N23" s="25"/>
      <c r="O23" s="25"/>
      <c r="P23" s="25"/>
      <c r="Q23" s="25"/>
      <c r="R23" s="25"/>
      <c r="S23" s="26">
        <f t="shared" si="2"/>
        <v>0</v>
      </c>
      <c r="T23" s="26">
        <f>COUNTIF($V$4:V23,V23)</f>
        <v>12</v>
      </c>
      <c r="U23" s="26" t="str">
        <f>IF(T23=1,COUNTIF($T$4:T23,1),"")</f>
        <v/>
      </c>
      <c r="V23" s="27" t="str">
        <f>'施設状況(要更新)'!$E23&amp;'施設状況(要更新)'!$C23</f>
        <v/>
      </c>
      <c r="W23" s="27">
        <f>'施設状況(要更新)'!$F23</f>
        <v>0</v>
      </c>
      <c r="X23" s="28">
        <v>19</v>
      </c>
      <c r="Y23" s="29" t="str">
        <f t="shared" si="4"/>
        <v/>
      </c>
      <c r="Z23" s="30" t="str">
        <f t="shared" si="4"/>
        <v/>
      </c>
      <c r="AA23" s="30" t="str">
        <f t="shared" si="4"/>
        <v/>
      </c>
      <c r="AB23" s="30" t="str">
        <f t="shared" si="4"/>
        <v/>
      </c>
      <c r="AC23" s="30" t="str">
        <f t="shared" si="4"/>
        <v/>
      </c>
      <c r="AD23" s="30" t="str">
        <f t="shared" si="4"/>
        <v/>
      </c>
      <c r="AE23" s="30" t="str">
        <f t="shared" si="4"/>
        <v/>
      </c>
      <c r="AF23" s="30">
        <f t="shared" si="4"/>
        <v>0</v>
      </c>
      <c r="AG23" s="30" t="str">
        <f t="shared" si="4"/>
        <v/>
      </c>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1"/>
      <c r="CT23" s="31"/>
      <c r="CU23" s="31"/>
      <c r="CV23" s="31"/>
      <c r="CW23" s="31"/>
      <c r="CX23" s="31"/>
      <c r="CY23" s="31"/>
      <c r="CZ23" s="31"/>
      <c r="DA23" s="31"/>
      <c r="DB23" s="31"/>
      <c r="DC23" s="31"/>
      <c r="DD23" s="31"/>
      <c r="DE23" s="31"/>
      <c r="DF23" s="31"/>
      <c r="DG23" s="31"/>
      <c r="DH23" s="31"/>
      <c r="DI23" s="31"/>
      <c r="DJ23" s="32"/>
    </row>
    <row r="24" spans="1:114">
      <c r="A24" s="33"/>
      <c r="B24" s="25"/>
      <c r="C24" s="25"/>
      <c r="D24" s="25"/>
      <c r="E24" s="25"/>
      <c r="F24" s="25"/>
      <c r="G24" s="25"/>
      <c r="H24" s="25"/>
      <c r="I24" s="25"/>
      <c r="J24" s="25"/>
      <c r="K24" s="25"/>
      <c r="L24" s="25"/>
      <c r="M24" s="25"/>
      <c r="N24" s="25"/>
      <c r="O24" s="25"/>
      <c r="P24" s="25"/>
      <c r="Q24" s="25"/>
      <c r="R24" s="25"/>
      <c r="S24" s="26">
        <f t="shared" si="2"/>
        <v>0</v>
      </c>
      <c r="T24" s="26">
        <f>COUNTIF($V$4:V24,V24)</f>
        <v>13</v>
      </c>
      <c r="U24" s="26" t="str">
        <f>IF(T24=1,COUNTIF($T$4:T24,1),"")</f>
        <v/>
      </c>
      <c r="V24" s="27" t="str">
        <f>'施設状況(要更新)'!$E24&amp;'施設状況(要更新)'!$C24</f>
        <v/>
      </c>
      <c r="W24" s="27">
        <f>'施設状況(要更新)'!$F24</f>
        <v>0</v>
      </c>
      <c r="X24" s="28">
        <v>20</v>
      </c>
      <c r="Y24" s="29" t="str">
        <f t="shared" ref="Y24:AG39" si="5">IFERROR(INDEX($T$4:$W$700,MATCH($X24&amp;Y$3,INDEX($T$4:$T$700&amp;$V$4:$V$700,),0),MATCH("施設名",$T$3:$W$3,0)),"")</f>
        <v/>
      </c>
      <c r="Z24" s="30" t="str">
        <f t="shared" si="5"/>
        <v/>
      </c>
      <c r="AA24" s="30" t="str">
        <f t="shared" si="5"/>
        <v/>
      </c>
      <c r="AB24" s="30" t="str">
        <f t="shared" si="5"/>
        <v/>
      </c>
      <c r="AC24" s="30" t="str">
        <f t="shared" si="5"/>
        <v/>
      </c>
      <c r="AD24" s="30" t="str">
        <f t="shared" si="5"/>
        <v/>
      </c>
      <c r="AE24" s="30" t="str">
        <f t="shared" si="5"/>
        <v/>
      </c>
      <c r="AF24" s="30">
        <f t="shared" si="5"/>
        <v>0</v>
      </c>
      <c r="AG24" s="30" t="str">
        <f t="shared" si="5"/>
        <v/>
      </c>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1"/>
      <c r="CT24" s="31"/>
      <c r="CU24" s="31"/>
      <c r="CV24" s="31"/>
      <c r="CW24" s="31"/>
      <c r="CX24" s="31"/>
      <c r="CY24" s="31"/>
      <c r="CZ24" s="31"/>
      <c r="DA24" s="31"/>
      <c r="DB24" s="31"/>
      <c r="DC24" s="31"/>
      <c r="DD24" s="31"/>
      <c r="DE24" s="31"/>
      <c r="DF24" s="31"/>
      <c r="DG24" s="31"/>
      <c r="DH24" s="31"/>
      <c r="DI24" s="31"/>
      <c r="DJ24" s="32"/>
    </row>
    <row r="25" spans="1:114">
      <c r="A25" s="33"/>
      <c r="B25" s="25"/>
      <c r="C25" s="25"/>
      <c r="D25" s="25"/>
      <c r="E25" s="25"/>
      <c r="F25" s="25"/>
      <c r="G25" s="25"/>
      <c r="H25" s="25"/>
      <c r="I25" s="25"/>
      <c r="J25" s="25"/>
      <c r="K25" s="25"/>
      <c r="L25" s="25"/>
      <c r="M25" s="25"/>
      <c r="N25" s="25"/>
      <c r="O25" s="25"/>
      <c r="P25" s="25"/>
      <c r="Q25" s="25"/>
      <c r="R25" s="25"/>
      <c r="S25" s="26">
        <f t="shared" si="2"/>
        <v>0</v>
      </c>
      <c r="T25" s="26">
        <f>COUNTIF($V$4:V25,V25)</f>
        <v>14</v>
      </c>
      <c r="U25" s="26" t="str">
        <f>IF(T25=1,COUNTIF($T$4:T25,1),"")</f>
        <v/>
      </c>
      <c r="V25" s="27" t="str">
        <f>'施設状況(要更新)'!$E25&amp;'施設状況(要更新)'!$C25</f>
        <v/>
      </c>
      <c r="W25" s="27">
        <f>'施設状況(要更新)'!$F25</f>
        <v>0</v>
      </c>
      <c r="X25" s="28">
        <v>21</v>
      </c>
      <c r="Y25" s="29" t="str">
        <f t="shared" si="5"/>
        <v/>
      </c>
      <c r="Z25" s="30" t="str">
        <f t="shared" si="5"/>
        <v/>
      </c>
      <c r="AA25" s="30" t="str">
        <f t="shared" si="5"/>
        <v/>
      </c>
      <c r="AB25" s="30" t="str">
        <f t="shared" si="5"/>
        <v/>
      </c>
      <c r="AC25" s="30" t="str">
        <f t="shared" si="5"/>
        <v/>
      </c>
      <c r="AD25" s="30" t="str">
        <f t="shared" si="5"/>
        <v/>
      </c>
      <c r="AE25" s="30" t="str">
        <f t="shared" si="5"/>
        <v/>
      </c>
      <c r="AF25" s="30">
        <f t="shared" si="5"/>
        <v>0</v>
      </c>
      <c r="AG25" s="30" t="str">
        <f t="shared" si="5"/>
        <v/>
      </c>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1"/>
      <c r="CT25" s="31"/>
      <c r="CU25" s="31"/>
      <c r="CV25" s="31"/>
      <c r="CW25" s="31"/>
      <c r="CX25" s="31"/>
      <c r="CY25" s="31"/>
      <c r="CZ25" s="31"/>
      <c r="DA25" s="31"/>
      <c r="DB25" s="31"/>
      <c r="DC25" s="31"/>
      <c r="DD25" s="31"/>
      <c r="DE25" s="31"/>
      <c r="DF25" s="31"/>
      <c r="DG25" s="31"/>
      <c r="DH25" s="31"/>
      <c r="DI25" s="31"/>
      <c r="DJ25" s="32"/>
    </row>
    <row r="26" spans="1:114">
      <c r="A26" s="33"/>
      <c r="B26" s="25"/>
      <c r="C26" s="25"/>
      <c r="D26" s="25"/>
      <c r="E26" s="25"/>
      <c r="F26" s="25"/>
      <c r="G26" s="25"/>
      <c r="H26" s="25"/>
      <c r="I26" s="25"/>
      <c r="J26" s="25"/>
      <c r="K26" s="25"/>
      <c r="L26" s="25"/>
      <c r="M26" s="25"/>
      <c r="N26" s="25"/>
      <c r="O26" s="25"/>
      <c r="P26" s="25"/>
      <c r="Q26" s="25"/>
      <c r="R26" s="25"/>
      <c r="S26" s="26">
        <f t="shared" si="2"/>
        <v>0</v>
      </c>
      <c r="T26" s="26">
        <f>COUNTIF($V$4:V26,V26)</f>
        <v>15</v>
      </c>
      <c r="U26" s="26" t="str">
        <f>IF(T26=1,COUNTIF($T$4:T26,1),"")</f>
        <v/>
      </c>
      <c r="V26" s="27" t="str">
        <f>'施設状況(要更新)'!$E26&amp;'施設状況(要更新)'!$C26</f>
        <v/>
      </c>
      <c r="W26" s="27">
        <f>'施設状況(要更新)'!$F26</f>
        <v>0</v>
      </c>
      <c r="X26" s="28">
        <v>22</v>
      </c>
      <c r="Y26" s="29" t="str">
        <f t="shared" si="5"/>
        <v/>
      </c>
      <c r="Z26" s="30" t="str">
        <f t="shared" si="5"/>
        <v/>
      </c>
      <c r="AA26" s="30" t="str">
        <f t="shared" si="5"/>
        <v/>
      </c>
      <c r="AB26" s="30" t="str">
        <f t="shared" si="5"/>
        <v/>
      </c>
      <c r="AC26" s="30" t="str">
        <f t="shared" si="5"/>
        <v/>
      </c>
      <c r="AD26" s="30" t="str">
        <f t="shared" si="5"/>
        <v/>
      </c>
      <c r="AE26" s="30" t="str">
        <f t="shared" si="5"/>
        <v/>
      </c>
      <c r="AF26" s="30">
        <f t="shared" si="5"/>
        <v>0</v>
      </c>
      <c r="AG26" s="30" t="str">
        <f t="shared" si="5"/>
        <v/>
      </c>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1"/>
      <c r="CT26" s="31"/>
      <c r="CU26" s="31"/>
      <c r="CV26" s="31"/>
      <c r="CW26" s="31"/>
      <c r="CX26" s="31"/>
      <c r="CY26" s="31"/>
      <c r="CZ26" s="31"/>
      <c r="DA26" s="31"/>
      <c r="DB26" s="31"/>
      <c r="DC26" s="31"/>
      <c r="DD26" s="31"/>
      <c r="DE26" s="31"/>
      <c r="DF26" s="31"/>
      <c r="DG26" s="31"/>
      <c r="DH26" s="31"/>
      <c r="DI26" s="31"/>
      <c r="DJ26" s="32"/>
    </row>
    <row r="27" spans="1:114">
      <c r="A27" s="33"/>
      <c r="B27" s="25"/>
      <c r="C27" s="25"/>
      <c r="D27" s="25"/>
      <c r="E27" s="25"/>
      <c r="F27" s="25"/>
      <c r="G27" s="25"/>
      <c r="H27" s="25"/>
      <c r="I27" s="25"/>
      <c r="J27" s="25"/>
      <c r="K27" s="25"/>
      <c r="L27" s="25"/>
      <c r="M27" s="25"/>
      <c r="N27" s="25"/>
      <c r="O27" s="25"/>
      <c r="P27" s="25"/>
      <c r="Q27" s="25"/>
      <c r="R27" s="25"/>
      <c r="S27" s="26">
        <f t="shared" si="2"/>
        <v>0</v>
      </c>
      <c r="T27" s="26">
        <f>COUNTIF($V$4:V27,V27)</f>
        <v>16</v>
      </c>
      <c r="U27" s="26" t="str">
        <f>IF(T27=1,COUNTIF($T$4:T27,1),"")</f>
        <v/>
      </c>
      <c r="V27" s="27" t="str">
        <f>'施設状況(要更新)'!$E27&amp;'施設状況(要更新)'!$C27</f>
        <v/>
      </c>
      <c r="W27" s="27">
        <f>'施設状況(要更新)'!$F27</f>
        <v>0</v>
      </c>
      <c r="X27" s="28">
        <v>23</v>
      </c>
      <c r="Y27" s="29" t="str">
        <f t="shared" si="5"/>
        <v/>
      </c>
      <c r="Z27" s="30" t="str">
        <f t="shared" si="5"/>
        <v/>
      </c>
      <c r="AA27" s="30" t="str">
        <f t="shared" si="5"/>
        <v/>
      </c>
      <c r="AB27" s="30" t="str">
        <f t="shared" si="5"/>
        <v/>
      </c>
      <c r="AC27" s="30" t="str">
        <f t="shared" si="5"/>
        <v/>
      </c>
      <c r="AD27" s="30" t="str">
        <f t="shared" si="5"/>
        <v/>
      </c>
      <c r="AE27" s="30" t="str">
        <f t="shared" si="5"/>
        <v/>
      </c>
      <c r="AF27" s="30">
        <f t="shared" si="5"/>
        <v>0</v>
      </c>
      <c r="AG27" s="30" t="str">
        <f t="shared" si="5"/>
        <v/>
      </c>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1"/>
      <c r="CT27" s="31"/>
      <c r="CU27" s="31"/>
      <c r="CV27" s="31"/>
      <c r="CW27" s="31"/>
      <c r="CX27" s="31"/>
      <c r="CY27" s="31"/>
      <c r="CZ27" s="31"/>
      <c r="DA27" s="31"/>
      <c r="DB27" s="31"/>
      <c r="DC27" s="31"/>
      <c r="DD27" s="31"/>
      <c r="DE27" s="31"/>
      <c r="DF27" s="31"/>
      <c r="DG27" s="31"/>
      <c r="DH27" s="31"/>
      <c r="DI27" s="31"/>
      <c r="DJ27" s="32"/>
    </row>
    <row r="28" spans="1:114">
      <c r="A28" s="33"/>
      <c r="B28" s="25"/>
      <c r="C28" s="25"/>
      <c r="D28" s="25"/>
      <c r="E28" s="25"/>
      <c r="F28" s="25"/>
      <c r="G28" s="25"/>
      <c r="H28" s="25"/>
      <c r="I28" s="25"/>
      <c r="J28" s="25"/>
      <c r="K28" s="25"/>
      <c r="L28" s="25"/>
      <c r="M28" s="25"/>
      <c r="N28" s="25"/>
      <c r="O28" s="25"/>
      <c r="P28" s="25"/>
      <c r="Q28" s="25"/>
      <c r="R28" s="25"/>
      <c r="S28" s="26">
        <f t="shared" si="2"/>
        <v>0</v>
      </c>
      <c r="T28" s="26">
        <f>COUNTIF($V$4:V28,V28)</f>
        <v>17</v>
      </c>
      <c r="U28" s="26" t="str">
        <f>IF(T28=1,COUNTIF($T$4:T28,1),"")</f>
        <v/>
      </c>
      <c r="V28" s="27" t="str">
        <f>'施設状況(要更新)'!$E28&amp;'施設状況(要更新)'!$C28</f>
        <v/>
      </c>
      <c r="W28" s="27">
        <f>'施設状況(要更新)'!$F28</f>
        <v>0</v>
      </c>
      <c r="X28" s="28">
        <v>24</v>
      </c>
      <c r="Y28" s="29" t="str">
        <f t="shared" si="5"/>
        <v/>
      </c>
      <c r="Z28" s="30" t="str">
        <f t="shared" si="5"/>
        <v/>
      </c>
      <c r="AA28" s="30" t="str">
        <f t="shared" si="5"/>
        <v/>
      </c>
      <c r="AB28" s="30" t="str">
        <f t="shared" si="5"/>
        <v/>
      </c>
      <c r="AC28" s="30" t="str">
        <f t="shared" si="5"/>
        <v/>
      </c>
      <c r="AD28" s="30" t="str">
        <f t="shared" si="5"/>
        <v/>
      </c>
      <c r="AE28" s="30" t="str">
        <f t="shared" si="5"/>
        <v/>
      </c>
      <c r="AF28" s="30">
        <f t="shared" si="5"/>
        <v>0</v>
      </c>
      <c r="AG28" s="30" t="str">
        <f t="shared" si="5"/>
        <v/>
      </c>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1"/>
      <c r="CT28" s="31"/>
      <c r="CU28" s="31"/>
      <c r="CV28" s="31"/>
      <c r="CW28" s="31"/>
      <c r="CX28" s="31"/>
      <c r="CY28" s="31"/>
      <c r="CZ28" s="31"/>
      <c r="DA28" s="31"/>
      <c r="DB28" s="31"/>
      <c r="DC28" s="31"/>
      <c r="DD28" s="31"/>
      <c r="DE28" s="31"/>
      <c r="DF28" s="31"/>
      <c r="DG28" s="31"/>
      <c r="DH28" s="31"/>
      <c r="DI28" s="31"/>
      <c r="DJ28" s="32"/>
    </row>
    <row r="29" spans="1:114">
      <c r="A29" s="33"/>
      <c r="B29" s="25"/>
      <c r="C29" s="25"/>
      <c r="D29" s="25"/>
      <c r="E29" s="25"/>
      <c r="F29" s="25"/>
      <c r="G29" s="25"/>
      <c r="H29" s="25"/>
      <c r="I29" s="25"/>
      <c r="J29" s="25"/>
      <c r="K29" s="25"/>
      <c r="L29" s="25"/>
      <c r="M29" s="25"/>
      <c r="N29" s="25"/>
      <c r="O29" s="25"/>
      <c r="P29" s="25"/>
      <c r="Q29" s="25"/>
      <c r="R29" s="25"/>
      <c r="S29" s="26">
        <f t="shared" si="2"/>
        <v>0</v>
      </c>
      <c r="T29" s="26">
        <f>COUNTIF($V$4:V29,V29)</f>
        <v>18</v>
      </c>
      <c r="U29" s="26" t="str">
        <f>IF(T29=1,COUNTIF($T$4:T29,1),"")</f>
        <v/>
      </c>
      <c r="V29" s="27" t="str">
        <f>'施設状況(要更新)'!$E29&amp;'施設状況(要更新)'!$C29</f>
        <v/>
      </c>
      <c r="W29" s="27">
        <f>'施設状況(要更新)'!$F29</f>
        <v>0</v>
      </c>
      <c r="X29" s="28">
        <v>25</v>
      </c>
      <c r="Y29" s="29" t="str">
        <f t="shared" si="5"/>
        <v/>
      </c>
      <c r="Z29" s="30" t="str">
        <f t="shared" si="5"/>
        <v/>
      </c>
      <c r="AA29" s="30" t="str">
        <f t="shared" si="5"/>
        <v/>
      </c>
      <c r="AB29" s="30" t="str">
        <f t="shared" si="5"/>
        <v/>
      </c>
      <c r="AC29" s="30" t="str">
        <f t="shared" si="5"/>
        <v/>
      </c>
      <c r="AD29" s="30" t="str">
        <f t="shared" si="5"/>
        <v/>
      </c>
      <c r="AE29" s="30" t="str">
        <f t="shared" si="5"/>
        <v/>
      </c>
      <c r="AF29" s="30">
        <f t="shared" si="5"/>
        <v>0</v>
      </c>
      <c r="AG29" s="30" t="str">
        <f t="shared" si="5"/>
        <v/>
      </c>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1"/>
      <c r="CT29" s="31"/>
      <c r="CU29" s="31"/>
      <c r="CV29" s="31"/>
      <c r="CW29" s="31"/>
      <c r="CX29" s="31"/>
      <c r="CY29" s="31"/>
      <c r="CZ29" s="31"/>
      <c r="DA29" s="31"/>
      <c r="DB29" s="31"/>
      <c r="DC29" s="31"/>
      <c r="DD29" s="31"/>
      <c r="DE29" s="31"/>
      <c r="DF29" s="31"/>
      <c r="DG29" s="31"/>
      <c r="DH29" s="31"/>
      <c r="DI29" s="31"/>
      <c r="DJ29" s="32"/>
    </row>
    <row r="30" spans="1:114">
      <c r="A30" s="33"/>
      <c r="B30" s="25"/>
      <c r="C30" s="25"/>
      <c r="D30" s="25"/>
      <c r="E30" s="25"/>
      <c r="F30" s="25"/>
      <c r="G30" s="25"/>
      <c r="H30" s="25"/>
      <c r="I30" s="25"/>
      <c r="J30" s="25"/>
      <c r="K30" s="25"/>
      <c r="L30" s="25"/>
      <c r="M30" s="25"/>
      <c r="N30" s="25"/>
      <c r="O30" s="25"/>
      <c r="P30" s="25"/>
      <c r="Q30" s="25"/>
      <c r="R30" s="25"/>
      <c r="S30" s="26">
        <f t="shared" si="2"/>
        <v>0</v>
      </c>
      <c r="T30" s="26">
        <f>COUNTIF($V$4:V30,V30)</f>
        <v>19</v>
      </c>
      <c r="U30" s="26" t="str">
        <f>IF(T30=1,COUNTIF($T$4:T30,1),"")</f>
        <v/>
      </c>
      <c r="V30" s="27" t="str">
        <f>'施設状況(要更新)'!$E30&amp;'施設状況(要更新)'!$C30</f>
        <v/>
      </c>
      <c r="W30" s="27">
        <f>'施設状況(要更新)'!$F30</f>
        <v>0</v>
      </c>
      <c r="X30" s="28">
        <v>26</v>
      </c>
      <c r="Y30" s="29" t="str">
        <f t="shared" si="5"/>
        <v/>
      </c>
      <c r="Z30" s="30" t="str">
        <f t="shared" si="5"/>
        <v/>
      </c>
      <c r="AA30" s="30" t="str">
        <f t="shared" si="5"/>
        <v/>
      </c>
      <c r="AB30" s="30" t="str">
        <f t="shared" si="5"/>
        <v/>
      </c>
      <c r="AC30" s="30" t="str">
        <f t="shared" si="5"/>
        <v/>
      </c>
      <c r="AD30" s="30" t="str">
        <f t="shared" si="5"/>
        <v/>
      </c>
      <c r="AE30" s="30" t="str">
        <f t="shared" si="5"/>
        <v/>
      </c>
      <c r="AF30" s="30">
        <f t="shared" si="5"/>
        <v>0</v>
      </c>
      <c r="AG30" s="30" t="str">
        <f t="shared" si="5"/>
        <v/>
      </c>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1"/>
      <c r="CT30" s="31"/>
      <c r="CU30" s="31"/>
      <c r="CV30" s="31"/>
      <c r="CW30" s="31"/>
      <c r="CX30" s="31"/>
      <c r="CY30" s="31"/>
      <c r="CZ30" s="31"/>
      <c r="DA30" s="31"/>
      <c r="DB30" s="31"/>
      <c r="DC30" s="31"/>
      <c r="DD30" s="31"/>
      <c r="DE30" s="31"/>
      <c r="DF30" s="31"/>
      <c r="DG30" s="31"/>
      <c r="DH30" s="31"/>
      <c r="DI30" s="31"/>
      <c r="DJ30" s="32"/>
    </row>
    <row r="31" spans="1:114">
      <c r="A31" s="33"/>
      <c r="B31" s="25"/>
      <c r="C31" s="25"/>
      <c r="D31" s="25"/>
      <c r="E31" s="25"/>
      <c r="F31" s="25"/>
      <c r="G31" s="25"/>
      <c r="H31" s="25"/>
      <c r="I31" s="25"/>
      <c r="J31" s="25"/>
      <c r="K31" s="25"/>
      <c r="L31" s="25"/>
      <c r="M31" s="25"/>
      <c r="N31" s="25"/>
      <c r="O31" s="25"/>
      <c r="P31" s="25"/>
      <c r="Q31" s="25"/>
      <c r="R31" s="25"/>
      <c r="S31" s="26">
        <f t="shared" si="2"/>
        <v>0</v>
      </c>
      <c r="T31" s="26">
        <f>COUNTIF($V$4:V31,V31)</f>
        <v>20</v>
      </c>
      <c r="U31" s="26" t="str">
        <f>IF(T31=1,COUNTIF($T$4:T31,1),"")</f>
        <v/>
      </c>
      <c r="V31" s="27" t="str">
        <f>'施設状況(要更新)'!$E31&amp;'施設状況(要更新)'!$C31</f>
        <v/>
      </c>
      <c r="W31" s="27">
        <f>'施設状況(要更新)'!$F31</f>
        <v>0</v>
      </c>
      <c r="X31" s="28">
        <v>27</v>
      </c>
      <c r="Y31" s="29" t="str">
        <f t="shared" si="5"/>
        <v/>
      </c>
      <c r="Z31" s="30" t="str">
        <f t="shared" si="5"/>
        <v/>
      </c>
      <c r="AA31" s="30" t="str">
        <f t="shared" si="5"/>
        <v/>
      </c>
      <c r="AB31" s="30" t="str">
        <f t="shared" si="5"/>
        <v/>
      </c>
      <c r="AC31" s="30" t="str">
        <f t="shared" si="5"/>
        <v/>
      </c>
      <c r="AD31" s="30" t="str">
        <f t="shared" si="5"/>
        <v/>
      </c>
      <c r="AE31" s="30" t="str">
        <f t="shared" si="5"/>
        <v/>
      </c>
      <c r="AF31" s="30">
        <f t="shared" si="5"/>
        <v>0</v>
      </c>
      <c r="AG31" s="30" t="str">
        <f t="shared" si="5"/>
        <v/>
      </c>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1"/>
      <c r="CT31" s="31"/>
      <c r="CU31" s="31"/>
      <c r="CV31" s="31"/>
      <c r="CW31" s="31"/>
      <c r="CX31" s="31"/>
      <c r="CY31" s="31"/>
      <c r="CZ31" s="31"/>
      <c r="DA31" s="31"/>
      <c r="DB31" s="31"/>
      <c r="DC31" s="31"/>
      <c r="DD31" s="31"/>
      <c r="DE31" s="31"/>
      <c r="DF31" s="31"/>
      <c r="DG31" s="31"/>
      <c r="DH31" s="31"/>
      <c r="DI31" s="31"/>
      <c r="DJ31" s="32"/>
    </row>
    <row r="32" spans="1:114">
      <c r="A32" s="33"/>
      <c r="B32" s="25"/>
      <c r="C32" s="25"/>
      <c r="D32" s="25"/>
      <c r="E32" s="25"/>
      <c r="F32" s="25"/>
      <c r="G32" s="25"/>
      <c r="H32" s="25"/>
      <c r="I32" s="25"/>
      <c r="J32" s="25"/>
      <c r="K32" s="25"/>
      <c r="L32" s="25"/>
      <c r="M32" s="25"/>
      <c r="N32" s="25"/>
      <c r="O32" s="25"/>
      <c r="P32" s="25"/>
      <c r="Q32" s="25"/>
      <c r="R32" s="25"/>
      <c r="S32" s="26">
        <f t="shared" si="2"/>
        <v>0</v>
      </c>
      <c r="T32" s="26">
        <f>COUNTIF($V$4:V32,V32)</f>
        <v>21</v>
      </c>
      <c r="U32" s="26" t="str">
        <f>IF(T32=1,COUNTIF($T$4:T32,1),"")</f>
        <v/>
      </c>
      <c r="V32" s="27" t="str">
        <f>'施設状況(要更新)'!$E32&amp;'施設状況(要更新)'!$C32</f>
        <v/>
      </c>
      <c r="W32" s="27">
        <f>'施設状況(要更新)'!$F32</f>
        <v>0</v>
      </c>
      <c r="X32" s="28">
        <v>28</v>
      </c>
      <c r="Y32" s="29" t="str">
        <f t="shared" si="5"/>
        <v/>
      </c>
      <c r="Z32" s="30" t="str">
        <f t="shared" si="5"/>
        <v/>
      </c>
      <c r="AA32" s="30" t="str">
        <f t="shared" si="5"/>
        <v/>
      </c>
      <c r="AB32" s="30" t="str">
        <f t="shared" si="5"/>
        <v/>
      </c>
      <c r="AC32" s="30" t="str">
        <f t="shared" si="5"/>
        <v/>
      </c>
      <c r="AD32" s="30" t="str">
        <f t="shared" si="5"/>
        <v/>
      </c>
      <c r="AE32" s="30" t="str">
        <f t="shared" si="5"/>
        <v/>
      </c>
      <c r="AF32" s="30">
        <f t="shared" si="5"/>
        <v>0</v>
      </c>
      <c r="AG32" s="30" t="str">
        <f t="shared" si="5"/>
        <v/>
      </c>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1"/>
      <c r="CT32" s="31"/>
      <c r="CU32" s="31"/>
      <c r="CV32" s="31"/>
      <c r="CW32" s="31"/>
      <c r="CX32" s="31"/>
      <c r="CY32" s="31"/>
      <c r="CZ32" s="31"/>
      <c r="DA32" s="31"/>
      <c r="DB32" s="31"/>
      <c r="DC32" s="31"/>
      <c r="DD32" s="31"/>
      <c r="DE32" s="31"/>
      <c r="DF32" s="31"/>
      <c r="DG32" s="31"/>
      <c r="DH32" s="31"/>
      <c r="DI32" s="31"/>
      <c r="DJ32" s="32"/>
    </row>
    <row r="33" spans="1:114">
      <c r="A33" s="33"/>
      <c r="B33" s="25"/>
      <c r="C33" s="25"/>
      <c r="D33" s="25"/>
      <c r="E33" s="25"/>
      <c r="F33" s="25"/>
      <c r="G33" s="25"/>
      <c r="H33" s="25"/>
      <c r="I33" s="25"/>
      <c r="J33" s="25"/>
      <c r="K33" s="25"/>
      <c r="L33" s="25"/>
      <c r="M33" s="25"/>
      <c r="N33" s="25"/>
      <c r="O33" s="25"/>
      <c r="P33" s="25"/>
      <c r="Q33" s="25"/>
      <c r="R33" s="25"/>
      <c r="S33" s="26">
        <f t="shared" si="2"/>
        <v>0</v>
      </c>
      <c r="T33" s="26">
        <f>COUNTIF($V$4:V33,V33)</f>
        <v>22</v>
      </c>
      <c r="U33" s="26" t="str">
        <f>IF(T33=1,COUNTIF($T$4:T33,1),"")</f>
        <v/>
      </c>
      <c r="V33" s="27" t="str">
        <f>'施設状況(要更新)'!$E33&amp;'施設状況(要更新)'!$C33</f>
        <v/>
      </c>
      <c r="W33" s="27">
        <f>'施設状況(要更新)'!$F33</f>
        <v>0</v>
      </c>
      <c r="X33" s="28">
        <v>29</v>
      </c>
      <c r="Y33" s="29" t="str">
        <f t="shared" si="5"/>
        <v/>
      </c>
      <c r="Z33" s="30" t="str">
        <f t="shared" si="5"/>
        <v/>
      </c>
      <c r="AA33" s="30" t="str">
        <f t="shared" si="5"/>
        <v/>
      </c>
      <c r="AB33" s="30" t="str">
        <f t="shared" si="5"/>
        <v/>
      </c>
      <c r="AC33" s="30" t="str">
        <f t="shared" si="5"/>
        <v/>
      </c>
      <c r="AD33" s="30" t="str">
        <f t="shared" si="5"/>
        <v/>
      </c>
      <c r="AE33" s="30" t="str">
        <f t="shared" si="5"/>
        <v/>
      </c>
      <c r="AF33" s="30">
        <f t="shared" si="5"/>
        <v>0</v>
      </c>
      <c r="AG33" s="30" t="str">
        <f t="shared" si="5"/>
        <v/>
      </c>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1"/>
      <c r="CT33" s="31"/>
      <c r="CU33" s="31"/>
      <c r="CV33" s="31"/>
      <c r="CW33" s="31"/>
      <c r="CX33" s="31"/>
      <c r="CY33" s="31"/>
      <c r="CZ33" s="31"/>
      <c r="DA33" s="31"/>
      <c r="DB33" s="31"/>
      <c r="DC33" s="31"/>
      <c r="DD33" s="31"/>
      <c r="DE33" s="31"/>
      <c r="DF33" s="31"/>
      <c r="DG33" s="31"/>
      <c r="DH33" s="31"/>
      <c r="DI33" s="31"/>
      <c r="DJ33" s="32"/>
    </row>
    <row r="34" spans="1:114">
      <c r="A34" s="33"/>
      <c r="B34" s="25"/>
      <c r="C34" s="25"/>
      <c r="D34" s="25"/>
      <c r="E34" s="25"/>
      <c r="F34" s="25"/>
      <c r="G34" s="25"/>
      <c r="H34" s="25"/>
      <c r="I34" s="25"/>
      <c r="J34" s="25"/>
      <c r="K34" s="25"/>
      <c r="L34" s="25"/>
      <c r="M34" s="25"/>
      <c r="N34" s="25"/>
      <c r="O34" s="25"/>
      <c r="P34" s="25"/>
      <c r="Q34" s="25"/>
      <c r="R34" s="25"/>
      <c r="S34" s="26">
        <f t="shared" si="2"/>
        <v>0</v>
      </c>
      <c r="T34" s="26">
        <f>COUNTIF($V$4:V34,V34)</f>
        <v>23</v>
      </c>
      <c r="U34" s="26" t="str">
        <f>IF(T34=1,COUNTIF($T$4:T34,1),"")</f>
        <v/>
      </c>
      <c r="V34" s="27" t="str">
        <f>'施設状況(要更新)'!$E34&amp;'施設状況(要更新)'!$C34</f>
        <v/>
      </c>
      <c r="W34" s="27">
        <f>'施設状況(要更新)'!$F34</f>
        <v>0</v>
      </c>
      <c r="X34" s="28">
        <v>30</v>
      </c>
      <c r="Y34" s="29" t="str">
        <f t="shared" si="5"/>
        <v/>
      </c>
      <c r="Z34" s="30" t="str">
        <f t="shared" si="5"/>
        <v/>
      </c>
      <c r="AA34" s="30" t="str">
        <f t="shared" si="5"/>
        <v/>
      </c>
      <c r="AB34" s="30" t="str">
        <f t="shared" si="5"/>
        <v/>
      </c>
      <c r="AC34" s="30" t="str">
        <f t="shared" si="5"/>
        <v/>
      </c>
      <c r="AD34" s="30" t="str">
        <f t="shared" si="5"/>
        <v/>
      </c>
      <c r="AE34" s="30" t="str">
        <f t="shared" si="5"/>
        <v/>
      </c>
      <c r="AF34" s="30">
        <f t="shared" si="5"/>
        <v>0</v>
      </c>
      <c r="AG34" s="30" t="str">
        <f t="shared" si="5"/>
        <v/>
      </c>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1"/>
      <c r="CT34" s="31"/>
      <c r="CU34" s="31"/>
      <c r="CV34" s="31"/>
      <c r="CW34" s="31"/>
      <c r="CX34" s="31"/>
      <c r="CY34" s="31"/>
      <c r="CZ34" s="31"/>
      <c r="DA34" s="31"/>
      <c r="DB34" s="31"/>
      <c r="DC34" s="31"/>
      <c r="DD34" s="31"/>
      <c r="DE34" s="31"/>
      <c r="DF34" s="31"/>
      <c r="DG34" s="31"/>
      <c r="DH34" s="31"/>
      <c r="DI34" s="31"/>
      <c r="DJ34" s="32"/>
    </row>
    <row r="35" spans="1:114">
      <c r="A35" s="33"/>
      <c r="B35" s="25"/>
      <c r="C35" s="25"/>
      <c r="D35" s="25"/>
      <c r="E35" s="25"/>
      <c r="F35" s="25"/>
      <c r="G35" s="25"/>
      <c r="H35" s="25"/>
      <c r="I35" s="25"/>
      <c r="J35" s="25"/>
      <c r="K35" s="25"/>
      <c r="L35" s="25"/>
      <c r="M35" s="25"/>
      <c r="N35" s="25"/>
      <c r="O35" s="25"/>
      <c r="P35" s="25"/>
      <c r="Q35" s="25"/>
      <c r="R35" s="25"/>
      <c r="S35" s="26">
        <f t="shared" si="2"/>
        <v>0</v>
      </c>
      <c r="T35" s="26">
        <f>COUNTIF($V$4:V35,V35)</f>
        <v>24</v>
      </c>
      <c r="U35" s="26" t="str">
        <f>IF(T35=1,COUNTIF($T$4:T35,1),"")</f>
        <v/>
      </c>
      <c r="V35" s="27" t="str">
        <f>'施設状況(要更新)'!$E35&amp;'施設状況(要更新)'!$C35</f>
        <v/>
      </c>
      <c r="W35" s="27">
        <f>'施設状況(要更新)'!$F35</f>
        <v>0</v>
      </c>
      <c r="X35" s="28">
        <v>31</v>
      </c>
      <c r="Y35" s="29" t="str">
        <f t="shared" si="5"/>
        <v/>
      </c>
      <c r="Z35" s="30" t="str">
        <f t="shared" si="5"/>
        <v/>
      </c>
      <c r="AA35" s="30" t="str">
        <f t="shared" si="5"/>
        <v/>
      </c>
      <c r="AB35" s="30" t="str">
        <f t="shared" si="5"/>
        <v/>
      </c>
      <c r="AC35" s="30" t="str">
        <f t="shared" si="5"/>
        <v/>
      </c>
      <c r="AD35" s="30" t="str">
        <f t="shared" si="5"/>
        <v/>
      </c>
      <c r="AE35" s="30" t="str">
        <f t="shared" si="5"/>
        <v/>
      </c>
      <c r="AF35" s="30">
        <f t="shared" si="5"/>
        <v>0</v>
      </c>
      <c r="AG35" s="30" t="str">
        <f t="shared" si="5"/>
        <v/>
      </c>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1"/>
      <c r="CT35" s="31"/>
      <c r="CU35" s="31"/>
      <c r="CV35" s="31"/>
      <c r="CW35" s="31"/>
      <c r="CX35" s="31"/>
      <c r="CY35" s="31"/>
      <c r="CZ35" s="31"/>
      <c r="DA35" s="31"/>
      <c r="DB35" s="31"/>
      <c r="DC35" s="31"/>
      <c r="DD35" s="31"/>
      <c r="DE35" s="31"/>
      <c r="DF35" s="31"/>
      <c r="DG35" s="31"/>
      <c r="DH35" s="31"/>
      <c r="DI35" s="31"/>
      <c r="DJ35" s="32"/>
    </row>
    <row r="36" spans="1:114">
      <c r="A36" s="33"/>
      <c r="B36" s="25"/>
      <c r="C36" s="25"/>
      <c r="D36" s="25"/>
      <c r="E36" s="25"/>
      <c r="F36" s="25"/>
      <c r="G36" s="25"/>
      <c r="H36" s="25"/>
      <c r="I36" s="25"/>
      <c r="J36" s="25"/>
      <c r="K36" s="25"/>
      <c r="L36" s="25"/>
      <c r="M36" s="25"/>
      <c r="N36" s="25"/>
      <c r="O36" s="25"/>
      <c r="P36" s="25"/>
      <c r="Q36" s="25"/>
      <c r="R36" s="25"/>
      <c r="S36" s="26">
        <f t="shared" si="2"/>
        <v>0</v>
      </c>
      <c r="T36" s="26">
        <f>COUNTIF($V$4:V36,V36)</f>
        <v>25</v>
      </c>
      <c r="U36" s="26" t="str">
        <f>IF(T36=1,COUNTIF($T$4:T36,1),"")</f>
        <v/>
      </c>
      <c r="V36" s="27" t="str">
        <f>'施設状況(要更新)'!$E36&amp;'施設状況(要更新)'!$C36</f>
        <v/>
      </c>
      <c r="W36" s="27">
        <f>'施設状況(要更新)'!$F36</f>
        <v>0</v>
      </c>
      <c r="X36" s="28">
        <v>32</v>
      </c>
      <c r="Y36" s="29" t="str">
        <f t="shared" si="5"/>
        <v/>
      </c>
      <c r="Z36" s="30" t="str">
        <f t="shared" si="5"/>
        <v/>
      </c>
      <c r="AA36" s="30" t="str">
        <f t="shared" si="5"/>
        <v/>
      </c>
      <c r="AB36" s="30" t="str">
        <f t="shared" si="5"/>
        <v/>
      </c>
      <c r="AC36" s="30" t="str">
        <f t="shared" si="5"/>
        <v/>
      </c>
      <c r="AD36" s="30" t="str">
        <f t="shared" si="5"/>
        <v/>
      </c>
      <c r="AE36" s="30" t="str">
        <f t="shared" si="5"/>
        <v/>
      </c>
      <c r="AF36" s="30">
        <f t="shared" si="5"/>
        <v>0</v>
      </c>
      <c r="AG36" s="30" t="str">
        <f t="shared" si="5"/>
        <v/>
      </c>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1"/>
      <c r="CT36" s="31"/>
      <c r="CU36" s="31"/>
      <c r="CV36" s="31"/>
      <c r="CW36" s="31"/>
      <c r="CX36" s="31"/>
      <c r="CY36" s="31"/>
      <c r="CZ36" s="31"/>
      <c r="DA36" s="31"/>
      <c r="DB36" s="31"/>
      <c r="DC36" s="31"/>
      <c r="DD36" s="31"/>
      <c r="DE36" s="31"/>
      <c r="DF36" s="31"/>
      <c r="DG36" s="31"/>
      <c r="DH36" s="31"/>
      <c r="DI36" s="31"/>
      <c r="DJ36" s="32"/>
    </row>
    <row r="37" spans="1:114">
      <c r="A37" s="33"/>
      <c r="B37" s="25"/>
      <c r="C37" s="25"/>
      <c r="D37" s="25"/>
      <c r="E37" s="25"/>
      <c r="F37" s="25"/>
      <c r="G37" s="25"/>
      <c r="H37" s="25"/>
      <c r="I37" s="25"/>
      <c r="J37" s="25"/>
      <c r="K37" s="25"/>
      <c r="L37" s="25"/>
      <c r="M37" s="25"/>
      <c r="N37" s="25"/>
      <c r="O37" s="25"/>
      <c r="P37" s="25"/>
      <c r="Q37" s="25"/>
      <c r="R37" s="25"/>
      <c r="S37" s="26">
        <f t="shared" si="2"/>
        <v>0</v>
      </c>
      <c r="T37" s="26">
        <f>COUNTIF($V$4:V37,V37)</f>
        <v>26</v>
      </c>
      <c r="U37" s="26" t="str">
        <f>IF(T37=1,COUNTIF($T$4:T37,1),"")</f>
        <v/>
      </c>
      <c r="V37" s="27" t="str">
        <f>'施設状況(要更新)'!$E37&amp;'施設状況(要更新)'!$C37</f>
        <v/>
      </c>
      <c r="W37" s="27">
        <f>'施設状況(要更新)'!$F37</f>
        <v>0</v>
      </c>
      <c r="X37" s="28">
        <v>33</v>
      </c>
      <c r="Y37" s="29" t="str">
        <f t="shared" si="5"/>
        <v/>
      </c>
      <c r="Z37" s="30" t="str">
        <f t="shared" si="5"/>
        <v/>
      </c>
      <c r="AA37" s="30" t="str">
        <f t="shared" si="5"/>
        <v/>
      </c>
      <c r="AB37" s="30" t="str">
        <f t="shared" si="5"/>
        <v/>
      </c>
      <c r="AC37" s="30" t="str">
        <f t="shared" si="5"/>
        <v/>
      </c>
      <c r="AD37" s="30" t="str">
        <f t="shared" si="5"/>
        <v/>
      </c>
      <c r="AE37" s="30" t="str">
        <f t="shared" si="5"/>
        <v/>
      </c>
      <c r="AF37" s="30">
        <f t="shared" si="5"/>
        <v>0</v>
      </c>
      <c r="AG37" s="30" t="str">
        <f t="shared" si="5"/>
        <v/>
      </c>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1"/>
      <c r="CT37" s="31"/>
      <c r="CU37" s="31"/>
      <c r="CV37" s="31"/>
      <c r="CW37" s="31"/>
      <c r="CX37" s="31"/>
      <c r="CY37" s="31"/>
      <c r="CZ37" s="31"/>
      <c r="DA37" s="31"/>
      <c r="DB37" s="31"/>
      <c r="DC37" s="31"/>
      <c r="DD37" s="31"/>
      <c r="DE37" s="31"/>
      <c r="DF37" s="31"/>
      <c r="DG37" s="31"/>
      <c r="DH37" s="31"/>
      <c r="DI37" s="31"/>
      <c r="DJ37" s="32"/>
    </row>
    <row r="38" spans="1:114">
      <c r="A38" s="33"/>
      <c r="B38" s="25"/>
      <c r="C38" s="25"/>
      <c r="D38" s="25"/>
      <c r="E38" s="25"/>
      <c r="F38" s="25"/>
      <c r="G38" s="25"/>
      <c r="H38" s="25"/>
      <c r="I38" s="25"/>
      <c r="J38" s="25"/>
      <c r="K38" s="25"/>
      <c r="L38" s="25"/>
      <c r="M38" s="25"/>
      <c r="N38" s="25"/>
      <c r="O38" s="25"/>
      <c r="P38" s="25"/>
      <c r="Q38" s="25"/>
      <c r="R38" s="25"/>
      <c r="S38" s="26">
        <f t="shared" si="2"/>
        <v>0</v>
      </c>
      <c r="T38" s="26">
        <f>COUNTIF($V$4:V38,V38)</f>
        <v>27</v>
      </c>
      <c r="U38" s="26" t="str">
        <f>IF(T38=1,COUNTIF($T$4:T38,1),"")</f>
        <v/>
      </c>
      <c r="V38" s="27" t="str">
        <f>'施設状況(要更新)'!$E38&amp;'施設状況(要更新)'!$C38</f>
        <v/>
      </c>
      <c r="W38" s="27">
        <f>'施設状況(要更新)'!$F38</f>
        <v>0</v>
      </c>
      <c r="X38" s="28">
        <v>34</v>
      </c>
      <c r="Y38" s="29" t="str">
        <f t="shared" si="5"/>
        <v/>
      </c>
      <c r="Z38" s="30" t="str">
        <f t="shared" si="5"/>
        <v/>
      </c>
      <c r="AA38" s="30" t="str">
        <f t="shared" si="5"/>
        <v/>
      </c>
      <c r="AB38" s="30" t="str">
        <f t="shared" si="5"/>
        <v/>
      </c>
      <c r="AC38" s="30" t="str">
        <f t="shared" si="5"/>
        <v/>
      </c>
      <c r="AD38" s="30" t="str">
        <f t="shared" si="5"/>
        <v/>
      </c>
      <c r="AE38" s="30" t="str">
        <f t="shared" si="5"/>
        <v/>
      </c>
      <c r="AF38" s="30">
        <f t="shared" si="5"/>
        <v>0</v>
      </c>
      <c r="AG38" s="30" t="str">
        <f t="shared" si="5"/>
        <v/>
      </c>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1"/>
      <c r="CT38" s="31"/>
      <c r="CU38" s="31"/>
      <c r="CV38" s="31"/>
      <c r="CW38" s="31"/>
      <c r="CX38" s="31"/>
      <c r="CY38" s="31"/>
      <c r="CZ38" s="31"/>
      <c r="DA38" s="31"/>
      <c r="DB38" s="31"/>
      <c r="DC38" s="31"/>
      <c r="DD38" s="31"/>
      <c r="DE38" s="31"/>
      <c r="DF38" s="31"/>
      <c r="DG38" s="31"/>
      <c r="DH38" s="31"/>
      <c r="DI38" s="31"/>
      <c r="DJ38" s="32"/>
    </row>
    <row r="39" spans="1:114">
      <c r="A39" s="33"/>
      <c r="B39" s="25"/>
      <c r="C39" s="25"/>
      <c r="D39" s="25"/>
      <c r="E39" s="25"/>
      <c r="F39" s="25"/>
      <c r="G39" s="25"/>
      <c r="H39" s="25"/>
      <c r="I39" s="25"/>
      <c r="J39" s="25"/>
      <c r="K39" s="25"/>
      <c r="L39" s="25"/>
      <c r="M39" s="25"/>
      <c r="N39" s="25"/>
      <c r="O39" s="25"/>
      <c r="P39" s="25"/>
      <c r="Q39" s="25"/>
      <c r="R39" s="25"/>
      <c r="S39" s="26">
        <f t="shared" si="2"/>
        <v>0</v>
      </c>
      <c r="T39" s="26">
        <f>COUNTIF($V$4:V39,V39)</f>
        <v>28</v>
      </c>
      <c r="U39" s="26" t="str">
        <f>IF(T39=1,COUNTIF($T$4:T39,1),"")</f>
        <v/>
      </c>
      <c r="V39" s="27" t="str">
        <f>'施設状況(要更新)'!$E39&amp;'施設状況(要更新)'!$C39</f>
        <v/>
      </c>
      <c r="W39" s="27">
        <f>'施設状況(要更新)'!$F39</f>
        <v>0</v>
      </c>
      <c r="X39" s="28">
        <v>35</v>
      </c>
      <c r="Y39" s="29" t="str">
        <f t="shared" si="5"/>
        <v/>
      </c>
      <c r="Z39" s="30" t="str">
        <f t="shared" si="5"/>
        <v/>
      </c>
      <c r="AA39" s="30" t="str">
        <f t="shared" si="5"/>
        <v/>
      </c>
      <c r="AB39" s="30" t="str">
        <f t="shared" si="5"/>
        <v/>
      </c>
      <c r="AC39" s="30" t="str">
        <f t="shared" si="5"/>
        <v/>
      </c>
      <c r="AD39" s="30" t="str">
        <f t="shared" si="5"/>
        <v/>
      </c>
      <c r="AE39" s="30" t="str">
        <f t="shared" si="5"/>
        <v/>
      </c>
      <c r="AF39" s="30">
        <f t="shared" si="5"/>
        <v>0</v>
      </c>
      <c r="AG39" s="30" t="str">
        <f t="shared" si="5"/>
        <v/>
      </c>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1"/>
      <c r="CT39" s="31"/>
      <c r="CU39" s="31"/>
      <c r="CV39" s="31"/>
      <c r="CW39" s="31"/>
      <c r="CX39" s="31"/>
      <c r="CY39" s="31"/>
      <c r="CZ39" s="31"/>
      <c r="DA39" s="31"/>
      <c r="DB39" s="31"/>
      <c r="DC39" s="31"/>
      <c r="DD39" s="31"/>
      <c r="DE39" s="31"/>
      <c r="DF39" s="31"/>
      <c r="DG39" s="31"/>
      <c r="DH39" s="31"/>
      <c r="DI39" s="31"/>
      <c r="DJ39" s="32"/>
    </row>
    <row r="40" spans="1:114">
      <c r="A40" s="33"/>
      <c r="B40" s="25"/>
      <c r="C40" s="25"/>
      <c r="D40" s="25"/>
      <c r="E40" s="25"/>
      <c r="F40" s="25"/>
      <c r="G40" s="25"/>
      <c r="H40" s="25"/>
      <c r="I40" s="25"/>
      <c r="J40" s="25"/>
      <c r="K40" s="25"/>
      <c r="L40" s="25"/>
      <c r="M40" s="25"/>
      <c r="N40" s="25"/>
      <c r="O40" s="25"/>
      <c r="P40" s="25"/>
      <c r="Q40" s="25"/>
      <c r="R40" s="25"/>
      <c r="S40" s="26">
        <f t="shared" si="2"/>
        <v>0</v>
      </c>
      <c r="T40" s="26">
        <f>COUNTIF($V$4:V40,V40)</f>
        <v>29</v>
      </c>
      <c r="U40" s="26" t="str">
        <f>IF(T40=1,COUNTIF($T$4:T40,1),"")</f>
        <v/>
      </c>
      <c r="V40" s="27" t="str">
        <f>'施設状況(要更新)'!$E40&amp;'施設状況(要更新)'!$C40</f>
        <v/>
      </c>
      <c r="W40" s="27">
        <f>'施設状況(要更新)'!$F40</f>
        <v>0</v>
      </c>
      <c r="X40" s="28">
        <v>36</v>
      </c>
      <c r="Y40" s="29" t="str">
        <f t="shared" ref="Y40:AG55" si="6">IFERROR(INDEX($T$4:$W$700,MATCH($X40&amp;Y$3,INDEX($T$4:$T$700&amp;$V$4:$V$700,),0),MATCH("施設名",$T$3:$W$3,0)),"")</f>
        <v/>
      </c>
      <c r="Z40" s="30" t="str">
        <f t="shared" si="6"/>
        <v/>
      </c>
      <c r="AA40" s="30" t="str">
        <f t="shared" si="6"/>
        <v/>
      </c>
      <c r="AB40" s="30" t="str">
        <f t="shared" si="6"/>
        <v/>
      </c>
      <c r="AC40" s="30" t="str">
        <f t="shared" si="6"/>
        <v/>
      </c>
      <c r="AD40" s="30" t="str">
        <f t="shared" si="6"/>
        <v/>
      </c>
      <c r="AE40" s="30" t="str">
        <f t="shared" si="6"/>
        <v/>
      </c>
      <c r="AF40" s="30">
        <f t="shared" si="6"/>
        <v>0</v>
      </c>
      <c r="AG40" s="30" t="str">
        <f t="shared" si="6"/>
        <v/>
      </c>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1"/>
      <c r="CT40" s="31"/>
      <c r="CU40" s="31"/>
      <c r="CV40" s="31"/>
      <c r="CW40" s="31"/>
      <c r="CX40" s="31"/>
      <c r="CY40" s="31"/>
      <c r="CZ40" s="31"/>
      <c r="DA40" s="31"/>
      <c r="DB40" s="31"/>
      <c r="DC40" s="31"/>
      <c r="DD40" s="31"/>
      <c r="DE40" s="31"/>
      <c r="DF40" s="31"/>
      <c r="DG40" s="31"/>
      <c r="DH40" s="31"/>
      <c r="DI40" s="31"/>
      <c r="DJ40" s="32"/>
    </row>
    <row r="41" spans="1:114">
      <c r="A41" s="33"/>
      <c r="B41" s="25"/>
      <c r="C41" s="25"/>
      <c r="D41" s="25"/>
      <c r="E41" s="25"/>
      <c r="F41" s="25"/>
      <c r="G41" s="25"/>
      <c r="H41" s="25"/>
      <c r="I41" s="25"/>
      <c r="J41" s="25"/>
      <c r="K41" s="25"/>
      <c r="L41" s="25"/>
      <c r="M41" s="25"/>
      <c r="N41" s="25"/>
      <c r="O41" s="25"/>
      <c r="P41" s="25"/>
      <c r="Q41" s="25"/>
      <c r="R41" s="25"/>
      <c r="S41" s="26">
        <f t="shared" si="2"/>
        <v>0</v>
      </c>
      <c r="T41" s="26">
        <f>COUNTIF($V$4:V41,V41)</f>
        <v>30</v>
      </c>
      <c r="U41" s="26" t="str">
        <f>IF(T41=1,COUNTIF($T$4:T41,1),"")</f>
        <v/>
      </c>
      <c r="V41" s="27" t="str">
        <f>'施設状況(要更新)'!$E41&amp;'施設状況(要更新)'!$C41</f>
        <v/>
      </c>
      <c r="W41" s="27">
        <f>'施設状況(要更新)'!$F41</f>
        <v>0</v>
      </c>
      <c r="X41" s="28">
        <v>37</v>
      </c>
      <c r="Y41" s="29" t="str">
        <f t="shared" si="6"/>
        <v/>
      </c>
      <c r="Z41" s="30" t="str">
        <f t="shared" si="6"/>
        <v/>
      </c>
      <c r="AA41" s="30" t="str">
        <f t="shared" si="6"/>
        <v/>
      </c>
      <c r="AB41" s="30" t="str">
        <f t="shared" si="6"/>
        <v/>
      </c>
      <c r="AC41" s="30" t="str">
        <f t="shared" si="6"/>
        <v/>
      </c>
      <c r="AD41" s="30" t="str">
        <f t="shared" si="6"/>
        <v/>
      </c>
      <c r="AE41" s="30" t="str">
        <f t="shared" si="6"/>
        <v/>
      </c>
      <c r="AF41" s="30">
        <f t="shared" si="6"/>
        <v>0</v>
      </c>
      <c r="AG41" s="30" t="str">
        <f t="shared" si="6"/>
        <v/>
      </c>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1"/>
      <c r="CT41" s="31"/>
      <c r="CU41" s="31"/>
      <c r="CV41" s="31"/>
      <c r="CW41" s="31"/>
      <c r="CX41" s="31"/>
      <c r="CY41" s="31"/>
      <c r="CZ41" s="31"/>
      <c r="DA41" s="31"/>
      <c r="DB41" s="31"/>
      <c r="DC41" s="31"/>
      <c r="DD41" s="31"/>
      <c r="DE41" s="31"/>
      <c r="DF41" s="31"/>
      <c r="DG41" s="31"/>
      <c r="DH41" s="31"/>
      <c r="DI41" s="31"/>
      <c r="DJ41" s="32"/>
    </row>
    <row r="42" spans="1:114">
      <c r="A42" s="33"/>
      <c r="B42" s="25"/>
      <c r="C42" s="25"/>
      <c r="D42" s="25"/>
      <c r="E42" s="25"/>
      <c r="F42" s="25"/>
      <c r="G42" s="25"/>
      <c r="H42" s="25"/>
      <c r="I42" s="25"/>
      <c r="J42" s="25"/>
      <c r="K42" s="25"/>
      <c r="L42" s="25"/>
      <c r="M42" s="25"/>
      <c r="N42" s="25"/>
      <c r="O42" s="25"/>
      <c r="P42" s="25"/>
      <c r="Q42" s="25"/>
      <c r="R42" s="25"/>
      <c r="S42" s="26">
        <f t="shared" si="2"/>
        <v>0</v>
      </c>
      <c r="T42" s="26">
        <f>COUNTIF($V$4:V42,V42)</f>
        <v>31</v>
      </c>
      <c r="U42" s="26" t="str">
        <f>IF(T42=1,COUNTIF($T$4:T42,1),"")</f>
        <v/>
      </c>
      <c r="V42" s="27" t="str">
        <f>'施設状況(要更新)'!$E42&amp;'施設状況(要更新)'!$C42</f>
        <v/>
      </c>
      <c r="W42" s="27">
        <f>'施設状況(要更新)'!$F42</f>
        <v>0</v>
      </c>
      <c r="X42" s="28">
        <v>38</v>
      </c>
      <c r="Y42" s="29" t="str">
        <f t="shared" si="6"/>
        <v/>
      </c>
      <c r="Z42" s="30" t="str">
        <f t="shared" si="6"/>
        <v/>
      </c>
      <c r="AA42" s="30" t="str">
        <f t="shared" si="6"/>
        <v/>
      </c>
      <c r="AB42" s="30" t="str">
        <f t="shared" si="6"/>
        <v/>
      </c>
      <c r="AC42" s="30" t="str">
        <f t="shared" si="6"/>
        <v/>
      </c>
      <c r="AD42" s="30" t="str">
        <f t="shared" si="6"/>
        <v/>
      </c>
      <c r="AE42" s="30" t="str">
        <f t="shared" si="6"/>
        <v/>
      </c>
      <c r="AF42" s="30">
        <f t="shared" si="6"/>
        <v>0</v>
      </c>
      <c r="AG42" s="30" t="str">
        <f t="shared" si="6"/>
        <v/>
      </c>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1"/>
      <c r="CT42" s="31"/>
      <c r="CU42" s="31"/>
      <c r="CV42" s="31"/>
      <c r="CW42" s="31"/>
      <c r="CX42" s="31"/>
      <c r="CY42" s="31"/>
      <c r="CZ42" s="31"/>
      <c r="DA42" s="31"/>
      <c r="DB42" s="31"/>
      <c r="DC42" s="31"/>
      <c r="DD42" s="31"/>
      <c r="DE42" s="31"/>
      <c r="DF42" s="31"/>
      <c r="DG42" s="31"/>
      <c r="DH42" s="31"/>
      <c r="DI42" s="31"/>
      <c r="DJ42" s="32"/>
    </row>
    <row r="43" spans="1:114">
      <c r="A43" s="33"/>
      <c r="B43" s="25"/>
      <c r="C43" s="25"/>
      <c r="D43" s="25"/>
      <c r="E43" s="25"/>
      <c r="F43" s="25"/>
      <c r="G43" s="25"/>
      <c r="H43" s="25"/>
      <c r="I43" s="25"/>
      <c r="J43" s="25"/>
      <c r="K43" s="25"/>
      <c r="L43" s="25"/>
      <c r="M43" s="25"/>
      <c r="N43" s="25"/>
      <c r="O43" s="25"/>
      <c r="P43" s="25"/>
      <c r="Q43" s="25"/>
      <c r="R43" s="25"/>
      <c r="S43" s="26">
        <f t="shared" si="2"/>
        <v>0</v>
      </c>
      <c r="T43" s="26">
        <f>COUNTIF($V$4:V43,V43)</f>
        <v>32</v>
      </c>
      <c r="U43" s="26" t="str">
        <f>IF(T43=1,COUNTIF($T$4:T43,1),"")</f>
        <v/>
      </c>
      <c r="V43" s="27" t="str">
        <f>'施設状況(要更新)'!$E43&amp;'施設状況(要更新)'!$C43</f>
        <v/>
      </c>
      <c r="W43" s="27">
        <f>'施設状況(要更新)'!$F43</f>
        <v>0</v>
      </c>
      <c r="X43" s="28">
        <v>39</v>
      </c>
      <c r="Y43" s="29" t="str">
        <f t="shared" si="6"/>
        <v/>
      </c>
      <c r="Z43" s="30" t="str">
        <f t="shared" si="6"/>
        <v/>
      </c>
      <c r="AA43" s="30" t="str">
        <f t="shared" si="6"/>
        <v/>
      </c>
      <c r="AB43" s="30" t="str">
        <f t="shared" si="6"/>
        <v/>
      </c>
      <c r="AC43" s="30" t="str">
        <f t="shared" si="6"/>
        <v/>
      </c>
      <c r="AD43" s="30" t="str">
        <f t="shared" si="6"/>
        <v/>
      </c>
      <c r="AE43" s="30" t="str">
        <f t="shared" si="6"/>
        <v/>
      </c>
      <c r="AF43" s="30">
        <f t="shared" si="6"/>
        <v>0</v>
      </c>
      <c r="AG43" s="30" t="str">
        <f t="shared" si="6"/>
        <v/>
      </c>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1"/>
      <c r="CT43" s="31"/>
      <c r="CU43" s="31"/>
      <c r="CV43" s="31"/>
      <c r="CW43" s="31"/>
      <c r="CX43" s="31"/>
      <c r="CY43" s="31"/>
      <c r="CZ43" s="31"/>
      <c r="DA43" s="31"/>
      <c r="DB43" s="31"/>
      <c r="DC43" s="31"/>
      <c r="DD43" s="31"/>
      <c r="DE43" s="31"/>
      <c r="DF43" s="31"/>
      <c r="DG43" s="31"/>
      <c r="DH43" s="31"/>
      <c r="DI43" s="31"/>
      <c r="DJ43" s="32"/>
    </row>
    <row r="44" spans="1:114">
      <c r="A44" s="33"/>
      <c r="B44" s="25"/>
      <c r="C44" s="25"/>
      <c r="D44" s="25"/>
      <c r="E44" s="25"/>
      <c r="F44" s="25"/>
      <c r="G44" s="25"/>
      <c r="H44" s="25"/>
      <c r="I44" s="25"/>
      <c r="J44" s="25"/>
      <c r="K44" s="25"/>
      <c r="L44" s="25"/>
      <c r="M44" s="25"/>
      <c r="N44" s="25"/>
      <c r="O44" s="25"/>
      <c r="P44" s="25"/>
      <c r="Q44" s="25"/>
      <c r="R44" s="25"/>
      <c r="S44" s="26">
        <f t="shared" si="2"/>
        <v>0</v>
      </c>
      <c r="T44" s="26">
        <f>COUNTIF($V$4:V44,V44)</f>
        <v>33</v>
      </c>
      <c r="U44" s="26" t="str">
        <f>IF(T44=1,COUNTIF($T$4:T44,1),"")</f>
        <v/>
      </c>
      <c r="V44" s="27" t="str">
        <f>'施設状況(要更新)'!$E44&amp;'施設状況(要更新)'!$C44</f>
        <v/>
      </c>
      <c r="W44" s="27">
        <f>'施設状況(要更新)'!$F44</f>
        <v>0</v>
      </c>
      <c r="X44" s="28">
        <v>40</v>
      </c>
      <c r="Y44" s="29" t="str">
        <f t="shared" si="6"/>
        <v/>
      </c>
      <c r="Z44" s="30" t="str">
        <f t="shared" si="6"/>
        <v/>
      </c>
      <c r="AA44" s="30" t="str">
        <f t="shared" si="6"/>
        <v/>
      </c>
      <c r="AB44" s="30" t="str">
        <f t="shared" si="6"/>
        <v/>
      </c>
      <c r="AC44" s="30" t="str">
        <f t="shared" si="6"/>
        <v/>
      </c>
      <c r="AD44" s="30" t="str">
        <f t="shared" si="6"/>
        <v/>
      </c>
      <c r="AE44" s="30" t="str">
        <f t="shared" si="6"/>
        <v/>
      </c>
      <c r="AF44" s="30">
        <f t="shared" si="6"/>
        <v>0</v>
      </c>
      <c r="AG44" s="30" t="str">
        <f t="shared" si="6"/>
        <v/>
      </c>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1"/>
      <c r="CT44" s="31"/>
      <c r="CU44" s="31"/>
      <c r="CV44" s="31"/>
      <c r="CW44" s="31"/>
      <c r="CX44" s="31"/>
      <c r="CY44" s="31"/>
      <c r="CZ44" s="31"/>
      <c r="DA44" s="31"/>
      <c r="DB44" s="31"/>
      <c r="DC44" s="31"/>
      <c r="DD44" s="31"/>
      <c r="DE44" s="31"/>
      <c r="DF44" s="31"/>
      <c r="DG44" s="31"/>
      <c r="DH44" s="31"/>
      <c r="DI44" s="31"/>
      <c r="DJ44" s="32"/>
    </row>
    <row r="45" spans="1:114">
      <c r="A45" s="33"/>
      <c r="B45" s="25"/>
      <c r="C45" s="25"/>
      <c r="D45" s="25"/>
      <c r="E45" s="25"/>
      <c r="F45" s="25"/>
      <c r="G45" s="25"/>
      <c r="H45" s="25"/>
      <c r="I45" s="25"/>
      <c r="J45" s="25"/>
      <c r="K45" s="25"/>
      <c r="L45" s="25"/>
      <c r="M45" s="25"/>
      <c r="N45" s="25"/>
      <c r="O45" s="25"/>
      <c r="P45" s="25"/>
      <c r="Q45" s="25"/>
      <c r="R45" s="25"/>
      <c r="S45" s="26">
        <f t="shared" si="2"/>
        <v>0</v>
      </c>
      <c r="T45" s="26">
        <f>COUNTIF($V$4:V45,V45)</f>
        <v>34</v>
      </c>
      <c r="U45" s="26" t="str">
        <f>IF(T45=1,COUNTIF($T$4:T45,1),"")</f>
        <v/>
      </c>
      <c r="V45" s="27" t="str">
        <f>'施設状況(要更新)'!$E45&amp;'施設状況(要更新)'!$C45</f>
        <v/>
      </c>
      <c r="W45" s="27">
        <f>'施設状況(要更新)'!$F45</f>
        <v>0</v>
      </c>
      <c r="X45" s="28">
        <v>41</v>
      </c>
      <c r="Y45" s="29" t="str">
        <f t="shared" si="6"/>
        <v/>
      </c>
      <c r="Z45" s="30" t="str">
        <f t="shared" si="6"/>
        <v/>
      </c>
      <c r="AA45" s="30" t="str">
        <f t="shared" si="6"/>
        <v/>
      </c>
      <c r="AB45" s="30" t="str">
        <f t="shared" si="6"/>
        <v/>
      </c>
      <c r="AC45" s="30" t="str">
        <f t="shared" si="6"/>
        <v/>
      </c>
      <c r="AD45" s="30" t="str">
        <f t="shared" si="6"/>
        <v/>
      </c>
      <c r="AE45" s="30" t="str">
        <f t="shared" si="6"/>
        <v/>
      </c>
      <c r="AF45" s="30">
        <f t="shared" si="6"/>
        <v>0</v>
      </c>
      <c r="AG45" s="30" t="str">
        <f t="shared" si="6"/>
        <v/>
      </c>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1"/>
      <c r="CT45" s="31"/>
      <c r="CU45" s="31"/>
      <c r="CV45" s="31"/>
      <c r="CW45" s="31"/>
      <c r="CX45" s="31"/>
      <c r="CY45" s="31"/>
      <c r="CZ45" s="31"/>
      <c r="DA45" s="31"/>
      <c r="DB45" s="31"/>
      <c r="DC45" s="31"/>
      <c r="DD45" s="31"/>
      <c r="DE45" s="31"/>
      <c r="DF45" s="31"/>
      <c r="DG45" s="31"/>
      <c r="DH45" s="31"/>
      <c r="DI45" s="31"/>
      <c r="DJ45" s="32"/>
    </row>
    <row r="46" spans="1:114">
      <c r="A46" s="33"/>
      <c r="B46" s="25"/>
      <c r="C46" s="25"/>
      <c r="D46" s="25"/>
      <c r="E46" s="25"/>
      <c r="F46" s="25"/>
      <c r="G46" s="25"/>
      <c r="H46" s="25"/>
      <c r="I46" s="25"/>
      <c r="J46" s="25"/>
      <c r="K46" s="25"/>
      <c r="L46" s="25"/>
      <c r="M46" s="25"/>
      <c r="N46" s="25"/>
      <c r="O46" s="25"/>
      <c r="P46" s="25"/>
      <c r="Q46" s="25"/>
      <c r="R46" s="25"/>
      <c r="S46" s="26">
        <f t="shared" si="2"/>
        <v>0</v>
      </c>
      <c r="T46" s="26">
        <f>COUNTIF($V$4:V46,V46)</f>
        <v>35</v>
      </c>
      <c r="U46" s="26" t="str">
        <f>IF(T46=1,COUNTIF($T$4:T46,1),"")</f>
        <v/>
      </c>
      <c r="V46" s="27" t="str">
        <f>'施設状況(要更新)'!$E46&amp;'施設状況(要更新)'!$C46</f>
        <v/>
      </c>
      <c r="W46" s="27">
        <f>'施設状況(要更新)'!$F46</f>
        <v>0</v>
      </c>
      <c r="X46" s="28">
        <v>42</v>
      </c>
      <c r="Y46" s="29" t="str">
        <f t="shared" si="6"/>
        <v/>
      </c>
      <c r="Z46" s="30" t="str">
        <f t="shared" si="6"/>
        <v/>
      </c>
      <c r="AA46" s="30" t="str">
        <f t="shared" si="6"/>
        <v/>
      </c>
      <c r="AB46" s="30" t="str">
        <f t="shared" si="6"/>
        <v/>
      </c>
      <c r="AC46" s="30" t="str">
        <f t="shared" si="6"/>
        <v/>
      </c>
      <c r="AD46" s="30" t="str">
        <f t="shared" si="6"/>
        <v/>
      </c>
      <c r="AE46" s="30" t="str">
        <f t="shared" si="6"/>
        <v/>
      </c>
      <c r="AF46" s="30">
        <f t="shared" si="6"/>
        <v>0</v>
      </c>
      <c r="AG46" s="30" t="str">
        <f t="shared" si="6"/>
        <v/>
      </c>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1"/>
      <c r="CT46" s="31"/>
      <c r="CU46" s="31"/>
      <c r="CV46" s="31"/>
      <c r="CW46" s="31"/>
      <c r="CX46" s="31"/>
      <c r="CY46" s="31"/>
      <c r="CZ46" s="31"/>
      <c r="DA46" s="31"/>
      <c r="DB46" s="31"/>
      <c r="DC46" s="31"/>
      <c r="DD46" s="31"/>
      <c r="DE46" s="31"/>
      <c r="DF46" s="31"/>
      <c r="DG46" s="31"/>
      <c r="DH46" s="31"/>
      <c r="DI46" s="31"/>
      <c r="DJ46" s="32"/>
    </row>
    <row r="47" spans="1:114">
      <c r="A47" s="33"/>
      <c r="B47" s="25"/>
      <c r="C47" s="25"/>
      <c r="D47" s="25"/>
      <c r="E47" s="25"/>
      <c r="F47" s="25"/>
      <c r="G47" s="25"/>
      <c r="H47" s="25"/>
      <c r="I47" s="25"/>
      <c r="J47" s="25"/>
      <c r="K47" s="25"/>
      <c r="L47" s="25"/>
      <c r="M47" s="25"/>
      <c r="N47" s="25"/>
      <c r="O47" s="25"/>
      <c r="P47" s="25"/>
      <c r="Q47" s="25"/>
      <c r="R47" s="25"/>
      <c r="S47" s="26">
        <f t="shared" si="2"/>
        <v>0</v>
      </c>
      <c r="T47" s="26">
        <f>COUNTIF($V$4:V47,V47)</f>
        <v>36</v>
      </c>
      <c r="U47" s="26" t="str">
        <f>IF(T47=1,COUNTIF($T$4:T47,1),"")</f>
        <v/>
      </c>
      <c r="V47" s="27" t="str">
        <f>'施設状況(要更新)'!$E47&amp;'施設状況(要更新)'!$C47</f>
        <v/>
      </c>
      <c r="W47" s="27">
        <f>'施設状況(要更新)'!$F47</f>
        <v>0</v>
      </c>
      <c r="X47" s="28">
        <v>43</v>
      </c>
      <c r="Y47" s="29" t="str">
        <f t="shared" si="6"/>
        <v/>
      </c>
      <c r="Z47" s="30" t="str">
        <f t="shared" si="6"/>
        <v/>
      </c>
      <c r="AA47" s="30" t="str">
        <f t="shared" si="6"/>
        <v/>
      </c>
      <c r="AB47" s="30" t="str">
        <f t="shared" si="6"/>
        <v/>
      </c>
      <c r="AC47" s="30" t="str">
        <f t="shared" si="6"/>
        <v/>
      </c>
      <c r="AD47" s="30" t="str">
        <f t="shared" si="6"/>
        <v/>
      </c>
      <c r="AE47" s="30" t="str">
        <f t="shared" si="6"/>
        <v/>
      </c>
      <c r="AF47" s="30">
        <f t="shared" si="6"/>
        <v>0</v>
      </c>
      <c r="AG47" s="30" t="str">
        <f t="shared" si="6"/>
        <v/>
      </c>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1"/>
      <c r="CT47" s="31"/>
      <c r="CU47" s="31"/>
      <c r="CV47" s="31"/>
      <c r="CW47" s="31"/>
      <c r="CX47" s="31"/>
      <c r="CY47" s="31"/>
      <c r="CZ47" s="31"/>
      <c r="DA47" s="31"/>
      <c r="DB47" s="31"/>
      <c r="DC47" s="31"/>
      <c r="DD47" s="31"/>
      <c r="DE47" s="31"/>
      <c r="DF47" s="31"/>
      <c r="DG47" s="31"/>
      <c r="DH47" s="31"/>
      <c r="DI47" s="31"/>
      <c r="DJ47" s="32"/>
    </row>
    <row r="48" spans="1:114">
      <c r="A48" s="33"/>
      <c r="B48" s="25"/>
      <c r="C48" s="25"/>
      <c r="D48" s="25"/>
      <c r="E48" s="25"/>
      <c r="F48" s="25"/>
      <c r="G48" s="25"/>
      <c r="H48" s="25"/>
      <c r="I48" s="25"/>
      <c r="J48" s="25"/>
      <c r="K48" s="25"/>
      <c r="L48" s="25"/>
      <c r="M48" s="25"/>
      <c r="N48" s="25"/>
      <c r="O48" s="25"/>
      <c r="P48" s="25"/>
      <c r="Q48" s="25"/>
      <c r="R48" s="25"/>
      <c r="S48" s="26">
        <f t="shared" si="2"/>
        <v>0</v>
      </c>
      <c r="T48" s="26">
        <f>COUNTIF($V$4:V48,V48)</f>
        <v>37</v>
      </c>
      <c r="U48" s="26" t="str">
        <f>IF(T48=1,COUNTIF($T$4:T48,1),"")</f>
        <v/>
      </c>
      <c r="V48" s="27" t="str">
        <f>'施設状況(要更新)'!$E48&amp;'施設状況(要更新)'!$C48</f>
        <v/>
      </c>
      <c r="W48" s="27">
        <f>'施設状況(要更新)'!$F48</f>
        <v>0</v>
      </c>
      <c r="X48" s="28">
        <v>44</v>
      </c>
      <c r="Y48" s="29" t="str">
        <f t="shared" si="6"/>
        <v/>
      </c>
      <c r="Z48" s="30" t="str">
        <f t="shared" si="6"/>
        <v/>
      </c>
      <c r="AA48" s="30" t="str">
        <f t="shared" si="6"/>
        <v/>
      </c>
      <c r="AB48" s="30" t="str">
        <f t="shared" si="6"/>
        <v/>
      </c>
      <c r="AC48" s="30" t="str">
        <f t="shared" si="6"/>
        <v/>
      </c>
      <c r="AD48" s="30" t="str">
        <f t="shared" si="6"/>
        <v/>
      </c>
      <c r="AE48" s="30" t="str">
        <f t="shared" si="6"/>
        <v/>
      </c>
      <c r="AF48" s="30">
        <f t="shared" si="6"/>
        <v>0</v>
      </c>
      <c r="AG48" s="30" t="str">
        <f t="shared" si="6"/>
        <v/>
      </c>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1"/>
      <c r="CT48" s="31"/>
      <c r="CU48" s="31"/>
      <c r="CV48" s="31"/>
      <c r="CW48" s="31"/>
      <c r="CX48" s="31"/>
      <c r="CY48" s="31"/>
      <c r="CZ48" s="31"/>
      <c r="DA48" s="31"/>
      <c r="DB48" s="31"/>
      <c r="DC48" s="31"/>
      <c r="DD48" s="31"/>
      <c r="DE48" s="31"/>
      <c r="DF48" s="31"/>
      <c r="DG48" s="31"/>
      <c r="DH48" s="31"/>
      <c r="DI48" s="31"/>
      <c r="DJ48" s="32"/>
    </row>
    <row r="49" spans="1:114">
      <c r="A49" s="33"/>
      <c r="B49" s="25"/>
      <c r="C49" s="25"/>
      <c r="D49" s="25"/>
      <c r="E49" s="25"/>
      <c r="F49" s="25"/>
      <c r="G49" s="25"/>
      <c r="H49" s="25"/>
      <c r="I49" s="25"/>
      <c r="J49" s="25"/>
      <c r="K49" s="25"/>
      <c r="L49" s="25"/>
      <c r="M49" s="25"/>
      <c r="N49" s="25"/>
      <c r="O49" s="25"/>
      <c r="P49" s="25"/>
      <c r="Q49" s="25"/>
      <c r="R49" s="25"/>
      <c r="S49" s="26">
        <f t="shared" si="2"/>
        <v>0</v>
      </c>
      <c r="T49" s="26">
        <f>COUNTIF($V$4:V49,V49)</f>
        <v>38</v>
      </c>
      <c r="U49" s="26" t="str">
        <f>IF(T49=1,COUNTIF($T$4:T49,1),"")</f>
        <v/>
      </c>
      <c r="V49" s="27" t="str">
        <f>'施設状況(要更新)'!$E49&amp;'施設状況(要更新)'!$C49</f>
        <v/>
      </c>
      <c r="W49" s="27">
        <f>'施設状況(要更新)'!$F49</f>
        <v>0</v>
      </c>
      <c r="X49" s="28">
        <v>45</v>
      </c>
      <c r="Y49" s="29" t="str">
        <f t="shared" si="6"/>
        <v/>
      </c>
      <c r="Z49" s="30" t="str">
        <f t="shared" si="6"/>
        <v/>
      </c>
      <c r="AA49" s="30" t="str">
        <f t="shared" si="6"/>
        <v/>
      </c>
      <c r="AB49" s="30" t="str">
        <f t="shared" si="6"/>
        <v/>
      </c>
      <c r="AC49" s="30" t="str">
        <f t="shared" si="6"/>
        <v/>
      </c>
      <c r="AD49" s="30" t="str">
        <f t="shared" si="6"/>
        <v/>
      </c>
      <c r="AE49" s="30" t="str">
        <f t="shared" si="6"/>
        <v/>
      </c>
      <c r="AF49" s="30">
        <f t="shared" si="6"/>
        <v>0</v>
      </c>
      <c r="AG49" s="30" t="str">
        <f t="shared" si="6"/>
        <v/>
      </c>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1"/>
      <c r="CT49" s="31"/>
      <c r="CU49" s="31"/>
      <c r="CV49" s="31"/>
      <c r="CW49" s="31"/>
      <c r="CX49" s="31"/>
      <c r="CY49" s="31"/>
      <c r="CZ49" s="31"/>
      <c r="DA49" s="31"/>
      <c r="DB49" s="31"/>
      <c r="DC49" s="31"/>
      <c r="DD49" s="31"/>
      <c r="DE49" s="31"/>
      <c r="DF49" s="31"/>
      <c r="DG49" s="31"/>
      <c r="DH49" s="31"/>
      <c r="DI49" s="31"/>
      <c r="DJ49" s="32"/>
    </row>
    <row r="50" spans="1:114">
      <c r="A50" s="33"/>
      <c r="B50" s="25"/>
      <c r="C50" s="25"/>
      <c r="D50" s="25"/>
      <c r="E50" s="25"/>
      <c r="F50" s="25"/>
      <c r="G50" s="25"/>
      <c r="H50" s="25"/>
      <c r="I50" s="25"/>
      <c r="J50" s="25"/>
      <c r="K50" s="25"/>
      <c r="L50" s="25"/>
      <c r="M50" s="25"/>
      <c r="N50" s="25"/>
      <c r="O50" s="25"/>
      <c r="P50" s="25"/>
      <c r="Q50" s="25"/>
      <c r="R50" s="25"/>
      <c r="S50" s="26">
        <f t="shared" si="2"/>
        <v>0</v>
      </c>
      <c r="T50" s="26">
        <f>COUNTIF($V$4:V50,V50)</f>
        <v>39</v>
      </c>
      <c r="U50" s="26" t="str">
        <f>IF(T50=1,COUNTIF($T$4:T50,1),"")</f>
        <v/>
      </c>
      <c r="V50" s="27" t="str">
        <f>'施設状況(要更新)'!$E50&amp;'施設状況(要更新)'!$C50</f>
        <v/>
      </c>
      <c r="W50" s="27">
        <f>'施設状況(要更新)'!$F50</f>
        <v>0</v>
      </c>
      <c r="X50" s="28">
        <v>46</v>
      </c>
      <c r="Y50" s="29" t="str">
        <f t="shared" si="6"/>
        <v/>
      </c>
      <c r="Z50" s="30" t="str">
        <f t="shared" si="6"/>
        <v/>
      </c>
      <c r="AA50" s="30" t="str">
        <f t="shared" si="6"/>
        <v/>
      </c>
      <c r="AB50" s="30" t="str">
        <f t="shared" si="6"/>
        <v/>
      </c>
      <c r="AC50" s="30" t="str">
        <f t="shared" si="6"/>
        <v/>
      </c>
      <c r="AD50" s="30" t="str">
        <f t="shared" si="6"/>
        <v/>
      </c>
      <c r="AE50" s="30" t="str">
        <f t="shared" si="6"/>
        <v/>
      </c>
      <c r="AF50" s="30">
        <f t="shared" si="6"/>
        <v>0</v>
      </c>
      <c r="AG50" s="30" t="str">
        <f t="shared" si="6"/>
        <v/>
      </c>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1"/>
      <c r="CT50" s="31"/>
      <c r="CU50" s="31"/>
      <c r="CV50" s="31"/>
      <c r="CW50" s="31"/>
      <c r="CX50" s="31"/>
      <c r="CY50" s="31"/>
      <c r="CZ50" s="31"/>
      <c r="DA50" s="31"/>
      <c r="DB50" s="31"/>
      <c r="DC50" s="31"/>
      <c r="DD50" s="31"/>
      <c r="DE50" s="31"/>
      <c r="DF50" s="31"/>
      <c r="DG50" s="31"/>
      <c r="DH50" s="31"/>
      <c r="DI50" s="31"/>
      <c r="DJ50" s="32"/>
    </row>
    <row r="51" spans="1:114">
      <c r="A51" s="33"/>
      <c r="B51" s="25"/>
      <c r="C51" s="25"/>
      <c r="D51" s="25"/>
      <c r="E51" s="25"/>
      <c r="F51" s="25"/>
      <c r="G51" s="25"/>
      <c r="H51" s="25"/>
      <c r="I51" s="25"/>
      <c r="J51" s="25"/>
      <c r="K51" s="25"/>
      <c r="L51" s="25"/>
      <c r="M51" s="25"/>
      <c r="N51" s="25"/>
      <c r="O51" s="25"/>
      <c r="P51" s="25"/>
      <c r="Q51" s="25"/>
      <c r="R51" s="25"/>
      <c r="S51" s="26">
        <f t="shared" si="2"/>
        <v>0</v>
      </c>
      <c r="T51" s="26">
        <f>COUNTIF($V$4:V51,V51)</f>
        <v>40</v>
      </c>
      <c r="U51" s="26" t="str">
        <f>IF(T51=1,COUNTIF($T$4:T51,1),"")</f>
        <v/>
      </c>
      <c r="V51" s="27" t="str">
        <f>'施設状況(要更新)'!$E51&amp;'施設状況(要更新)'!$C51</f>
        <v/>
      </c>
      <c r="W51" s="27">
        <f>'施設状況(要更新)'!$F51</f>
        <v>0</v>
      </c>
      <c r="X51" s="28">
        <v>47</v>
      </c>
      <c r="Y51" s="29" t="str">
        <f t="shared" si="6"/>
        <v/>
      </c>
      <c r="Z51" s="30" t="str">
        <f t="shared" si="6"/>
        <v/>
      </c>
      <c r="AA51" s="30" t="str">
        <f t="shared" si="6"/>
        <v/>
      </c>
      <c r="AB51" s="30" t="str">
        <f t="shared" si="6"/>
        <v/>
      </c>
      <c r="AC51" s="30" t="str">
        <f t="shared" si="6"/>
        <v/>
      </c>
      <c r="AD51" s="30" t="str">
        <f t="shared" si="6"/>
        <v/>
      </c>
      <c r="AE51" s="30" t="str">
        <f t="shared" si="6"/>
        <v/>
      </c>
      <c r="AF51" s="30">
        <f t="shared" si="6"/>
        <v>0</v>
      </c>
      <c r="AG51" s="30" t="str">
        <f t="shared" si="6"/>
        <v/>
      </c>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1"/>
      <c r="CT51" s="31"/>
      <c r="CU51" s="31"/>
      <c r="CV51" s="31"/>
      <c r="CW51" s="31"/>
      <c r="CX51" s="31"/>
      <c r="CY51" s="31"/>
      <c r="CZ51" s="31"/>
      <c r="DA51" s="31"/>
      <c r="DB51" s="31"/>
      <c r="DC51" s="31"/>
      <c r="DD51" s="31"/>
      <c r="DE51" s="31"/>
      <c r="DF51" s="31"/>
      <c r="DG51" s="31"/>
      <c r="DH51" s="31"/>
      <c r="DI51" s="31"/>
      <c r="DJ51" s="32"/>
    </row>
    <row r="52" spans="1:114">
      <c r="A52" s="33"/>
      <c r="B52" s="25"/>
      <c r="C52" s="25"/>
      <c r="D52" s="25"/>
      <c r="E52" s="25"/>
      <c r="F52" s="25"/>
      <c r="G52" s="25"/>
      <c r="H52" s="25"/>
      <c r="I52" s="25"/>
      <c r="J52" s="25"/>
      <c r="K52" s="25"/>
      <c r="L52" s="25"/>
      <c r="M52" s="25"/>
      <c r="N52" s="25"/>
      <c r="O52" s="25"/>
      <c r="P52" s="25"/>
      <c r="Q52" s="25"/>
      <c r="R52" s="25"/>
      <c r="S52" s="26">
        <f t="shared" si="2"/>
        <v>0</v>
      </c>
      <c r="T52" s="26">
        <f>COUNTIF($V$4:V52,V52)</f>
        <v>41</v>
      </c>
      <c r="U52" s="26" t="str">
        <f>IF(T52=1,COUNTIF($T$4:T52,1),"")</f>
        <v/>
      </c>
      <c r="V52" s="27" t="str">
        <f>'施設状況(要更新)'!$E52&amp;'施設状況(要更新)'!$C52</f>
        <v/>
      </c>
      <c r="W52" s="27">
        <f>'施設状況(要更新)'!$F52</f>
        <v>0</v>
      </c>
      <c r="X52" s="28">
        <v>48</v>
      </c>
      <c r="Y52" s="29" t="str">
        <f t="shared" si="6"/>
        <v/>
      </c>
      <c r="Z52" s="30" t="str">
        <f t="shared" si="6"/>
        <v/>
      </c>
      <c r="AA52" s="30" t="str">
        <f t="shared" si="6"/>
        <v/>
      </c>
      <c r="AB52" s="30" t="str">
        <f t="shared" si="6"/>
        <v/>
      </c>
      <c r="AC52" s="30" t="str">
        <f t="shared" si="6"/>
        <v/>
      </c>
      <c r="AD52" s="30" t="str">
        <f t="shared" si="6"/>
        <v/>
      </c>
      <c r="AE52" s="30" t="str">
        <f t="shared" si="6"/>
        <v/>
      </c>
      <c r="AF52" s="30">
        <f t="shared" si="6"/>
        <v>0</v>
      </c>
      <c r="AG52" s="30" t="str">
        <f t="shared" si="6"/>
        <v/>
      </c>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1"/>
      <c r="CT52" s="31"/>
      <c r="CU52" s="31"/>
      <c r="CV52" s="31"/>
      <c r="CW52" s="31"/>
      <c r="CX52" s="31"/>
      <c r="CY52" s="31"/>
      <c r="CZ52" s="31"/>
      <c r="DA52" s="31"/>
      <c r="DB52" s="31"/>
      <c r="DC52" s="31"/>
      <c r="DD52" s="31"/>
      <c r="DE52" s="31"/>
      <c r="DF52" s="31"/>
      <c r="DG52" s="31"/>
      <c r="DH52" s="31"/>
      <c r="DI52" s="31"/>
      <c r="DJ52" s="32"/>
    </row>
    <row r="53" spans="1:114">
      <c r="A53" s="33"/>
      <c r="B53" s="25"/>
      <c r="C53" s="25"/>
      <c r="D53" s="25"/>
      <c r="E53" s="25"/>
      <c r="F53" s="25"/>
      <c r="G53" s="25"/>
      <c r="H53" s="25"/>
      <c r="I53" s="25"/>
      <c r="J53" s="25"/>
      <c r="K53" s="25"/>
      <c r="L53" s="25"/>
      <c r="M53" s="25"/>
      <c r="N53" s="25"/>
      <c r="O53" s="25"/>
      <c r="P53" s="25"/>
      <c r="Q53" s="25"/>
      <c r="R53" s="25"/>
      <c r="S53" s="26">
        <f t="shared" si="2"/>
        <v>0</v>
      </c>
      <c r="T53" s="26">
        <f>COUNTIF($V$4:V53,V53)</f>
        <v>42</v>
      </c>
      <c r="U53" s="26" t="str">
        <f>IF(T53=1,COUNTIF($T$4:T53,1),"")</f>
        <v/>
      </c>
      <c r="V53" s="27" t="str">
        <f>'施設状況(要更新)'!$E53&amp;'施設状況(要更新)'!$C53</f>
        <v/>
      </c>
      <c r="W53" s="27">
        <f>'施設状況(要更新)'!$F53</f>
        <v>0</v>
      </c>
      <c r="X53" s="28">
        <v>49</v>
      </c>
      <c r="Y53" s="29" t="str">
        <f t="shared" si="6"/>
        <v/>
      </c>
      <c r="Z53" s="30" t="str">
        <f t="shared" si="6"/>
        <v/>
      </c>
      <c r="AA53" s="30" t="str">
        <f t="shared" si="6"/>
        <v/>
      </c>
      <c r="AB53" s="30" t="str">
        <f t="shared" si="6"/>
        <v/>
      </c>
      <c r="AC53" s="30" t="str">
        <f t="shared" si="6"/>
        <v/>
      </c>
      <c r="AD53" s="30" t="str">
        <f t="shared" si="6"/>
        <v/>
      </c>
      <c r="AE53" s="30" t="str">
        <f t="shared" si="6"/>
        <v/>
      </c>
      <c r="AF53" s="30">
        <f t="shared" si="6"/>
        <v>0</v>
      </c>
      <c r="AG53" s="30" t="str">
        <f t="shared" si="6"/>
        <v/>
      </c>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1"/>
      <c r="CT53" s="31"/>
      <c r="CU53" s="31"/>
      <c r="CV53" s="31"/>
      <c r="CW53" s="31"/>
      <c r="CX53" s="31"/>
      <c r="CY53" s="31"/>
      <c r="CZ53" s="31"/>
      <c r="DA53" s="31"/>
      <c r="DB53" s="31"/>
      <c r="DC53" s="31"/>
      <c r="DD53" s="31"/>
      <c r="DE53" s="31"/>
      <c r="DF53" s="31"/>
      <c r="DG53" s="31"/>
      <c r="DH53" s="31"/>
      <c r="DI53" s="31"/>
      <c r="DJ53" s="32"/>
    </row>
    <row r="54" spans="1:114">
      <c r="A54" s="33"/>
      <c r="B54" s="25"/>
      <c r="C54" s="25"/>
      <c r="D54" s="25"/>
      <c r="E54" s="25"/>
      <c r="F54" s="25"/>
      <c r="G54" s="25"/>
      <c r="H54" s="25"/>
      <c r="I54" s="25"/>
      <c r="J54" s="25"/>
      <c r="K54" s="25"/>
      <c r="L54" s="25"/>
      <c r="M54" s="25"/>
      <c r="N54" s="25"/>
      <c r="O54" s="25"/>
      <c r="P54" s="25"/>
      <c r="Q54" s="25"/>
      <c r="R54" s="25"/>
      <c r="S54" s="26">
        <f t="shared" si="2"/>
        <v>0</v>
      </c>
      <c r="T54" s="26">
        <f>COUNTIF($V$4:V54,V54)</f>
        <v>43</v>
      </c>
      <c r="U54" s="26" t="str">
        <f>IF(T54=1,COUNTIF($T$4:T54,1),"")</f>
        <v/>
      </c>
      <c r="V54" s="27" t="str">
        <f>'施設状況(要更新)'!$E54&amp;'施設状況(要更新)'!$C54</f>
        <v/>
      </c>
      <c r="W54" s="27">
        <f>'施設状況(要更新)'!$F54</f>
        <v>0</v>
      </c>
      <c r="X54" s="28">
        <v>50</v>
      </c>
      <c r="Y54" s="35" t="str">
        <f t="shared" si="6"/>
        <v/>
      </c>
      <c r="Z54" s="36" t="str">
        <f t="shared" si="6"/>
        <v/>
      </c>
      <c r="AA54" s="36" t="str">
        <f t="shared" si="6"/>
        <v/>
      </c>
      <c r="AB54" s="37" t="str">
        <f t="shared" si="6"/>
        <v/>
      </c>
      <c r="AC54" s="37" t="str">
        <f t="shared" si="6"/>
        <v/>
      </c>
      <c r="AD54" s="37" t="str">
        <f t="shared" si="6"/>
        <v/>
      </c>
      <c r="AE54" s="37" t="str">
        <f t="shared" si="6"/>
        <v/>
      </c>
      <c r="AF54" s="36">
        <f t="shared" si="6"/>
        <v>0</v>
      </c>
      <c r="AG54" s="37" t="str">
        <f t="shared" si="6"/>
        <v/>
      </c>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2"/>
    </row>
    <row r="55" spans="1:114">
      <c r="A55" s="33"/>
      <c r="B55" s="25"/>
      <c r="C55" s="25"/>
      <c r="D55" s="25"/>
      <c r="E55" s="25"/>
      <c r="F55" s="25"/>
      <c r="G55" s="25"/>
      <c r="H55" s="25"/>
      <c r="I55" s="25"/>
      <c r="J55" s="25"/>
      <c r="K55" s="25"/>
      <c r="L55" s="25"/>
      <c r="M55" s="25"/>
      <c r="N55" s="25"/>
      <c r="O55" s="25"/>
      <c r="P55" s="25"/>
      <c r="Q55" s="25"/>
      <c r="R55" s="25"/>
      <c r="S55" s="26">
        <f t="shared" si="2"/>
        <v>0</v>
      </c>
      <c r="T55" s="26">
        <f>COUNTIF($V$4:V55,V55)</f>
        <v>44</v>
      </c>
      <c r="U55" s="26" t="str">
        <f>IF(T55=1,COUNTIF($T$4:T55,1),"")</f>
        <v/>
      </c>
      <c r="V55" s="27" t="str">
        <f>'施設状況(要更新)'!$E55&amp;'施設状況(要更新)'!$C55</f>
        <v/>
      </c>
      <c r="W55" s="27">
        <f>'施設状況(要更新)'!$F55</f>
        <v>0</v>
      </c>
      <c r="X55" s="28">
        <v>51</v>
      </c>
      <c r="Y55" s="35" t="str">
        <f t="shared" si="6"/>
        <v/>
      </c>
      <c r="Z55" s="36" t="str">
        <f t="shared" si="6"/>
        <v/>
      </c>
      <c r="AA55" s="36" t="str">
        <f t="shared" si="6"/>
        <v/>
      </c>
      <c r="AB55" s="37" t="str">
        <f t="shared" si="6"/>
        <v/>
      </c>
      <c r="AC55" s="37" t="str">
        <f t="shared" si="6"/>
        <v/>
      </c>
      <c r="AD55" s="37" t="str">
        <f t="shared" si="6"/>
        <v/>
      </c>
      <c r="AE55" s="37" t="str">
        <f t="shared" si="6"/>
        <v/>
      </c>
      <c r="AF55" s="36">
        <f t="shared" si="6"/>
        <v>0</v>
      </c>
      <c r="AG55" s="37" t="str">
        <f t="shared" si="6"/>
        <v/>
      </c>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2"/>
    </row>
    <row r="56" spans="1:114">
      <c r="A56" s="33"/>
      <c r="B56" s="25"/>
      <c r="C56" s="25"/>
      <c r="D56" s="25"/>
      <c r="E56" s="25"/>
      <c r="F56" s="25"/>
      <c r="G56" s="25"/>
      <c r="H56" s="25"/>
      <c r="I56" s="25"/>
      <c r="J56" s="25"/>
      <c r="K56" s="25"/>
      <c r="L56" s="25"/>
      <c r="M56" s="25"/>
      <c r="N56" s="25"/>
      <c r="O56" s="25"/>
      <c r="P56" s="25"/>
      <c r="Q56" s="25"/>
      <c r="R56" s="25"/>
      <c r="S56" s="26">
        <f t="shared" si="2"/>
        <v>0</v>
      </c>
      <c r="T56" s="26">
        <f>COUNTIF($V$4:V56,V56)</f>
        <v>45</v>
      </c>
      <c r="U56" s="26" t="str">
        <f>IF(T56=1,COUNTIF($T$4:T56,1),"")</f>
        <v/>
      </c>
      <c r="V56" s="27" t="str">
        <f>'施設状況(要更新)'!$E56&amp;'施設状況(要更新)'!$C56</f>
        <v/>
      </c>
      <c r="W56" s="27">
        <f>'施設状況(要更新)'!$F56</f>
        <v>0</v>
      </c>
      <c r="X56" s="28">
        <v>52</v>
      </c>
      <c r="Y56" s="35" t="str">
        <f t="shared" ref="Y56:AG64" si="7">IFERROR(INDEX($T$4:$W$700,MATCH($X56&amp;Y$3,INDEX($T$4:$T$700&amp;$V$4:$V$700,),0),MATCH("施設名",$T$3:$W$3,0)),"")</f>
        <v/>
      </c>
      <c r="Z56" s="36" t="str">
        <f t="shared" si="7"/>
        <v/>
      </c>
      <c r="AA56" s="36" t="str">
        <f t="shared" si="7"/>
        <v/>
      </c>
      <c r="AB56" s="37" t="str">
        <f t="shared" si="7"/>
        <v/>
      </c>
      <c r="AC56" s="37" t="str">
        <f t="shared" si="7"/>
        <v/>
      </c>
      <c r="AD56" s="37" t="str">
        <f t="shared" si="7"/>
        <v/>
      </c>
      <c r="AE56" s="37" t="str">
        <f t="shared" si="7"/>
        <v/>
      </c>
      <c r="AF56" s="36">
        <f t="shared" si="7"/>
        <v>0</v>
      </c>
      <c r="AG56" s="37" t="str">
        <f t="shared" si="7"/>
        <v/>
      </c>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2"/>
    </row>
    <row r="57" spans="1:114">
      <c r="A57" s="33"/>
      <c r="B57" s="25"/>
      <c r="C57" s="25"/>
      <c r="D57" s="25"/>
      <c r="E57" s="25"/>
      <c r="F57" s="25"/>
      <c r="G57" s="25"/>
      <c r="H57" s="25"/>
      <c r="I57" s="25"/>
      <c r="J57" s="25"/>
      <c r="K57" s="25"/>
      <c r="L57" s="25"/>
      <c r="M57" s="25"/>
      <c r="N57" s="25"/>
      <c r="O57" s="25"/>
      <c r="P57" s="25"/>
      <c r="Q57" s="25"/>
      <c r="R57" s="25"/>
      <c r="S57" s="26">
        <f t="shared" si="2"/>
        <v>0</v>
      </c>
      <c r="T57" s="26">
        <f>COUNTIF($V$4:V57,V57)</f>
        <v>46</v>
      </c>
      <c r="U57" s="26" t="str">
        <f>IF(T57=1,COUNTIF($T$4:T57,1),"")</f>
        <v/>
      </c>
      <c r="V57" s="27" t="str">
        <f>'施設状況(要更新)'!$E57&amp;'施設状況(要更新)'!$C57</f>
        <v/>
      </c>
      <c r="W57" s="27">
        <f>'施設状況(要更新)'!$F57</f>
        <v>0</v>
      </c>
      <c r="X57" s="28">
        <v>53</v>
      </c>
      <c r="Y57" s="35" t="str">
        <f t="shared" si="7"/>
        <v/>
      </c>
      <c r="Z57" s="36" t="str">
        <f t="shared" si="7"/>
        <v/>
      </c>
      <c r="AA57" s="36" t="str">
        <f t="shared" si="7"/>
        <v/>
      </c>
      <c r="AB57" s="37" t="str">
        <f t="shared" si="7"/>
        <v/>
      </c>
      <c r="AC57" s="37" t="str">
        <f t="shared" si="7"/>
        <v/>
      </c>
      <c r="AD57" s="37" t="str">
        <f t="shared" si="7"/>
        <v/>
      </c>
      <c r="AE57" s="37" t="str">
        <f t="shared" si="7"/>
        <v/>
      </c>
      <c r="AF57" s="36">
        <f t="shared" si="7"/>
        <v>0</v>
      </c>
      <c r="AG57" s="37" t="str">
        <f t="shared" si="7"/>
        <v/>
      </c>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2"/>
    </row>
    <row r="58" spans="1:114">
      <c r="A58" s="33"/>
      <c r="B58" s="25"/>
      <c r="C58" s="25"/>
      <c r="D58" s="25"/>
      <c r="E58" s="25"/>
      <c r="F58" s="25"/>
      <c r="G58" s="25"/>
      <c r="H58" s="25"/>
      <c r="I58" s="25"/>
      <c r="J58" s="38"/>
      <c r="K58" s="38"/>
      <c r="L58" s="38"/>
      <c r="M58" s="38"/>
      <c r="N58" s="38"/>
      <c r="O58" s="38"/>
      <c r="P58" s="38"/>
      <c r="Q58" s="38"/>
      <c r="R58" s="38"/>
      <c r="S58" s="26">
        <f t="shared" si="2"/>
        <v>0</v>
      </c>
      <c r="T58" s="26">
        <f>COUNTIF($V$4:V58,V58)</f>
        <v>47</v>
      </c>
      <c r="U58" s="26" t="str">
        <f>IF(T58=1,COUNTIF($T$4:T58,1),"")</f>
        <v/>
      </c>
      <c r="V58" s="27" t="str">
        <f>'施設状況(要更新)'!$E58&amp;'施設状況(要更新)'!$C58</f>
        <v/>
      </c>
      <c r="W58" s="27">
        <f>'施設状況(要更新)'!$F58</f>
        <v>0</v>
      </c>
      <c r="X58" s="28">
        <v>54</v>
      </c>
      <c r="Y58" s="35" t="str">
        <f t="shared" si="7"/>
        <v/>
      </c>
      <c r="Z58" s="36" t="str">
        <f t="shared" si="7"/>
        <v/>
      </c>
      <c r="AA58" s="36" t="str">
        <f t="shared" si="7"/>
        <v/>
      </c>
      <c r="AB58" s="37" t="str">
        <f t="shared" si="7"/>
        <v/>
      </c>
      <c r="AC58" s="37" t="str">
        <f t="shared" si="7"/>
        <v/>
      </c>
      <c r="AD58" s="37" t="str">
        <f t="shared" si="7"/>
        <v/>
      </c>
      <c r="AE58" s="37" t="str">
        <f t="shared" si="7"/>
        <v/>
      </c>
      <c r="AF58" s="36">
        <f t="shared" si="7"/>
        <v>0</v>
      </c>
      <c r="AG58" s="37" t="str">
        <f t="shared" si="7"/>
        <v/>
      </c>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2"/>
    </row>
    <row r="59" spans="1:114">
      <c r="A59" s="33"/>
      <c r="B59" s="25"/>
      <c r="C59" s="25"/>
      <c r="D59" s="25"/>
      <c r="E59" s="25"/>
      <c r="F59" s="25"/>
      <c r="G59" s="25"/>
      <c r="H59" s="25"/>
      <c r="I59" s="25"/>
      <c r="J59" s="25"/>
      <c r="K59" s="25"/>
      <c r="L59" s="25"/>
      <c r="M59" s="25"/>
      <c r="N59" s="25"/>
      <c r="O59" s="25"/>
      <c r="P59" s="25"/>
      <c r="Q59" s="25"/>
      <c r="R59" s="25"/>
      <c r="S59" s="26">
        <f t="shared" si="2"/>
        <v>0</v>
      </c>
      <c r="T59" s="26">
        <f>COUNTIF($V$4:V59,V59)</f>
        <v>48</v>
      </c>
      <c r="U59" s="26" t="str">
        <f>IF(T59=1,COUNTIF($T$4:T59,1),"")</f>
        <v/>
      </c>
      <c r="V59" s="27" t="str">
        <f>'施設状況(要更新)'!$E59&amp;'施設状況(要更新)'!$C59</f>
        <v/>
      </c>
      <c r="W59" s="27">
        <f>'施設状況(要更新)'!$F59</f>
        <v>0</v>
      </c>
      <c r="X59" s="28">
        <v>55</v>
      </c>
      <c r="Y59" s="35" t="str">
        <f t="shared" si="7"/>
        <v/>
      </c>
      <c r="Z59" s="36" t="str">
        <f t="shared" si="7"/>
        <v/>
      </c>
      <c r="AA59" s="36" t="str">
        <f t="shared" si="7"/>
        <v/>
      </c>
      <c r="AB59" s="37" t="str">
        <f t="shared" si="7"/>
        <v/>
      </c>
      <c r="AC59" s="37" t="str">
        <f t="shared" si="7"/>
        <v/>
      </c>
      <c r="AD59" s="37" t="str">
        <f t="shared" si="7"/>
        <v/>
      </c>
      <c r="AE59" s="37" t="str">
        <f t="shared" si="7"/>
        <v/>
      </c>
      <c r="AF59" s="37">
        <f t="shared" si="7"/>
        <v>0</v>
      </c>
      <c r="AG59" s="37" t="str">
        <f t="shared" si="7"/>
        <v/>
      </c>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2"/>
    </row>
    <row r="60" spans="1:114">
      <c r="A60" s="33"/>
      <c r="B60" s="25"/>
      <c r="C60" s="25"/>
      <c r="D60" s="25"/>
      <c r="E60" s="25"/>
      <c r="F60" s="25"/>
      <c r="G60" s="25"/>
      <c r="H60" s="25"/>
      <c r="I60" s="25"/>
      <c r="J60" s="25"/>
      <c r="K60" s="25"/>
      <c r="L60" s="25"/>
      <c r="M60" s="25"/>
      <c r="N60" s="25"/>
      <c r="O60" s="25"/>
      <c r="P60" s="25"/>
      <c r="Q60" s="25"/>
      <c r="R60" s="25"/>
      <c r="S60" s="26">
        <f t="shared" si="2"/>
        <v>0</v>
      </c>
      <c r="T60" s="26">
        <f>COUNTIF($V$4:V60,V60)</f>
        <v>49</v>
      </c>
      <c r="U60" s="26" t="str">
        <f>IF(T60=1,COUNTIF($T$4:T60,1),"")</f>
        <v/>
      </c>
      <c r="V60" s="27" t="str">
        <f>'施設状況(要更新)'!$E60&amp;'施設状況(要更新)'!$C60</f>
        <v/>
      </c>
      <c r="W60" s="27">
        <f>'施設状況(要更新)'!$F60</f>
        <v>0</v>
      </c>
      <c r="X60" s="28">
        <v>56</v>
      </c>
      <c r="Y60" s="35" t="str">
        <f t="shared" si="7"/>
        <v/>
      </c>
      <c r="Z60" s="36" t="str">
        <f t="shared" si="7"/>
        <v/>
      </c>
      <c r="AA60" s="36" t="str">
        <f t="shared" si="7"/>
        <v/>
      </c>
      <c r="AB60" s="37" t="str">
        <f t="shared" si="7"/>
        <v/>
      </c>
      <c r="AC60" s="37" t="str">
        <f t="shared" si="7"/>
        <v/>
      </c>
      <c r="AD60" s="37" t="str">
        <f t="shared" si="7"/>
        <v/>
      </c>
      <c r="AE60" s="37" t="str">
        <f t="shared" si="7"/>
        <v/>
      </c>
      <c r="AF60" s="37">
        <f t="shared" si="7"/>
        <v>0</v>
      </c>
      <c r="AG60" s="37" t="str">
        <f t="shared" si="7"/>
        <v/>
      </c>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2"/>
    </row>
    <row r="61" spans="1:114">
      <c r="A61" s="33"/>
      <c r="B61" s="25"/>
      <c r="C61" s="25"/>
      <c r="D61" s="25"/>
      <c r="E61" s="25"/>
      <c r="F61" s="25"/>
      <c r="G61" s="25"/>
      <c r="H61" s="25"/>
      <c r="I61" s="25"/>
      <c r="J61" s="25"/>
      <c r="K61" s="25"/>
      <c r="L61" s="25"/>
      <c r="M61" s="25"/>
      <c r="N61" s="25"/>
      <c r="O61" s="25"/>
      <c r="P61" s="25"/>
      <c r="Q61" s="25"/>
      <c r="R61" s="25"/>
      <c r="S61" s="26">
        <f t="shared" si="2"/>
        <v>0</v>
      </c>
      <c r="T61" s="26">
        <f>COUNTIF($V$4:V61,V61)</f>
        <v>50</v>
      </c>
      <c r="U61" s="26" t="str">
        <f>IF(T61=1,COUNTIF($T$4:T61,1),"")</f>
        <v/>
      </c>
      <c r="V61" s="27" t="str">
        <f>'施設状況(要更新)'!$E61&amp;'施設状況(要更新)'!$C61</f>
        <v/>
      </c>
      <c r="W61" s="27">
        <f>'施設状況(要更新)'!$F61</f>
        <v>0</v>
      </c>
      <c r="X61" s="28">
        <v>57</v>
      </c>
      <c r="Y61" s="35" t="str">
        <f t="shared" si="7"/>
        <v/>
      </c>
      <c r="Z61" s="36" t="str">
        <f t="shared" si="7"/>
        <v/>
      </c>
      <c r="AA61" s="36" t="str">
        <f t="shared" si="7"/>
        <v/>
      </c>
      <c r="AB61" s="37" t="str">
        <f t="shared" si="7"/>
        <v/>
      </c>
      <c r="AC61" s="37" t="str">
        <f t="shared" si="7"/>
        <v/>
      </c>
      <c r="AD61" s="37" t="str">
        <f t="shared" si="7"/>
        <v/>
      </c>
      <c r="AE61" s="37" t="str">
        <f t="shared" si="7"/>
        <v/>
      </c>
      <c r="AF61" s="37">
        <f t="shared" si="7"/>
        <v>0</v>
      </c>
      <c r="AG61" s="37" t="str">
        <f t="shared" si="7"/>
        <v/>
      </c>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2"/>
    </row>
    <row r="62" spans="1:114">
      <c r="A62" s="33"/>
      <c r="B62" s="25"/>
      <c r="C62" s="25"/>
      <c r="D62" s="25"/>
      <c r="E62" s="25"/>
      <c r="F62" s="25"/>
      <c r="G62" s="25"/>
      <c r="H62" s="25"/>
      <c r="I62" s="25"/>
      <c r="J62" s="25"/>
      <c r="K62" s="25"/>
      <c r="L62" s="25"/>
      <c r="M62" s="25"/>
      <c r="N62" s="25"/>
      <c r="O62" s="25"/>
      <c r="P62" s="25"/>
      <c r="Q62" s="25"/>
      <c r="R62" s="25"/>
      <c r="S62" s="26">
        <f t="shared" si="2"/>
        <v>0</v>
      </c>
      <c r="T62" s="26">
        <f>COUNTIF($V$4:V62,V62)</f>
        <v>51</v>
      </c>
      <c r="U62" s="26" t="str">
        <f>IF(T62=1,COUNTIF($T$4:T62,1),"")</f>
        <v/>
      </c>
      <c r="V62" s="27" t="str">
        <f>'施設状況(要更新)'!$E62&amp;'施設状況(要更新)'!$C62</f>
        <v/>
      </c>
      <c r="W62" s="27">
        <f>'施設状況(要更新)'!$F62</f>
        <v>0</v>
      </c>
      <c r="X62" s="28">
        <v>58</v>
      </c>
      <c r="Y62" s="35" t="str">
        <f t="shared" si="7"/>
        <v/>
      </c>
      <c r="Z62" s="36" t="str">
        <f t="shared" si="7"/>
        <v/>
      </c>
      <c r="AA62" s="36" t="str">
        <f t="shared" si="7"/>
        <v/>
      </c>
      <c r="AB62" s="37" t="str">
        <f t="shared" si="7"/>
        <v/>
      </c>
      <c r="AC62" s="37" t="str">
        <f t="shared" si="7"/>
        <v/>
      </c>
      <c r="AD62" s="37" t="str">
        <f t="shared" si="7"/>
        <v/>
      </c>
      <c r="AE62" s="37" t="str">
        <f t="shared" si="7"/>
        <v/>
      </c>
      <c r="AF62" s="37">
        <f t="shared" si="7"/>
        <v>0</v>
      </c>
      <c r="AG62" s="37" t="str">
        <f t="shared" si="7"/>
        <v/>
      </c>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2"/>
    </row>
    <row r="63" spans="1:114">
      <c r="A63" s="33"/>
      <c r="B63" s="25"/>
      <c r="C63" s="25"/>
      <c r="D63" s="25"/>
      <c r="E63" s="25"/>
      <c r="F63" s="25"/>
      <c r="G63" s="25"/>
      <c r="H63" s="25"/>
      <c r="I63" s="25"/>
      <c r="J63" s="25"/>
      <c r="K63" s="25"/>
      <c r="L63" s="25"/>
      <c r="M63" s="25"/>
      <c r="N63" s="25"/>
      <c r="O63" s="25"/>
      <c r="P63" s="25"/>
      <c r="Q63" s="25"/>
      <c r="R63" s="25"/>
      <c r="S63" s="26">
        <f t="shared" si="2"/>
        <v>0</v>
      </c>
      <c r="T63" s="26">
        <f>COUNTIF($V$4:V63,V63)</f>
        <v>52</v>
      </c>
      <c r="U63" s="26" t="str">
        <f>IF(T63=1,COUNTIF($T$4:T63,1),"")</f>
        <v/>
      </c>
      <c r="V63" s="27" t="str">
        <f>'施設状況(要更新)'!$E63&amp;'施設状況(要更新)'!$C63</f>
        <v/>
      </c>
      <c r="W63" s="27">
        <f>'施設状況(要更新)'!$F63</f>
        <v>0</v>
      </c>
      <c r="X63" s="28">
        <v>59</v>
      </c>
      <c r="Y63" s="35" t="str">
        <f t="shared" si="7"/>
        <v/>
      </c>
      <c r="Z63" s="36" t="str">
        <f t="shared" si="7"/>
        <v/>
      </c>
      <c r="AA63" s="36" t="str">
        <f t="shared" si="7"/>
        <v/>
      </c>
      <c r="AB63" s="37" t="str">
        <f t="shared" si="7"/>
        <v/>
      </c>
      <c r="AC63" s="37" t="str">
        <f t="shared" si="7"/>
        <v/>
      </c>
      <c r="AD63" s="37" t="str">
        <f t="shared" si="7"/>
        <v/>
      </c>
      <c r="AE63" s="37" t="str">
        <f t="shared" si="7"/>
        <v/>
      </c>
      <c r="AF63" s="37">
        <f t="shared" si="7"/>
        <v>0</v>
      </c>
      <c r="AG63" s="37" t="str">
        <f t="shared" si="7"/>
        <v/>
      </c>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2"/>
    </row>
    <row r="64" spans="1:114">
      <c r="A64" s="33"/>
      <c r="B64" s="25"/>
      <c r="C64" s="25"/>
      <c r="D64" s="25"/>
      <c r="E64" s="25"/>
      <c r="F64" s="25"/>
      <c r="G64" s="25"/>
      <c r="H64" s="25"/>
      <c r="I64" s="25"/>
      <c r="J64" s="25"/>
      <c r="K64" s="25"/>
      <c r="L64" s="25"/>
      <c r="M64" s="25"/>
      <c r="N64" s="25"/>
      <c r="O64" s="25"/>
      <c r="P64" s="25"/>
      <c r="Q64" s="25"/>
      <c r="R64" s="25"/>
      <c r="S64" s="26">
        <f t="shared" si="2"/>
        <v>0</v>
      </c>
      <c r="T64" s="26">
        <f>COUNTIF($V$4:V64,V64)</f>
        <v>53</v>
      </c>
      <c r="U64" s="26" t="str">
        <f>IF(T64=1,COUNTIF($T$4:T64,1),"")</f>
        <v/>
      </c>
      <c r="V64" s="27" t="str">
        <f>'施設状況(要更新)'!$E64&amp;'施設状況(要更新)'!$C64</f>
        <v/>
      </c>
      <c r="W64" s="27">
        <f>'施設状況(要更新)'!$F64</f>
        <v>0</v>
      </c>
      <c r="X64" s="28">
        <v>60</v>
      </c>
      <c r="Y64" s="39" t="str">
        <f t="shared" si="7"/>
        <v/>
      </c>
      <c r="Z64" s="40" t="str">
        <f t="shared" si="7"/>
        <v/>
      </c>
      <c r="AA64" s="40" t="str">
        <f t="shared" si="7"/>
        <v/>
      </c>
      <c r="AB64" s="41" t="str">
        <f t="shared" si="7"/>
        <v/>
      </c>
      <c r="AC64" s="41" t="str">
        <f t="shared" si="7"/>
        <v/>
      </c>
      <c r="AD64" s="41" t="str">
        <f t="shared" si="7"/>
        <v/>
      </c>
      <c r="AE64" s="41" t="str">
        <f t="shared" si="7"/>
        <v/>
      </c>
      <c r="AF64" s="41">
        <f t="shared" si="7"/>
        <v>0</v>
      </c>
      <c r="AG64" s="41" t="str">
        <f t="shared" si="7"/>
        <v/>
      </c>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3"/>
    </row>
    <row r="65" spans="1:27">
      <c r="A65" s="33"/>
      <c r="B65" s="25"/>
      <c r="C65" s="25"/>
      <c r="D65" s="25"/>
      <c r="E65" s="25"/>
      <c r="F65" s="25"/>
      <c r="G65" s="25"/>
      <c r="H65" s="25"/>
      <c r="I65" s="25"/>
      <c r="J65" s="25"/>
      <c r="K65" s="25"/>
      <c r="L65" s="25"/>
      <c r="M65" s="25"/>
      <c r="N65" s="25"/>
      <c r="O65" s="25"/>
      <c r="P65" s="25"/>
      <c r="Q65" s="25"/>
      <c r="R65" s="25"/>
      <c r="S65" s="26">
        <f t="shared" si="2"/>
        <v>0</v>
      </c>
      <c r="T65" s="26">
        <f>COUNTIF($V$4:V65,V65)</f>
        <v>54</v>
      </c>
      <c r="U65" s="26" t="str">
        <f>IF(T65=1,COUNTIF($T$4:T65,1),"")</f>
        <v/>
      </c>
      <c r="V65" s="27" t="str">
        <f>'施設状況(要更新)'!$E65&amp;'施設状況(要更新)'!$C65</f>
        <v/>
      </c>
      <c r="W65" s="27">
        <f>'施設状況(要更新)'!$F65</f>
        <v>0</v>
      </c>
      <c r="X65" s="28"/>
      <c r="Y65" s="27"/>
      <c r="Z65" s="27"/>
      <c r="AA65" s="27"/>
    </row>
    <row r="66" spans="1:27">
      <c r="A66" s="33"/>
      <c r="B66" s="25"/>
      <c r="C66" s="25"/>
      <c r="D66" s="25"/>
      <c r="E66" s="25"/>
      <c r="F66" s="25"/>
      <c r="G66" s="25"/>
      <c r="H66" s="25"/>
      <c r="I66" s="25"/>
      <c r="J66" s="25"/>
      <c r="K66" s="25"/>
      <c r="L66" s="25"/>
      <c r="M66" s="25"/>
      <c r="N66" s="25"/>
      <c r="O66" s="25"/>
      <c r="P66" s="25"/>
      <c r="Q66" s="25"/>
      <c r="R66" s="25"/>
      <c r="S66" s="26">
        <f t="shared" si="2"/>
        <v>0</v>
      </c>
      <c r="T66" s="26">
        <f>COUNTIF($V$4:V66,V66)</f>
        <v>55</v>
      </c>
      <c r="U66" s="26" t="str">
        <f>IF(T66=1,COUNTIF($T$4:T66,1),"")</f>
        <v/>
      </c>
      <c r="V66" s="27" t="str">
        <f>'施設状況(要更新)'!$E66&amp;'施設状況(要更新)'!$C66</f>
        <v/>
      </c>
      <c r="W66" s="27">
        <f>'施設状況(要更新)'!$F66</f>
        <v>0</v>
      </c>
      <c r="X66" s="28"/>
      <c r="Y66" s="27"/>
      <c r="Z66" s="27"/>
      <c r="AA66" s="27"/>
    </row>
    <row r="67" spans="1:27">
      <c r="A67" s="33"/>
      <c r="B67" s="25"/>
      <c r="C67" s="25"/>
      <c r="D67" s="25"/>
      <c r="E67" s="25"/>
      <c r="F67" s="25"/>
      <c r="G67" s="25"/>
      <c r="H67" s="25"/>
      <c r="I67" s="25"/>
      <c r="J67" s="25"/>
      <c r="K67" s="25"/>
      <c r="L67" s="25"/>
      <c r="M67" s="25"/>
      <c r="N67" s="25"/>
      <c r="O67" s="25"/>
      <c r="P67" s="25"/>
      <c r="Q67" s="25"/>
      <c r="R67" s="25"/>
      <c r="S67" s="26">
        <f t="shared" si="2"/>
        <v>0</v>
      </c>
      <c r="T67" s="26">
        <f>COUNTIF($V$4:V67,V67)</f>
        <v>56</v>
      </c>
      <c r="U67" s="26" t="str">
        <f>IF(T67=1,COUNTIF($T$4:T67,1),"")</f>
        <v/>
      </c>
      <c r="V67" s="27" t="str">
        <f>'施設状況(要更新)'!$E67&amp;'施設状況(要更新)'!$C67</f>
        <v/>
      </c>
      <c r="W67" s="27">
        <f>'施設状況(要更新)'!$F67</f>
        <v>0</v>
      </c>
      <c r="X67" s="28"/>
      <c r="Y67" s="27"/>
      <c r="Z67" s="27"/>
      <c r="AA67" s="27"/>
    </row>
    <row r="68" spans="1:27">
      <c r="A68" s="33"/>
      <c r="B68" s="25"/>
      <c r="C68" s="25"/>
      <c r="D68" s="25"/>
      <c r="E68" s="25"/>
      <c r="F68" s="25"/>
      <c r="G68" s="25"/>
      <c r="H68" s="25"/>
      <c r="I68" s="25"/>
      <c r="J68" s="25"/>
      <c r="K68" s="25"/>
      <c r="L68" s="25"/>
      <c r="M68" s="25"/>
      <c r="N68" s="25"/>
      <c r="O68" s="25"/>
      <c r="P68" s="25"/>
      <c r="Q68" s="25"/>
      <c r="R68" s="25"/>
      <c r="S68" s="26">
        <f t="shared" si="2"/>
        <v>0</v>
      </c>
      <c r="T68" s="26">
        <f>COUNTIF($V$4:V68,V68)</f>
        <v>57</v>
      </c>
      <c r="U68" s="26" t="str">
        <f>IF(T68=1,COUNTIF($T$4:T68,1),"")</f>
        <v/>
      </c>
      <c r="V68" s="27" t="str">
        <f>'施設状況(要更新)'!$E68&amp;'施設状況(要更新)'!$C68</f>
        <v/>
      </c>
      <c r="W68" s="27">
        <f>'施設状況(要更新)'!$F68</f>
        <v>0</v>
      </c>
      <c r="X68" s="28"/>
      <c r="Y68" s="27"/>
      <c r="Z68" s="27"/>
      <c r="AA68" s="27"/>
    </row>
    <row r="69" spans="1:27">
      <c r="A69" s="33"/>
      <c r="B69" s="25"/>
      <c r="C69" s="25"/>
      <c r="D69" s="25"/>
      <c r="E69" s="25"/>
      <c r="F69" s="25"/>
      <c r="G69" s="25"/>
      <c r="H69" s="25"/>
      <c r="I69" s="25"/>
      <c r="J69" s="25"/>
      <c r="K69" s="25"/>
      <c r="L69" s="25"/>
      <c r="M69" s="25"/>
      <c r="N69" s="25"/>
      <c r="O69" s="25"/>
      <c r="P69" s="25"/>
      <c r="Q69" s="25"/>
      <c r="R69" s="25"/>
      <c r="S69" s="26">
        <f t="shared" ref="S69:S132" si="8">A69</f>
        <v>0</v>
      </c>
      <c r="T69" s="26">
        <f>COUNTIF($V$4:V69,V69)</f>
        <v>58</v>
      </c>
      <c r="U69" s="26" t="str">
        <f>IF(T69=1,COUNTIF($T$4:T69,1),"")</f>
        <v/>
      </c>
      <c r="V69" s="27" t="str">
        <f>'施設状況(要更新)'!$E69&amp;'施設状況(要更新)'!$C69</f>
        <v/>
      </c>
      <c r="W69" s="27">
        <f>'施設状況(要更新)'!$F69</f>
        <v>0</v>
      </c>
      <c r="X69" s="28"/>
      <c r="Y69" s="27"/>
      <c r="Z69" s="27"/>
      <c r="AA69" s="27"/>
    </row>
    <row r="70" spans="1:27">
      <c r="A70" s="33"/>
      <c r="B70" s="25"/>
      <c r="C70" s="25"/>
      <c r="D70" s="25"/>
      <c r="E70" s="25"/>
      <c r="F70" s="25"/>
      <c r="G70" s="25"/>
      <c r="H70" s="25"/>
      <c r="I70" s="25"/>
      <c r="J70" s="25"/>
      <c r="K70" s="25"/>
      <c r="L70" s="25"/>
      <c r="M70" s="25"/>
      <c r="N70" s="25"/>
      <c r="O70" s="25"/>
      <c r="P70" s="25"/>
      <c r="Q70" s="25"/>
      <c r="R70" s="25"/>
      <c r="S70" s="26">
        <f t="shared" si="8"/>
        <v>0</v>
      </c>
      <c r="T70" s="26">
        <f>COUNTIF($V$4:V70,V70)</f>
        <v>59</v>
      </c>
      <c r="U70" s="26" t="str">
        <f>IF(T70=1,COUNTIF($T$4:T70,1),"")</f>
        <v/>
      </c>
      <c r="V70" s="27" t="str">
        <f>'施設状況(要更新)'!$E70&amp;'施設状況(要更新)'!$C70</f>
        <v/>
      </c>
      <c r="W70" s="27">
        <f>'施設状況(要更新)'!$F70</f>
        <v>0</v>
      </c>
      <c r="X70" s="28"/>
      <c r="Y70" s="27"/>
      <c r="Z70" s="27"/>
      <c r="AA70" s="27"/>
    </row>
    <row r="71" spans="1:27">
      <c r="A71" s="33"/>
      <c r="B71" s="25"/>
      <c r="C71" s="25"/>
      <c r="D71" s="25"/>
      <c r="E71" s="25"/>
      <c r="F71" s="25"/>
      <c r="G71" s="25"/>
      <c r="H71" s="25"/>
      <c r="I71" s="25"/>
      <c r="J71" s="25"/>
      <c r="K71" s="25"/>
      <c r="L71" s="25"/>
      <c r="M71" s="25"/>
      <c r="N71" s="25"/>
      <c r="O71" s="25"/>
      <c r="P71" s="25"/>
      <c r="Q71" s="25"/>
      <c r="R71" s="25"/>
      <c r="S71" s="26">
        <f t="shared" si="8"/>
        <v>0</v>
      </c>
      <c r="T71" s="26">
        <f>COUNTIF($V$4:V71,V71)</f>
        <v>60</v>
      </c>
      <c r="U71" s="26" t="str">
        <f>IF(T71=1,COUNTIF($T$4:T71,1),"")</f>
        <v/>
      </c>
      <c r="V71" s="27" t="str">
        <f>'施設状況(要更新)'!$E71&amp;'施設状況(要更新)'!$C71</f>
        <v/>
      </c>
      <c r="W71" s="27">
        <f>'施設状況(要更新)'!$F71</f>
        <v>0</v>
      </c>
      <c r="X71" s="28"/>
      <c r="Y71" s="27"/>
      <c r="Z71" s="27"/>
      <c r="AA71" s="27"/>
    </row>
    <row r="72" spans="1:27">
      <c r="A72" s="33"/>
      <c r="B72" s="25"/>
      <c r="C72" s="25"/>
      <c r="D72" s="25"/>
      <c r="E72" s="25"/>
      <c r="F72" s="25"/>
      <c r="G72" s="25"/>
      <c r="H72" s="25"/>
      <c r="I72" s="25"/>
      <c r="J72" s="25"/>
      <c r="K72" s="25"/>
      <c r="L72" s="25"/>
      <c r="M72" s="25"/>
      <c r="N72" s="25"/>
      <c r="O72" s="25"/>
      <c r="P72" s="25"/>
      <c r="Q72" s="25"/>
      <c r="R72" s="25"/>
      <c r="S72" s="26">
        <f t="shared" si="8"/>
        <v>0</v>
      </c>
      <c r="T72" s="26">
        <f>COUNTIF($V$4:V72,V72)</f>
        <v>61</v>
      </c>
      <c r="U72" s="26" t="str">
        <f>IF(T72=1,COUNTIF($T$4:T72,1),"")</f>
        <v/>
      </c>
      <c r="V72" s="27" t="str">
        <f>'施設状況(要更新)'!$E72&amp;'施設状況(要更新)'!$C72</f>
        <v/>
      </c>
      <c r="W72" s="27">
        <f>'施設状況(要更新)'!$F72</f>
        <v>0</v>
      </c>
      <c r="X72" s="28"/>
      <c r="Y72" s="27"/>
      <c r="Z72" s="27"/>
      <c r="AA72" s="27"/>
    </row>
    <row r="73" spans="1:27">
      <c r="A73" s="33"/>
      <c r="B73" s="25"/>
      <c r="C73" s="25"/>
      <c r="D73" s="25"/>
      <c r="E73" s="25"/>
      <c r="F73" s="25"/>
      <c r="G73" s="25"/>
      <c r="H73" s="25"/>
      <c r="I73" s="25"/>
      <c r="J73" s="25"/>
      <c r="K73" s="25"/>
      <c r="L73" s="25"/>
      <c r="M73" s="25"/>
      <c r="N73" s="25"/>
      <c r="O73" s="25"/>
      <c r="P73" s="25"/>
      <c r="Q73" s="25"/>
      <c r="R73" s="25"/>
      <c r="S73" s="26">
        <f t="shared" si="8"/>
        <v>0</v>
      </c>
      <c r="T73" s="26">
        <f>COUNTIF($V$4:V73,V73)</f>
        <v>62</v>
      </c>
      <c r="U73" s="26" t="str">
        <f>IF(T73=1,COUNTIF($T$4:T73,1),"")</f>
        <v/>
      </c>
      <c r="V73" s="27" t="str">
        <f>'施設状況(要更新)'!$E73&amp;'施設状況(要更新)'!$C73</f>
        <v/>
      </c>
      <c r="W73" s="27">
        <f>'施設状況(要更新)'!$F73</f>
        <v>0</v>
      </c>
      <c r="X73" s="28"/>
      <c r="Y73" s="27"/>
      <c r="Z73" s="27"/>
      <c r="AA73" s="27"/>
    </row>
    <row r="74" spans="1:27">
      <c r="A74" s="33"/>
      <c r="B74" s="25"/>
      <c r="C74" s="25"/>
      <c r="D74" s="25"/>
      <c r="E74" s="25"/>
      <c r="F74" s="25"/>
      <c r="G74" s="25"/>
      <c r="H74" s="25"/>
      <c r="I74" s="25"/>
      <c r="J74" s="25"/>
      <c r="K74" s="25"/>
      <c r="L74" s="25"/>
      <c r="M74" s="25"/>
      <c r="N74" s="25"/>
      <c r="O74" s="25"/>
      <c r="P74" s="25"/>
      <c r="Q74" s="25"/>
      <c r="R74" s="25"/>
      <c r="S74" s="26">
        <f t="shared" si="8"/>
        <v>0</v>
      </c>
      <c r="T74" s="26">
        <f>COUNTIF($V$4:V74,V74)</f>
        <v>63</v>
      </c>
      <c r="U74" s="26" t="str">
        <f>IF(T74=1,COUNTIF($T$4:T74,1),"")</f>
        <v/>
      </c>
      <c r="V74" s="27" t="str">
        <f>'施設状況(要更新)'!$E74&amp;'施設状況(要更新)'!$C74</f>
        <v/>
      </c>
      <c r="W74" s="27">
        <f>'施設状況(要更新)'!$F74</f>
        <v>0</v>
      </c>
      <c r="X74" s="28"/>
      <c r="Y74" s="27"/>
      <c r="Z74" s="27"/>
      <c r="AA74" s="27"/>
    </row>
    <row r="75" spans="1:27">
      <c r="A75" s="33"/>
      <c r="B75" s="25"/>
      <c r="C75" s="25"/>
      <c r="D75" s="25"/>
      <c r="E75" s="25"/>
      <c r="F75" s="25"/>
      <c r="G75" s="25"/>
      <c r="H75" s="25"/>
      <c r="I75" s="25"/>
      <c r="J75" s="25"/>
      <c r="K75" s="25"/>
      <c r="L75" s="25"/>
      <c r="M75" s="25"/>
      <c r="N75" s="25"/>
      <c r="O75" s="25"/>
      <c r="P75" s="25"/>
      <c r="Q75" s="25"/>
      <c r="R75" s="25"/>
      <c r="S75" s="26">
        <f t="shared" si="8"/>
        <v>0</v>
      </c>
      <c r="T75" s="26">
        <f>COUNTIF($V$4:V75,V75)</f>
        <v>64</v>
      </c>
      <c r="U75" s="26" t="str">
        <f>IF(T75=1,COUNTIF($T$4:T75,1),"")</f>
        <v/>
      </c>
      <c r="V75" s="27" t="str">
        <f>'施設状況(要更新)'!$E75&amp;'施設状況(要更新)'!$C75</f>
        <v/>
      </c>
      <c r="W75" s="27">
        <f>'施設状況(要更新)'!$F75</f>
        <v>0</v>
      </c>
      <c r="X75" s="28"/>
      <c r="Y75" s="27"/>
      <c r="Z75" s="27"/>
      <c r="AA75" s="27"/>
    </row>
    <row r="76" spans="1:27">
      <c r="A76" s="33"/>
      <c r="B76" s="25"/>
      <c r="C76" s="25"/>
      <c r="D76" s="25"/>
      <c r="E76" s="25"/>
      <c r="F76" s="25"/>
      <c r="G76" s="25"/>
      <c r="H76" s="25"/>
      <c r="I76" s="25"/>
      <c r="J76" s="25"/>
      <c r="K76" s="25"/>
      <c r="L76" s="25"/>
      <c r="M76" s="25"/>
      <c r="N76" s="25"/>
      <c r="O76" s="25"/>
      <c r="P76" s="25"/>
      <c r="Q76" s="25"/>
      <c r="R76" s="25"/>
      <c r="S76" s="26">
        <f t="shared" si="8"/>
        <v>0</v>
      </c>
      <c r="T76" s="26">
        <f>COUNTIF($V$4:V76,V76)</f>
        <v>65</v>
      </c>
      <c r="U76" s="26" t="str">
        <f>IF(T76=1,COUNTIF($T$4:T76,1),"")</f>
        <v/>
      </c>
      <c r="V76" s="27" t="str">
        <f>'施設状況(要更新)'!$E76&amp;'施設状況(要更新)'!$C76</f>
        <v/>
      </c>
      <c r="W76" s="27">
        <f>'施設状況(要更新)'!$F76</f>
        <v>0</v>
      </c>
      <c r="X76" s="28"/>
      <c r="Y76" s="27"/>
      <c r="Z76" s="27"/>
      <c r="AA76" s="27"/>
    </row>
    <row r="77" spans="1:27">
      <c r="A77" s="33"/>
      <c r="B77" s="25"/>
      <c r="C77" s="25"/>
      <c r="D77" s="25"/>
      <c r="E77" s="25"/>
      <c r="F77" s="25"/>
      <c r="G77" s="25"/>
      <c r="H77" s="25"/>
      <c r="I77" s="25"/>
      <c r="J77" s="25"/>
      <c r="K77" s="25"/>
      <c r="L77" s="25"/>
      <c r="M77" s="25"/>
      <c r="N77" s="25"/>
      <c r="O77" s="25"/>
      <c r="P77" s="25"/>
      <c r="Q77" s="25"/>
      <c r="R77" s="25"/>
      <c r="S77" s="26">
        <f t="shared" si="8"/>
        <v>0</v>
      </c>
      <c r="T77" s="26">
        <f>COUNTIF($V$4:V77,V77)</f>
        <v>66</v>
      </c>
      <c r="U77" s="26" t="str">
        <f>IF(T77=1,COUNTIF($T$4:T77,1),"")</f>
        <v/>
      </c>
      <c r="V77" s="27" t="str">
        <f>'施設状況(要更新)'!$E77&amp;'施設状況(要更新)'!$C77</f>
        <v/>
      </c>
      <c r="W77" s="27">
        <f>'施設状況(要更新)'!$F77</f>
        <v>0</v>
      </c>
      <c r="X77" s="28"/>
      <c r="Y77" s="27"/>
      <c r="Z77" s="27"/>
      <c r="AA77" s="27"/>
    </row>
    <row r="78" spans="1:27">
      <c r="A78" s="33"/>
      <c r="B78" s="25"/>
      <c r="C78" s="25"/>
      <c r="D78" s="25"/>
      <c r="E78" s="25"/>
      <c r="F78" s="25"/>
      <c r="G78" s="25"/>
      <c r="H78" s="25"/>
      <c r="I78" s="25"/>
      <c r="J78" s="25"/>
      <c r="K78" s="25"/>
      <c r="L78" s="25"/>
      <c r="M78" s="25"/>
      <c r="N78" s="25"/>
      <c r="O78" s="25"/>
      <c r="P78" s="25"/>
      <c r="Q78" s="25"/>
      <c r="R78" s="25"/>
      <c r="S78" s="26">
        <f t="shared" si="8"/>
        <v>0</v>
      </c>
      <c r="T78" s="26">
        <f>COUNTIF($V$4:V78,V78)</f>
        <v>67</v>
      </c>
      <c r="U78" s="26" t="str">
        <f>IF(T78=1,COUNTIF($T$4:T78,1),"")</f>
        <v/>
      </c>
      <c r="V78" s="27" t="str">
        <f>'施設状況(要更新)'!$E78&amp;'施設状況(要更新)'!$C78</f>
        <v/>
      </c>
      <c r="W78" s="27">
        <f>'施設状況(要更新)'!$F78</f>
        <v>0</v>
      </c>
      <c r="X78" s="28"/>
      <c r="Y78" s="27"/>
      <c r="Z78" s="27"/>
      <c r="AA78" s="27"/>
    </row>
    <row r="79" spans="1:27">
      <c r="A79" s="33"/>
      <c r="B79" s="25"/>
      <c r="C79" s="25"/>
      <c r="D79" s="25"/>
      <c r="E79" s="25"/>
      <c r="F79" s="25"/>
      <c r="G79" s="25"/>
      <c r="H79" s="25"/>
      <c r="I79" s="25"/>
      <c r="J79" s="25"/>
      <c r="K79" s="25"/>
      <c r="L79" s="25"/>
      <c r="M79" s="25"/>
      <c r="N79" s="25"/>
      <c r="O79" s="25"/>
      <c r="P79" s="25"/>
      <c r="Q79" s="25"/>
      <c r="R79" s="25"/>
      <c r="S79" s="26">
        <f t="shared" si="8"/>
        <v>0</v>
      </c>
      <c r="T79" s="26">
        <f>COUNTIF($V$4:V79,V79)</f>
        <v>68</v>
      </c>
      <c r="U79" s="26" t="str">
        <f>IF(T79=1,COUNTIF($T$4:T79,1),"")</f>
        <v/>
      </c>
      <c r="V79" s="27" t="str">
        <f>'施設状況(要更新)'!$E79&amp;'施設状況(要更新)'!$C79</f>
        <v/>
      </c>
      <c r="W79" s="27">
        <f>'施設状況(要更新)'!$F79</f>
        <v>0</v>
      </c>
      <c r="X79" s="28"/>
      <c r="Y79" s="27"/>
      <c r="Z79" s="27"/>
      <c r="AA79" s="27"/>
    </row>
    <row r="80" spans="1:27">
      <c r="A80" s="33"/>
      <c r="B80" s="25"/>
      <c r="C80" s="25"/>
      <c r="D80" s="25"/>
      <c r="E80" s="25"/>
      <c r="F80" s="25"/>
      <c r="G80" s="25"/>
      <c r="H80" s="25"/>
      <c r="I80" s="25"/>
      <c r="J80" s="25"/>
      <c r="K80" s="25"/>
      <c r="L80" s="25"/>
      <c r="M80" s="25"/>
      <c r="N80" s="25"/>
      <c r="O80" s="25"/>
      <c r="P80" s="25"/>
      <c r="Q80" s="25"/>
      <c r="R80" s="25"/>
      <c r="S80" s="26">
        <f t="shared" si="8"/>
        <v>0</v>
      </c>
      <c r="T80" s="26">
        <f>COUNTIF($V$4:V80,V80)</f>
        <v>69</v>
      </c>
      <c r="U80" s="26" t="str">
        <f>IF(T80=1,COUNTIF($T$4:T80,1),"")</f>
        <v/>
      </c>
      <c r="V80" s="27" t="str">
        <f>'施設状況(要更新)'!$E80&amp;'施設状況(要更新)'!$C80</f>
        <v/>
      </c>
      <c r="W80" s="27">
        <f>'施設状況(要更新)'!$F80</f>
        <v>0</v>
      </c>
      <c r="X80" s="28"/>
      <c r="Y80" s="27"/>
      <c r="Z80" s="27"/>
      <c r="AA80" s="27"/>
    </row>
    <row r="81" spans="1:33">
      <c r="A81" s="33"/>
      <c r="B81" s="25"/>
      <c r="C81" s="25"/>
      <c r="D81" s="25"/>
      <c r="E81" s="25"/>
      <c r="F81" s="25"/>
      <c r="G81" s="25"/>
      <c r="H81" s="25"/>
      <c r="I81" s="25"/>
      <c r="J81" s="25"/>
      <c r="K81" s="25"/>
      <c r="L81" s="25"/>
      <c r="M81" s="25"/>
      <c r="N81" s="25"/>
      <c r="O81" s="25"/>
      <c r="P81" s="25"/>
      <c r="Q81" s="25"/>
      <c r="R81" s="25"/>
      <c r="S81" s="26">
        <f t="shared" si="8"/>
        <v>0</v>
      </c>
      <c r="T81" s="26">
        <f>COUNTIF($V$4:V81,V81)</f>
        <v>70</v>
      </c>
      <c r="U81" s="26" t="str">
        <f>IF(T81=1,COUNTIF($T$4:T81,1),"")</f>
        <v/>
      </c>
      <c r="V81" s="27" t="str">
        <f>'施設状況(要更新)'!$E81&amp;'施設状況(要更新)'!$C81</f>
        <v/>
      </c>
      <c r="W81" s="27">
        <f>'施設状況(要更新)'!$F81</f>
        <v>0</v>
      </c>
      <c r="X81" s="28"/>
      <c r="Y81" s="27"/>
      <c r="Z81" s="27"/>
      <c r="AA81" s="27"/>
    </row>
    <row r="82" spans="1:33">
      <c r="A82" s="33"/>
      <c r="B82" s="25"/>
      <c r="C82" s="25"/>
      <c r="D82" s="25"/>
      <c r="E82" s="25"/>
      <c r="F82" s="25"/>
      <c r="G82" s="25"/>
      <c r="H82" s="25"/>
      <c r="I82" s="25"/>
      <c r="J82" s="25"/>
      <c r="K82" s="25"/>
      <c r="L82" s="25"/>
      <c r="M82" s="25"/>
      <c r="N82" s="25"/>
      <c r="O82" s="25"/>
      <c r="P82" s="25"/>
      <c r="Q82" s="25"/>
      <c r="R82" s="25"/>
      <c r="S82" s="26">
        <f t="shared" si="8"/>
        <v>0</v>
      </c>
      <c r="T82" s="26">
        <f>COUNTIF($V$4:V82,V82)</f>
        <v>71</v>
      </c>
      <c r="U82" s="26" t="str">
        <f>IF(T82=1,COUNTIF($T$4:T82,1),"")</f>
        <v/>
      </c>
      <c r="V82" s="27" t="str">
        <f>'施設状況(要更新)'!$E82&amp;'施設状況(要更新)'!$C82</f>
        <v/>
      </c>
      <c r="W82" s="27">
        <f>'施設状況(要更新)'!$F82</f>
        <v>0</v>
      </c>
      <c r="X82" s="28"/>
      <c r="Y82" s="27"/>
      <c r="Z82" s="27"/>
      <c r="AA82" s="27"/>
      <c r="AB82" s="27"/>
      <c r="AC82" s="27"/>
      <c r="AD82" s="27"/>
      <c r="AE82" s="27"/>
      <c r="AF82" s="27"/>
      <c r="AG82" s="27"/>
    </row>
    <row r="83" spans="1:33">
      <c r="A83" s="33"/>
      <c r="B83" s="25"/>
      <c r="C83" s="25"/>
      <c r="D83" s="25"/>
      <c r="E83" s="25"/>
      <c r="F83" s="25"/>
      <c r="G83" s="25"/>
      <c r="H83" s="25"/>
      <c r="I83" s="25"/>
      <c r="J83" s="25"/>
      <c r="K83" s="25"/>
      <c r="L83" s="25"/>
      <c r="M83" s="25"/>
      <c r="N83" s="25"/>
      <c r="O83" s="25"/>
      <c r="P83" s="25"/>
      <c r="Q83" s="25"/>
      <c r="R83" s="25"/>
      <c r="S83" s="26">
        <f t="shared" si="8"/>
        <v>0</v>
      </c>
      <c r="T83" s="26">
        <f>COUNTIF($V$4:V83,V83)</f>
        <v>72</v>
      </c>
      <c r="U83" s="26" t="str">
        <f>IF(T83=1,COUNTIF($T$4:T83,1),"")</f>
        <v/>
      </c>
      <c r="V83" s="27" t="str">
        <f>'施設状況(要更新)'!$E83&amp;'施設状況(要更新)'!$C83</f>
        <v/>
      </c>
      <c r="W83" s="27">
        <f>'施設状況(要更新)'!$F83</f>
        <v>0</v>
      </c>
      <c r="X83" s="28"/>
      <c r="Y83" s="27"/>
      <c r="Z83" s="27"/>
      <c r="AA83" s="27"/>
    </row>
    <row r="84" spans="1:33">
      <c r="A84" s="33"/>
      <c r="B84" s="25"/>
      <c r="C84" s="25"/>
      <c r="D84" s="25"/>
      <c r="E84" s="25"/>
      <c r="F84" s="25"/>
      <c r="G84" s="25"/>
      <c r="H84" s="25"/>
      <c r="I84" s="25"/>
      <c r="J84" s="25"/>
      <c r="K84" s="25"/>
      <c r="L84" s="25"/>
      <c r="M84" s="25"/>
      <c r="N84" s="25"/>
      <c r="O84" s="25"/>
      <c r="P84" s="25"/>
      <c r="Q84" s="25"/>
      <c r="R84" s="25"/>
      <c r="S84" s="26">
        <f t="shared" si="8"/>
        <v>0</v>
      </c>
      <c r="T84" s="26">
        <f>COUNTIF($V$4:V84,V84)</f>
        <v>73</v>
      </c>
      <c r="U84" s="26" t="str">
        <f>IF(T84=1,COUNTIF($T$4:T84,1),"")</f>
        <v/>
      </c>
      <c r="V84" s="27" t="str">
        <f>'施設状況(要更新)'!$E84&amp;'施設状況(要更新)'!$C84</f>
        <v/>
      </c>
      <c r="W84" s="27">
        <f>'施設状況(要更新)'!$F84</f>
        <v>0</v>
      </c>
      <c r="X84" s="28"/>
      <c r="Y84" s="27"/>
      <c r="Z84" s="27"/>
      <c r="AA84" s="27"/>
    </row>
    <row r="85" spans="1:33">
      <c r="A85" s="33"/>
      <c r="B85" s="25"/>
      <c r="C85" s="25"/>
      <c r="D85" s="25"/>
      <c r="E85" s="25"/>
      <c r="F85" s="25"/>
      <c r="G85" s="25"/>
      <c r="H85" s="25"/>
      <c r="I85" s="25"/>
      <c r="J85" s="25"/>
      <c r="K85" s="25"/>
      <c r="L85" s="25"/>
      <c r="M85" s="25"/>
      <c r="N85" s="25"/>
      <c r="O85" s="25"/>
      <c r="P85" s="25"/>
      <c r="Q85" s="25"/>
      <c r="R85" s="25"/>
      <c r="S85" s="26">
        <f t="shared" si="8"/>
        <v>0</v>
      </c>
      <c r="T85" s="26">
        <f>COUNTIF($V$4:V85,V85)</f>
        <v>74</v>
      </c>
      <c r="U85" s="26" t="str">
        <f>IF(T85=1,COUNTIF($T$4:T85,1),"")</f>
        <v/>
      </c>
      <c r="V85" s="27" t="str">
        <f>'施設状況(要更新)'!$E85&amp;'施設状況(要更新)'!$C85</f>
        <v/>
      </c>
      <c r="W85" s="27">
        <f>'施設状況(要更新)'!$F85</f>
        <v>0</v>
      </c>
      <c r="X85" s="28"/>
      <c r="Y85" s="27"/>
      <c r="Z85" s="27"/>
      <c r="AA85" s="27"/>
    </row>
    <row r="86" spans="1:33">
      <c r="A86" s="33"/>
      <c r="B86" s="25"/>
      <c r="C86" s="25"/>
      <c r="D86" s="25"/>
      <c r="E86" s="25"/>
      <c r="F86" s="25"/>
      <c r="G86" s="25"/>
      <c r="H86" s="25"/>
      <c r="I86" s="25"/>
      <c r="J86" s="25"/>
      <c r="K86" s="25"/>
      <c r="L86" s="25"/>
      <c r="M86" s="25"/>
      <c r="N86" s="25"/>
      <c r="O86" s="25"/>
      <c r="P86" s="25"/>
      <c r="Q86" s="25"/>
      <c r="R86" s="25"/>
      <c r="S86" s="26">
        <f t="shared" si="8"/>
        <v>0</v>
      </c>
      <c r="T86" s="26">
        <f>COUNTIF($V$4:V86,V86)</f>
        <v>75</v>
      </c>
      <c r="U86" s="26" t="str">
        <f>IF(T86=1,COUNTIF($T$4:T86,1),"")</f>
        <v/>
      </c>
      <c r="V86" s="27" t="str">
        <f>'施設状況(要更新)'!$E86&amp;'施設状況(要更新)'!$C86</f>
        <v/>
      </c>
      <c r="W86" s="27">
        <f>'施設状況(要更新)'!$F86</f>
        <v>0</v>
      </c>
      <c r="X86" s="28"/>
      <c r="Y86" s="27"/>
      <c r="Z86" s="27"/>
      <c r="AA86" s="27"/>
    </row>
    <row r="87" spans="1:33">
      <c r="A87" s="33"/>
      <c r="B87" s="25"/>
      <c r="C87" s="25"/>
      <c r="D87" s="25"/>
      <c r="E87" s="25"/>
      <c r="F87" s="25"/>
      <c r="G87" s="25"/>
      <c r="H87" s="25"/>
      <c r="I87" s="25"/>
      <c r="J87" s="25"/>
      <c r="K87" s="25"/>
      <c r="L87" s="25"/>
      <c r="M87" s="25"/>
      <c r="N87" s="25"/>
      <c r="O87" s="25"/>
      <c r="P87" s="25"/>
      <c r="Q87" s="25"/>
      <c r="R87" s="25"/>
      <c r="S87" s="26">
        <f t="shared" si="8"/>
        <v>0</v>
      </c>
      <c r="T87" s="26">
        <f>COUNTIF($V$4:V87,V87)</f>
        <v>76</v>
      </c>
      <c r="U87" s="26" t="str">
        <f>IF(T87=1,COUNTIF($T$4:T87,1),"")</f>
        <v/>
      </c>
      <c r="V87" s="27" t="str">
        <f>'施設状況(要更新)'!$E87&amp;'施設状況(要更新)'!$C87</f>
        <v/>
      </c>
      <c r="W87" s="27">
        <f>'施設状況(要更新)'!$F87</f>
        <v>0</v>
      </c>
      <c r="X87" s="28"/>
      <c r="Y87" s="27"/>
      <c r="Z87" s="27"/>
      <c r="AA87" s="27"/>
    </row>
    <row r="88" spans="1:33">
      <c r="A88" s="33"/>
      <c r="B88" s="25"/>
      <c r="C88" s="25"/>
      <c r="D88" s="25"/>
      <c r="E88" s="25"/>
      <c r="F88" s="25"/>
      <c r="G88" s="25"/>
      <c r="H88" s="25"/>
      <c r="I88" s="25"/>
      <c r="J88" s="25"/>
      <c r="K88" s="25"/>
      <c r="L88" s="25"/>
      <c r="M88" s="25"/>
      <c r="N88" s="25"/>
      <c r="O88" s="25"/>
      <c r="P88" s="25"/>
      <c r="Q88" s="25"/>
      <c r="R88" s="25"/>
      <c r="S88" s="26">
        <f t="shared" si="8"/>
        <v>0</v>
      </c>
      <c r="T88" s="26">
        <f>COUNTIF($V$4:V88,V88)</f>
        <v>77</v>
      </c>
      <c r="U88" s="26" t="str">
        <f>IF(T88=1,COUNTIF($T$4:T88,1),"")</f>
        <v/>
      </c>
      <c r="V88" s="27" t="str">
        <f>'施設状況(要更新)'!$E88&amp;'施設状況(要更新)'!$C88</f>
        <v/>
      </c>
      <c r="W88" s="27">
        <f>'施設状況(要更新)'!$F88</f>
        <v>0</v>
      </c>
      <c r="X88" s="28"/>
      <c r="Y88" s="27"/>
      <c r="Z88" s="27"/>
      <c r="AA88" s="27"/>
    </row>
    <row r="89" spans="1:33">
      <c r="A89" s="33"/>
      <c r="B89" s="25"/>
      <c r="C89" s="25"/>
      <c r="D89" s="25"/>
      <c r="E89" s="25"/>
      <c r="F89" s="25"/>
      <c r="G89" s="25"/>
      <c r="H89" s="25"/>
      <c r="I89" s="25"/>
      <c r="J89" s="25"/>
      <c r="K89" s="25"/>
      <c r="L89" s="25"/>
      <c r="M89" s="25"/>
      <c r="N89" s="25"/>
      <c r="O89" s="25"/>
      <c r="P89" s="25"/>
      <c r="Q89" s="25"/>
      <c r="R89" s="25"/>
      <c r="S89" s="26">
        <f t="shared" si="8"/>
        <v>0</v>
      </c>
      <c r="T89" s="26">
        <f>COUNTIF($V$4:V89,V89)</f>
        <v>78</v>
      </c>
      <c r="U89" s="26" t="str">
        <f>IF(T89=1,COUNTIF($T$4:T89,1),"")</f>
        <v/>
      </c>
      <c r="V89" s="27" t="str">
        <f>'施設状況(要更新)'!$E89&amp;'施設状況(要更新)'!$C89</f>
        <v/>
      </c>
      <c r="W89" s="27">
        <f>'施設状況(要更新)'!$F89</f>
        <v>0</v>
      </c>
      <c r="X89" s="28"/>
      <c r="Y89" s="27"/>
      <c r="Z89" s="27"/>
      <c r="AA89" s="27"/>
    </row>
    <row r="90" spans="1:33">
      <c r="A90" s="33"/>
      <c r="B90" s="25"/>
      <c r="C90" s="25"/>
      <c r="D90" s="25"/>
      <c r="E90" s="25"/>
      <c r="F90" s="25"/>
      <c r="G90" s="25"/>
      <c r="H90" s="25"/>
      <c r="I90" s="25"/>
      <c r="J90" s="25"/>
      <c r="K90" s="25"/>
      <c r="L90" s="25"/>
      <c r="M90" s="25"/>
      <c r="N90" s="25"/>
      <c r="O90" s="25"/>
      <c r="P90" s="25"/>
      <c r="Q90" s="25"/>
      <c r="R90" s="25"/>
      <c r="S90" s="26">
        <f t="shared" si="8"/>
        <v>0</v>
      </c>
      <c r="T90" s="26">
        <f>COUNTIF($V$4:V90,V90)</f>
        <v>79</v>
      </c>
      <c r="U90" s="26" t="str">
        <f>IF(T90=1,COUNTIF($T$4:T90,1),"")</f>
        <v/>
      </c>
      <c r="V90" s="27" t="str">
        <f>'施設状況(要更新)'!$E90&amp;'施設状況(要更新)'!$C90</f>
        <v/>
      </c>
      <c r="W90" s="27">
        <f>'施設状況(要更新)'!$F90</f>
        <v>0</v>
      </c>
      <c r="X90" s="28"/>
      <c r="Y90" s="27"/>
      <c r="Z90" s="27"/>
      <c r="AA90" s="27"/>
    </row>
    <row r="91" spans="1:33">
      <c r="A91" s="33"/>
      <c r="B91" s="25"/>
      <c r="C91" s="25"/>
      <c r="D91" s="25"/>
      <c r="E91" s="25"/>
      <c r="F91" s="25"/>
      <c r="G91" s="25"/>
      <c r="H91" s="25"/>
      <c r="I91" s="25"/>
      <c r="J91" s="25"/>
      <c r="K91" s="25"/>
      <c r="L91" s="25"/>
      <c r="M91" s="25"/>
      <c r="N91" s="25"/>
      <c r="O91" s="25"/>
      <c r="P91" s="25"/>
      <c r="Q91" s="25"/>
      <c r="R91" s="25"/>
      <c r="S91" s="26">
        <f t="shared" si="8"/>
        <v>0</v>
      </c>
      <c r="T91" s="26">
        <f>COUNTIF($V$4:V91,V91)</f>
        <v>80</v>
      </c>
      <c r="U91" s="26" t="str">
        <f>IF(T91=1,COUNTIF($T$4:T91,1),"")</f>
        <v/>
      </c>
      <c r="V91" s="27" t="str">
        <f>'施設状況(要更新)'!$E91&amp;'施設状況(要更新)'!$C91</f>
        <v/>
      </c>
      <c r="W91" s="27">
        <f>'施設状況(要更新)'!$F91</f>
        <v>0</v>
      </c>
      <c r="X91" s="28"/>
      <c r="Y91" s="27"/>
      <c r="Z91" s="27"/>
      <c r="AA91" s="27"/>
    </row>
    <row r="92" spans="1:33">
      <c r="A92" s="33"/>
      <c r="B92" s="25"/>
      <c r="C92" s="25"/>
      <c r="D92" s="25"/>
      <c r="E92" s="25"/>
      <c r="F92" s="25"/>
      <c r="G92" s="25"/>
      <c r="H92" s="25"/>
      <c r="I92" s="25"/>
      <c r="J92" s="25"/>
      <c r="K92" s="25"/>
      <c r="L92" s="25"/>
      <c r="M92" s="25"/>
      <c r="N92" s="25"/>
      <c r="O92" s="25"/>
      <c r="P92" s="25"/>
      <c r="Q92" s="25"/>
      <c r="R92" s="25"/>
      <c r="S92" s="26">
        <f t="shared" si="8"/>
        <v>0</v>
      </c>
      <c r="T92" s="26">
        <f>COUNTIF($V$4:V92,V92)</f>
        <v>81</v>
      </c>
      <c r="U92" s="26" t="str">
        <f>IF(T92=1,COUNTIF($T$4:T92,1),"")</f>
        <v/>
      </c>
      <c r="V92" s="27" t="str">
        <f>'施設状況(要更新)'!$E92&amp;'施設状況(要更新)'!$C92</f>
        <v/>
      </c>
      <c r="W92" s="27">
        <f>'施設状況(要更新)'!$F92</f>
        <v>0</v>
      </c>
      <c r="X92" s="28"/>
      <c r="Y92" s="27"/>
      <c r="Z92" s="27"/>
      <c r="AA92" s="27"/>
    </row>
    <row r="93" spans="1:33">
      <c r="A93" s="33"/>
      <c r="B93" s="25"/>
      <c r="C93" s="25"/>
      <c r="D93" s="25"/>
      <c r="E93" s="25"/>
      <c r="F93" s="25"/>
      <c r="G93" s="25"/>
      <c r="H93" s="25"/>
      <c r="I93" s="25"/>
      <c r="J93" s="25"/>
      <c r="K93" s="25"/>
      <c r="L93" s="25"/>
      <c r="M93" s="25"/>
      <c r="N93" s="25"/>
      <c r="O93" s="25"/>
      <c r="P93" s="25"/>
      <c r="Q93" s="25"/>
      <c r="R93" s="25"/>
      <c r="S93" s="26">
        <f t="shared" si="8"/>
        <v>0</v>
      </c>
      <c r="T93" s="26">
        <f>COUNTIF($V$4:V93,V93)</f>
        <v>82</v>
      </c>
      <c r="U93" s="26" t="str">
        <f>IF(T93=1,COUNTIF($T$4:T93,1),"")</f>
        <v/>
      </c>
      <c r="V93" s="27" t="str">
        <f>'施設状況(要更新)'!$E93&amp;'施設状況(要更新)'!$C93</f>
        <v/>
      </c>
      <c r="W93" s="27">
        <f>'施設状況(要更新)'!$F93</f>
        <v>0</v>
      </c>
      <c r="X93" s="28"/>
      <c r="Y93" s="27"/>
      <c r="Z93" s="27"/>
      <c r="AA93" s="27"/>
    </row>
    <row r="94" spans="1:33">
      <c r="A94" s="33"/>
      <c r="B94" s="25"/>
      <c r="C94" s="25"/>
      <c r="D94" s="25"/>
      <c r="E94" s="25"/>
      <c r="F94" s="25"/>
      <c r="G94" s="25"/>
      <c r="H94" s="25"/>
      <c r="I94" s="25"/>
      <c r="J94" s="25"/>
      <c r="K94" s="25"/>
      <c r="L94" s="25"/>
      <c r="M94" s="25"/>
      <c r="N94" s="25"/>
      <c r="O94" s="25"/>
      <c r="P94" s="25"/>
      <c r="Q94" s="25"/>
      <c r="R94" s="25"/>
      <c r="S94" s="26">
        <f t="shared" si="8"/>
        <v>0</v>
      </c>
      <c r="T94" s="26">
        <f>COUNTIF($V$4:V94,V94)</f>
        <v>83</v>
      </c>
      <c r="U94" s="26" t="str">
        <f>IF(T94=1,COUNTIF($T$4:T94,1),"")</f>
        <v/>
      </c>
      <c r="V94" s="27" t="str">
        <f>'施設状況(要更新)'!$E94&amp;'施設状況(要更新)'!$C94</f>
        <v/>
      </c>
      <c r="W94" s="27">
        <f>'施設状況(要更新)'!$F94</f>
        <v>0</v>
      </c>
      <c r="X94" s="28"/>
      <c r="Y94" s="27"/>
      <c r="Z94" s="27"/>
      <c r="AA94" s="27"/>
    </row>
    <row r="95" spans="1:33">
      <c r="A95" s="33"/>
      <c r="B95" s="25"/>
      <c r="C95" s="25"/>
      <c r="D95" s="25"/>
      <c r="E95" s="25"/>
      <c r="F95" s="25"/>
      <c r="G95" s="25"/>
      <c r="H95" s="25"/>
      <c r="I95" s="25"/>
      <c r="J95" s="25"/>
      <c r="K95" s="25"/>
      <c r="L95" s="25"/>
      <c r="M95" s="25"/>
      <c r="N95" s="25"/>
      <c r="O95" s="25"/>
      <c r="P95" s="25"/>
      <c r="Q95" s="25"/>
      <c r="R95" s="25"/>
      <c r="S95" s="26">
        <f t="shared" si="8"/>
        <v>0</v>
      </c>
      <c r="T95" s="26">
        <f>COUNTIF($V$4:V95,V95)</f>
        <v>84</v>
      </c>
      <c r="U95" s="26" t="str">
        <f>IF(T95=1,COUNTIF($T$4:T95,1),"")</f>
        <v/>
      </c>
      <c r="V95" s="27" t="str">
        <f>'施設状況(要更新)'!$E95&amp;'施設状況(要更新)'!$C95</f>
        <v/>
      </c>
      <c r="W95" s="27">
        <f>'施設状況(要更新)'!$F95</f>
        <v>0</v>
      </c>
      <c r="X95" s="28"/>
      <c r="Y95" s="27"/>
      <c r="Z95" s="27"/>
      <c r="AA95" s="27"/>
    </row>
    <row r="96" spans="1:33">
      <c r="A96" s="33"/>
      <c r="B96" s="25"/>
      <c r="C96" s="25"/>
      <c r="D96" s="25"/>
      <c r="E96" s="25"/>
      <c r="F96" s="25"/>
      <c r="G96" s="25"/>
      <c r="H96" s="25"/>
      <c r="I96" s="25"/>
      <c r="J96" s="25"/>
      <c r="K96" s="25"/>
      <c r="L96" s="25"/>
      <c r="M96" s="25"/>
      <c r="N96" s="25"/>
      <c r="O96" s="25"/>
      <c r="P96" s="25"/>
      <c r="Q96" s="25"/>
      <c r="R96" s="25"/>
      <c r="S96" s="26">
        <f t="shared" si="8"/>
        <v>0</v>
      </c>
      <c r="T96" s="26">
        <f>COUNTIF($V$4:V96,V96)</f>
        <v>85</v>
      </c>
      <c r="U96" s="26" t="str">
        <f>IF(T96=1,COUNTIF($T$4:T96,1),"")</f>
        <v/>
      </c>
      <c r="V96" s="27" t="str">
        <f>'施設状況(要更新)'!$E96&amp;'施設状況(要更新)'!$C96</f>
        <v/>
      </c>
      <c r="W96" s="27">
        <f>'施設状況(要更新)'!$F96</f>
        <v>0</v>
      </c>
      <c r="X96" s="28"/>
      <c r="Y96" s="27"/>
      <c r="Z96" s="27"/>
      <c r="AA96" s="27"/>
    </row>
    <row r="97" spans="1:27">
      <c r="A97" s="33"/>
      <c r="B97" s="25"/>
      <c r="C97" s="25"/>
      <c r="D97" s="25"/>
      <c r="E97" s="25"/>
      <c r="F97" s="25"/>
      <c r="G97" s="25"/>
      <c r="H97" s="25"/>
      <c r="I97" s="25"/>
      <c r="J97" s="25"/>
      <c r="K97" s="25"/>
      <c r="L97" s="25"/>
      <c r="M97" s="25"/>
      <c r="N97" s="25"/>
      <c r="O97" s="25"/>
      <c r="P97" s="25"/>
      <c r="Q97" s="25"/>
      <c r="R97" s="25"/>
      <c r="S97" s="26">
        <f t="shared" si="8"/>
        <v>0</v>
      </c>
      <c r="T97" s="26">
        <f>COUNTIF($V$4:V97,V97)</f>
        <v>86</v>
      </c>
      <c r="U97" s="26" t="str">
        <f>IF(T97=1,COUNTIF($T$4:T97,1),"")</f>
        <v/>
      </c>
      <c r="V97" s="27" t="str">
        <f>'施設状況(要更新)'!$E97&amp;'施設状況(要更新)'!$C97</f>
        <v/>
      </c>
      <c r="W97" s="27">
        <f>'施設状況(要更新)'!$F97</f>
        <v>0</v>
      </c>
      <c r="X97" s="28"/>
      <c r="Y97" s="27"/>
      <c r="Z97" s="27"/>
      <c r="AA97" s="27"/>
    </row>
    <row r="98" spans="1:27">
      <c r="A98" s="33"/>
      <c r="B98" s="25"/>
      <c r="C98" s="25"/>
      <c r="D98" s="25"/>
      <c r="E98" s="25"/>
      <c r="F98" s="25"/>
      <c r="G98" s="25"/>
      <c r="H98" s="25"/>
      <c r="I98" s="25"/>
      <c r="J98" s="25"/>
      <c r="K98" s="25"/>
      <c r="L98" s="25"/>
      <c r="M98" s="25"/>
      <c r="N98" s="25"/>
      <c r="O98" s="25"/>
      <c r="P98" s="25"/>
      <c r="Q98" s="25"/>
      <c r="R98" s="25"/>
      <c r="S98" s="26">
        <f t="shared" si="8"/>
        <v>0</v>
      </c>
      <c r="T98" s="26">
        <f>COUNTIF($V$4:V98,V98)</f>
        <v>87</v>
      </c>
      <c r="U98" s="26" t="str">
        <f>IF(T98=1,COUNTIF($T$4:T98,1),"")</f>
        <v/>
      </c>
      <c r="V98" s="27" t="str">
        <f>'施設状況(要更新)'!$E98&amp;'施設状況(要更新)'!$C98</f>
        <v/>
      </c>
      <c r="W98" s="27">
        <f>'施設状況(要更新)'!$F98</f>
        <v>0</v>
      </c>
      <c r="X98" s="28"/>
      <c r="Y98" s="27"/>
      <c r="Z98" s="27"/>
      <c r="AA98" s="27"/>
    </row>
    <row r="99" spans="1:27">
      <c r="A99" s="33"/>
      <c r="B99" s="25"/>
      <c r="C99" s="25"/>
      <c r="D99" s="25"/>
      <c r="E99" s="25"/>
      <c r="F99" s="25"/>
      <c r="G99" s="25"/>
      <c r="H99" s="25"/>
      <c r="I99" s="25"/>
      <c r="J99" s="25"/>
      <c r="K99" s="25"/>
      <c r="L99" s="25"/>
      <c r="M99" s="25"/>
      <c r="N99" s="25"/>
      <c r="O99" s="25"/>
      <c r="P99" s="25"/>
      <c r="Q99" s="25"/>
      <c r="R99" s="25"/>
      <c r="S99" s="26">
        <f t="shared" si="8"/>
        <v>0</v>
      </c>
      <c r="T99" s="26">
        <f>COUNTIF($V$4:V99,V99)</f>
        <v>88</v>
      </c>
      <c r="U99" s="26" t="str">
        <f>IF(T99=1,COUNTIF($T$4:T99,1),"")</f>
        <v/>
      </c>
      <c r="V99" s="27" t="str">
        <f>'施設状況(要更新)'!$E99&amp;'施設状況(要更新)'!$C99</f>
        <v/>
      </c>
      <c r="W99" s="27">
        <f>'施設状況(要更新)'!$F99</f>
        <v>0</v>
      </c>
      <c r="X99" s="28"/>
      <c r="Y99" s="27"/>
      <c r="Z99" s="27"/>
      <c r="AA99" s="27"/>
    </row>
    <row r="100" spans="1:27">
      <c r="A100" s="33"/>
      <c r="B100" s="25"/>
      <c r="C100" s="25"/>
      <c r="D100" s="25"/>
      <c r="E100" s="25"/>
      <c r="F100" s="25"/>
      <c r="G100" s="25"/>
      <c r="H100" s="25"/>
      <c r="I100" s="25"/>
      <c r="J100" s="25"/>
      <c r="K100" s="25"/>
      <c r="L100" s="25"/>
      <c r="M100" s="25"/>
      <c r="N100" s="25"/>
      <c r="O100" s="25"/>
      <c r="P100" s="25"/>
      <c r="Q100" s="25"/>
      <c r="R100" s="25"/>
      <c r="S100" s="26">
        <f t="shared" si="8"/>
        <v>0</v>
      </c>
      <c r="T100" s="26">
        <f>COUNTIF($V$4:V100,V100)</f>
        <v>89</v>
      </c>
      <c r="U100" s="26" t="str">
        <f>IF(T100=1,COUNTIF($T$4:T100,1),"")</f>
        <v/>
      </c>
      <c r="V100" s="27" t="str">
        <f>'施設状況(要更新)'!$E100&amp;'施設状況(要更新)'!$C100</f>
        <v/>
      </c>
      <c r="W100" s="27">
        <f>'施設状況(要更新)'!$F100</f>
        <v>0</v>
      </c>
      <c r="X100" s="28"/>
      <c r="Y100" s="27"/>
      <c r="Z100" s="27"/>
      <c r="AA100" s="27"/>
    </row>
    <row r="101" spans="1:27">
      <c r="A101" s="33"/>
      <c r="B101" s="25"/>
      <c r="C101" s="25"/>
      <c r="D101" s="25"/>
      <c r="E101" s="25"/>
      <c r="F101" s="25"/>
      <c r="G101" s="25"/>
      <c r="H101" s="25"/>
      <c r="I101" s="25"/>
      <c r="J101" s="25"/>
      <c r="K101" s="25"/>
      <c r="L101" s="25"/>
      <c r="M101" s="25"/>
      <c r="N101" s="25"/>
      <c r="O101" s="25"/>
      <c r="P101" s="25"/>
      <c r="Q101" s="25"/>
      <c r="R101" s="25"/>
      <c r="S101" s="26">
        <f t="shared" si="8"/>
        <v>0</v>
      </c>
      <c r="T101" s="26">
        <f>COUNTIF($V$4:V101,V101)</f>
        <v>90</v>
      </c>
      <c r="U101" s="26" t="str">
        <f>IF(T101=1,COUNTIF($T$4:T101,1),"")</f>
        <v/>
      </c>
      <c r="V101" s="27" t="str">
        <f>'施設状況(要更新)'!$E101&amp;'施設状況(要更新)'!$C101</f>
        <v/>
      </c>
      <c r="W101" s="27">
        <f>'施設状況(要更新)'!$F101</f>
        <v>0</v>
      </c>
      <c r="X101" s="28"/>
      <c r="Y101" s="27"/>
      <c r="Z101" s="27"/>
      <c r="AA101" s="27"/>
    </row>
    <row r="102" spans="1:27">
      <c r="A102" s="33"/>
      <c r="B102" s="25"/>
      <c r="C102" s="25"/>
      <c r="D102" s="25"/>
      <c r="E102" s="25"/>
      <c r="F102" s="25"/>
      <c r="G102" s="25"/>
      <c r="H102" s="25"/>
      <c r="I102" s="25"/>
      <c r="J102" s="25"/>
      <c r="K102" s="25"/>
      <c r="L102" s="25"/>
      <c r="M102" s="25"/>
      <c r="N102" s="25"/>
      <c r="O102" s="25"/>
      <c r="P102" s="25"/>
      <c r="Q102" s="25"/>
      <c r="R102" s="25"/>
      <c r="S102" s="26">
        <f t="shared" si="8"/>
        <v>0</v>
      </c>
      <c r="T102" s="26">
        <f>COUNTIF($V$4:V102,V102)</f>
        <v>91</v>
      </c>
      <c r="U102" s="26" t="str">
        <f>IF(T102=1,COUNTIF($T$4:T102,1),"")</f>
        <v/>
      </c>
      <c r="V102" s="27" t="str">
        <f>'施設状況(要更新)'!$E102&amp;'施設状況(要更新)'!$C102</f>
        <v/>
      </c>
      <c r="W102" s="27">
        <f>'施設状況(要更新)'!$F102</f>
        <v>0</v>
      </c>
      <c r="X102" s="28"/>
      <c r="Y102" s="27"/>
      <c r="Z102" s="27"/>
      <c r="AA102" s="27"/>
    </row>
    <row r="103" spans="1:27">
      <c r="A103" s="33"/>
      <c r="B103" s="25"/>
      <c r="C103" s="25"/>
      <c r="D103" s="25"/>
      <c r="E103" s="25"/>
      <c r="F103" s="25"/>
      <c r="G103" s="25"/>
      <c r="H103" s="25"/>
      <c r="I103" s="25"/>
      <c r="J103" s="25"/>
      <c r="K103" s="25"/>
      <c r="L103" s="25"/>
      <c r="M103" s="25"/>
      <c r="N103" s="25"/>
      <c r="O103" s="25"/>
      <c r="P103" s="25"/>
      <c r="Q103" s="25"/>
      <c r="R103" s="25"/>
      <c r="S103" s="26">
        <f t="shared" si="8"/>
        <v>0</v>
      </c>
      <c r="T103" s="26">
        <f>COUNTIF($V$4:V103,V103)</f>
        <v>92</v>
      </c>
      <c r="U103" s="26" t="str">
        <f>IF(T103=1,COUNTIF($T$4:T103,1),"")</f>
        <v/>
      </c>
      <c r="V103" s="27" t="str">
        <f>'施設状況(要更新)'!$E103&amp;'施設状況(要更新)'!$C103</f>
        <v/>
      </c>
      <c r="W103" s="27">
        <f>'施設状況(要更新)'!$F103</f>
        <v>0</v>
      </c>
      <c r="X103" s="28"/>
      <c r="Y103" s="27"/>
      <c r="Z103" s="27"/>
    </row>
    <row r="104" spans="1:27">
      <c r="A104" s="33"/>
      <c r="B104" s="25"/>
      <c r="C104" s="25"/>
      <c r="D104" s="25"/>
      <c r="E104" s="25"/>
      <c r="F104" s="25"/>
      <c r="G104" s="25"/>
      <c r="H104" s="25"/>
      <c r="I104" s="25"/>
      <c r="J104" s="25"/>
      <c r="K104" s="25"/>
      <c r="L104" s="25"/>
      <c r="M104" s="25"/>
      <c r="N104" s="25"/>
      <c r="O104" s="25"/>
      <c r="P104" s="25"/>
      <c r="Q104" s="25"/>
      <c r="R104" s="25"/>
      <c r="S104" s="26">
        <f t="shared" si="8"/>
        <v>0</v>
      </c>
      <c r="T104" s="26">
        <f>COUNTIF($V$4:V104,V104)</f>
        <v>93</v>
      </c>
      <c r="U104" s="26" t="str">
        <f>IF(T104=1,COUNTIF($T$4:T104,1),"")</f>
        <v/>
      </c>
      <c r="V104" s="27" t="str">
        <f>'施設状況(要更新)'!$E104&amp;'施設状況(要更新)'!$C104</f>
        <v/>
      </c>
      <c r="W104" s="27">
        <f>'施設状況(要更新)'!$F104</f>
        <v>0</v>
      </c>
      <c r="X104" s="28"/>
      <c r="Y104" s="27"/>
      <c r="Z104" s="27"/>
    </row>
    <row r="105" spans="1:27">
      <c r="A105" s="33"/>
      <c r="B105" s="25"/>
      <c r="C105" s="25"/>
      <c r="D105" s="25"/>
      <c r="E105" s="25"/>
      <c r="F105" s="25"/>
      <c r="G105" s="25"/>
      <c r="H105" s="25"/>
      <c r="I105" s="25"/>
      <c r="J105" s="25"/>
      <c r="K105" s="25"/>
      <c r="L105" s="25"/>
      <c r="M105" s="25"/>
      <c r="N105" s="25"/>
      <c r="O105" s="25"/>
      <c r="P105" s="25"/>
      <c r="Q105" s="25"/>
      <c r="R105" s="25"/>
      <c r="S105" s="26">
        <f t="shared" si="8"/>
        <v>0</v>
      </c>
      <c r="T105" s="26">
        <f>COUNTIF($V$4:V105,V105)</f>
        <v>94</v>
      </c>
      <c r="U105" s="26" t="str">
        <f>IF(T105=1,COUNTIF($T$4:T105,1),"")</f>
        <v/>
      </c>
      <c r="V105" s="27" t="str">
        <f>'施設状況(要更新)'!$E105&amp;'施設状況(要更新)'!$C105</f>
        <v/>
      </c>
      <c r="W105" s="27">
        <f>'施設状況(要更新)'!$F105</f>
        <v>0</v>
      </c>
      <c r="X105" s="28"/>
      <c r="Y105" s="27"/>
      <c r="Z105" s="27"/>
    </row>
    <row r="106" spans="1:27">
      <c r="A106" s="33"/>
      <c r="B106" s="25"/>
      <c r="C106" s="25"/>
      <c r="D106" s="25"/>
      <c r="E106" s="25"/>
      <c r="F106" s="25"/>
      <c r="G106" s="25"/>
      <c r="H106" s="25"/>
      <c r="I106" s="25"/>
      <c r="J106" s="25"/>
      <c r="K106" s="25"/>
      <c r="L106" s="25"/>
      <c r="M106" s="25"/>
      <c r="N106" s="25"/>
      <c r="O106" s="25"/>
      <c r="P106" s="25"/>
      <c r="Q106" s="25"/>
      <c r="R106" s="25"/>
      <c r="S106" s="26">
        <f t="shared" si="8"/>
        <v>0</v>
      </c>
      <c r="T106" s="26">
        <f>COUNTIF($V$4:V106,V106)</f>
        <v>95</v>
      </c>
      <c r="U106" s="26" t="str">
        <f>IF(T106=1,COUNTIF($T$4:T106,1),"")</f>
        <v/>
      </c>
      <c r="V106" s="27" t="str">
        <f>'施設状況(要更新)'!$E106&amp;'施設状況(要更新)'!$C106</f>
        <v/>
      </c>
      <c r="W106" s="27">
        <f>'施設状況(要更新)'!$F106</f>
        <v>0</v>
      </c>
      <c r="X106" s="28"/>
      <c r="Y106" s="27"/>
      <c r="Z106" s="27"/>
    </row>
    <row r="107" spans="1:27">
      <c r="A107" s="33"/>
      <c r="B107" s="25"/>
      <c r="C107" s="25"/>
      <c r="D107" s="25"/>
      <c r="E107" s="25"/>
      <c r="F107" s="25"/>
      <c r="G107" s="25"/>
      <c r="H107" s="25"/>
      <c r="I107" s="25"/>
      <c r="J107" s="25"/>
      <c r="K107" s="25"/>
      <c r="L107" s="25"/>
      <c r="M107" s="25"/>
      <c r="N107" s="25"/>
      <c r="O107" s="25"/>
      <c r="P107" s="25"/>
      <c r="Q107" s="25"/>
      <c r="R107" s="25"/>
      <c r="S107" s="26">
        <f t="shared" si="8"/>
        <v>0</v>
      </c>
      <c r="T107" s="26">
        <f>COUNTIF($V$4:V107,V107)</f>
        <v>96</v>
      </c>
      <c r="U107" s="26" t="str">
        <f>IF(T107=1,COUNTIF($T$4:T107,1),"")</f>
        <v/>
      </c>
      <c r="V107" s="27" t="str">
        <f>'施設状況(要更新)'!$E107&amp;'施設状況(要更新)'!$C107</f>
        <v/>
      </c>
      <c r="W107" s="27">
        <f>'施設状況(要更新)'!$F107</f>
        <v>0</v>
      </c>
      <c r="X107" s="28"/>
      <c r="Y107" s="27"/>
      <c r="Z107" s="27"/>
    </row>
    <row r="108" spans="1:27">
      <c r="A108" s="33"/>
      <c r="B108" s="25"/>
      <c r="C108" s="25"/>
      <c r="D108" s="25"/>
      <c r="E108" s="25"/>
      <c r="F108" s="25"/>
      <c r="G108" s="25"/>
      <c r="H108" s="25"/>
      <c r="I108" s="25"/>
      <c r="J108" s="25"/>
      <c r="K108" s="25"/>
      <c r="L108" s="25"/>
      <c r="M108" s="25"/>
      <c r="N108" s="25"/>
      <c r="O108" s="25"/>
      <c r="P108" s="25"/>
      <c r="Q108" s="25"/>
      <c r="R108" s="25"/>
      <c r="S108" s="26">
        <f t="shared" si="8"/>
        <v>0</v>
      </c>
      <c r="T108" s="26">
        <f>COUNTIF($V$4:V108,V108)</f>
        <v>97</v>
      </c>
      <c r="U108" s="26" t="str">
        <f>IF(T108=1,COUNTIF($T$4:T108,1),"")</f>
        <v/>
      </c>
      <c r="V108" s="27" t="str">
        <f>'施設状況(要更新)'!$E108&amp;'施設状況(要更新)'!$C108</f>
        <v/>
      </c>
      <c r="W108" s="27">
        <f>'施設状況(要更新)'!$F108</f>
        <v>0</v>
      </c>
      <c r="X108" s="28"/>
      <c r="Y108" s="27"/>
      <c r="Z108" s="27"/>
    </row>
    <row r="109" spans="1:27">
      <c r="A109" s="33"/>
      <c r="B109" s="25"/>
      <c r="C109" s="25"/>
      <c r="D109" s="25"/>
      <c r="E109" s="25"/>
      <c r="F109" s="25"/>
      <c r="G109" s="25"/>
      <c r="H109" s="25"/>
      <c r="I109" s="25"/>
      <c r="J109" s="25"/>
      <c r="K109" s="25"/>
      <c r="L109" s="25"/>
      <c r="M109" s="25"/>
      <c r="N109" s="25"/>
      <c r="O109" s="25"/>
      <c r="P109" s="25"/>
      <c r="Q109" s="25"/>
      <c r="R109" s="25"/>
      <c r="S109" s="26">
        <f t="shared" si="8"/>
        <v>0</v>
      </c>
      <c r="T109" s="26">
        <f>COUNTIF($V$4:V109,V109)</f>
        <v>98</v>
      </c>
      <c r="U109" s="26" t="str">
        <f>IF(T109=1,COUNTIF($T$4:T109,1),"")</f>
        <v/>
      </c>
      <c r="V109" s="27" t="str">
        <f>'施設状況(要更新)'!$E109&amp;'施設状況(要更新)'!$C109</f>
        <v/>
      </c>
      <c r="W109" s="27">
        <f>'施設状況(要更新)'!$F109</f>
        <v>0</v>
      </c>
      <c r="X109" s="28"/>
      <c r="Y109" s="27"/>
      <c r="Z109" s="27"/>
    </row>
    <row r="110" spans="1:27">
      <c r="A110" s="33"/>
      <c r="B110" s="25"/>
      <c r="C110" s="25"/>
      <c r="D110" s="25"/>
      <c r="E110" s="25"/>
      <c r="F110" s="25"/>
      <c r="G110" s="25"/>
      <c r="H110" s="25"/>
      <c r="I110" s="25"/>
      <c r="J110" s="25"/>
      <c r="K110" s="25"/>
      <c r="L110" s="25"/>
      <c r="M110" s="25"/>
      <c r="N110" s="25"/>
      <c r="O110" s="25"/>
      <c r="P110" s="25"/>
      <c r="Q110" s="25"/>
      <c r="R110" s="25"/>
      <c r="S110" s="26">
        <f t="shared" si="8"/>
        <v>0</v>
      </c>
      <c r="T110" s="26">
        <f>COUNTIF($V$4:V110,V110)</f>
        <v>99</v>
      </c>
      <c r="U110" s="26" t="str">
        <f>IF(T110=1,COUNTIF($T$4:T110,1),"")</f>
        <v/>
      </c>
      <c r="V110" s="27" t="str">
        <f>'施設状況(要更新)'!$E110&amp;'施設状況(要更新)'!$C110</f>
        <v/>
      </c>
      <c r="W110" s="27">
        <f>'施設状況(要更新)'!$F110</f>
        <v>0</v>
      </c>
      <c r="X110" s="28"/>
      <c r="Y110" s="27"/>
      <c r="Z110" s="27"/>
    </row>
    <row r="111" spans="1:27">
      <c r="A111" s="33"/>
      <c r="B111" s="25"/>
      <c r="C111" s="25"/>
      <c r="D111" s="25"/>
      <c r="E111" s="25"/>
      <c r="F111" s="25"/>
      <c r="G111" s="25"/>
      <c r="H111" s="25"/>
      <c r="I111" s="25"/>
      <c r="J111" s="25"/>
      <c r="K111" s="25"/>
      <c r="L111" s="25"/>
      <c r="M111" s="25"/>
      <c r="N111" s="25"/>
      <c r="O111" s="25"/>
      <c r="P111" s="25"/>
      <c r="Q111" s="25"/>
      <c r="R111" s="25"/>
      <c r="S111" s="26">
        <f t="shared" si="8"/>
        <v>0</v>
      </c>
      <c r="T111" s="26">
        <f>COUNTIF($V$4:V111,V111)</f>
        <v>100</v>
      </c>
      <c r="U111" s="26" t="str">
        <f>IF(T111=1,COUNTIF($T$4:T111,1),"")</f>
        <v/>
      </c>
      <c r="V111" s="27" t="str">
        <f>'施設状況(要更新)'!$E111&amp;'施設状況(要更新)'!$C111</f>
        <v/>
      </c>
      <c r="W111" s="27">
        <f>'施設状況(要更新)'!$F111</f>
        <v>0</v>
      </c>
      <c r="X111" s="28"/>
      <c r="Y111" s="27"/>
      <c r="Z111" s="27"/>
    </row>
    <row r="112" spans="1:27">
      <c r="A112" s="33"/>
      <c r="B112" s="25"/>
      <c r="C112" s="25"/>
      <c r="D112" s="25"/>
      <c r="E112" s="25"/>
      <c r="F112" s="25"/>
      <c r="G112" s="25"/>
      <c r="H112" s="25"/>
      <c r="I112" s="25"/>
      <c r="J112" s="25"/>
      <c r="K112" s="25"/>
      <c r="L112" s="25"/>
      <c r="M112" s="25"/>
      <c r="N112" s="25"/>
      <c r="O112" s="25"/>
      <c r="P112" s="25"/>
      <c r="Q112" s="25"/>
      <c r="R112" s="25"/>
      <c r="S112" s="26">
        <f t="shared" si="8"/>
        <v>0</v>
      </c>
      <c r="T112" s="26">
        <f>COUNTIF($V$4:V112,V112)</f>
        <v>101</v>
      </c>
      <c r="U112" s="26" t="str">
        <f>IF(T112=1,COUNTIF($T$4:T112,1),"")</f>
        <v/>
      </c>
      <c r="V112" s="27" t="str">
        <f>'施設状況(要更新)'!$E112&amp;'施設状況(要更新)'!$C112</f>
        <v/>
      </c>
      <c r="W112" s="27">
        <f>'施設状況(要更新)'!$F112</f>
        <v>0</v>
      </c>
      <c r="X112" s="28"/>
      <c r="Y112" s="27"/>
      <c r="Z112" s="27"/>
    </row>
    <row r="113" spans="1:26">
      <c r="A113" s="33"/>
      <c r="B113" s="25"/>
      <c r="C113" s="25"/>
      <c r="D113" s="25"/>
      <c r="E113" s="25"/>
      <c r="F113" s="25"/>
      <c r="G113" s="25"/>
      <c r="H113" s="25"/>
      <c r="I113" s="25"/>
      <c r="J113" s="25"/>
      <c r="K113" s="25"/>
      <c r="L113" s="25"/>
      <c r="M113" s="25"/>
      <c r="N113" s="25"/>
      <c r="O113" s="25"/>
      <c r="P113" s="25"/>
      <c r="Q113" s="25"/>
      <c r="R113" s="25"/>
      <c r="S113" s="26">
        <f t="shared" si="8"/>
        <v>0</v>
      </c>
      <c r="T113" s="26">
        <f>COUNTIF($V$4:V113,V113)</f>
        <v>102</v>
      </c>
      <c r="U113" s="26" t="str">
        <f>IF(T113=1,COUNTIF($T$4:T113,1),"")</f>
        <v/>
      </c>
      <c r="V113" s="27" t="str">
        <f>'施設状況(要更新)'!$E113&amp;'施設状況(要更新)'!$C113</f>
        <v/>
      </c>
      <c r="W113" s="27">
        <f>'施設状況(要更新)'!$F113</f>
        <v>0</v>
      </c>
      <c r="X113" s="28"/>
      <c r="Y113" s="27"/>
      <c r="Z113" s="27"/>
    </row>
    <row r="114" spans="1:26">
      <c r="A114" s="33"/>
      <c r="B114" s="25"/>
      <c r="C114" s="25"/>
      <c r="D114" s="25"/>
      <c r="E114" s="25"/>
      <c r="F114" s="25"/>
      <c r="G114" s="25"/>
      <c r="H114" s="25"/>
      <c r="I114" s="25"/>
      <c r="J114" s="25"/>
      <c r="K114" s="25"/>
      <c r="L114" s="25"/>
      <c r="M114" s="25"/>
      <c r="N114" s="25"/>
      <c r="O114" s="25"/>
      <c r="P114" s="25"/>
      <c r="Q114" s="25"/>
      <c r="R114" s="25"/>
      <c r="S114" s="26">
        <f t="shared" si="8"/>
        <v>0</v>
      </c>
      <c r="T114" s="26">
        <f>COUNTIF($V$4:V114,V114)</f>
        <v>103</v>
      </c>
      <c r="U114" s="26" t="str">
        <f>IF(T114=1,COUNTIF($T$4:T114,1),"")</f>
        <v/>
      </c>
      <c r="V114" s="27" t="str">
        <f>'施設状況(要更新)'!$E114&amp;'施設状況(要更新)'!$C114</f>
        <v/>
      </c>
      <c r="W114" s="27">
        <f>'施設状況(要更新)'!$F114</f>
        <v>0</v>
      </c>
      <c r="X114" s="28"/>
      <c r="Y114" s="27"/>
      <c r="Z114" s="27"/>
    </row>
    <row r="115" spans="1:26">
      <c r="A115" s="33"/>
      <c r="B115" s="25"/>
      <c r="C115" s="25"/>
      <c r="D115" s="25"/>
      <c r="E115" s="25"/>
      <c r="F115" s="25"/>
      <c r="G115" s="25"/>
      <c r="H115" s="25"/>
      <c r="I115" s="25"/>
      <c r="J115" s="25"/>
      <c r="K115" s="25"/>
      <c r="L115" s="25"/>
      <c r="M115" s="25"/>
      <c r="N115" s="25"/>
      <c r="O115" s="25"/>
      <c r="P115" s="25"/>
      <c r="Q115" s="25"/>
      <c r="R115" s="25"/>
      <c r="S115" s="26">
        <f t="shared" si="8"/>
        <v>0</v>
      </c>
      <c r="T115" s="26">
        <f>COUNTIF($V$4:V115,V115)</f>
        <v>104</v>
      </c>
      <c r="U115" s="26" t="str">
        <f>IF(T115=1,COUNTIF($T$4:T115,1),"")</f>
        <v/>
      </c>
      <c r="V115" s="27" t="str">
        <f>'施設状況(要更新)'!$E115&amp;'施設状況(要更新)'!$C115</f>
        <v/>
      </c>
      <c r="W115" s="27">
        <f>'施設状況(要更新)'!$F115</f>
        <v>0</v>
      </c>
      <c r="X115" s="28"/>
      <c r="Y115" s="27"/>
      <c r="Z115" s="27"/>
    </row>
    <row r="116" spans="1:26">
      <c r="A116" s="33"/>
      <c r="B116" s="25"/>
      <c r="C116" s="25"/>
      <c r="D116" s="25"/>
      <c r="E116" s="25"/>
      <c r="F116" s="25"/>
      <c r="G116" s="25"/>
      <c r="H116" s="25"/>
      <c r="I116" s="25"/>
      <c r="J116" s="25"/>
      <c r="K116" s="25"/>
      <c r="L116" s="25"/>
      <c r="M116" s="25"/>
      <c r="N116" s="25"/>
      <c r="O116" s="25"/>
      <c r="P116" s="25"/>
      <c r="Q116" s="25"/>
      <c r="R116" s="25"/>
      <c r="S116" s="26">
        <f t="shared" si="8"/>
        <v>0</v>
      </c>
      <c r="T116" s="26">
        <f>COUNTIF($V$4:V116,V116)</f>
        <v>105</v>
      </c>
      <c r="U116" s="26" t="str">
        <f>IF(T116=1,COUNTIF($T$4:T116,1),"")</f>
        <v/>
      </c>
      <c r="V116" s="27" t="str">
        <f>'施設状況(要更新)'!$E116&amp;'施設状況(要更新)'!$C116</f>
        <v/>
      </c>
      <c r="W116" s="27">
        <f>'施設状況(要更新)'!$F116</f>
        <v>0</v>
      </c>
      <c r="X116" s="28"/>
      <c r="Y116" s="27"/>
      <c r="Z116" s="27"/>
    </row>
    <row r="117" spans="1:26">
      <c r="A117" s="33"/>
      <c r="B117" s="25"/>
      <c r="C117" s="25"/>
      <c r="D117" s="25"/>
      <c r="E117" s="25"/>
      <c r="F117" s="25"/>
      <c r="G117" s="25"/>
      <c r="H117" s="25"/>
      <c r="I117" s="25"/>
      <c r="J117" s="25"/>
      <c r="K117" s="25"/>
      <c r="L117" s="25"/>
      <c r="M117" s="25"/>
      <c r="N117" s="25"/>
      <c r="O117" s="25"/>
      <c r="P117" s="25"/>
      <c r="Q117" s="25"/>
      <c r="R117" s="25"/>
      <c r="S117" s="26">
        <f t="shared" si="8"/>
        <v>0</v>
      </c>
      <c r="T117" s="26">
        <f>COUNTIF($V$4:V117,V117)</f>
        <v>106</v>
      </c>
      <c r="U117" s="26" t="str">
        <f>IF(T117=1,COUNTIF($T$4:T117,1),"")</f>
        <v/>
      </c>
      <c r="V117" s="27" t="str">
        <f>'施設状況(要更新)'!$E117&amp;'施設状況(要更新)'!$C117</f>
        <v/>
      </c>
      <c r="W117" s="27">
        <f>'施設状況(要更新)'!$F117</f>
        <v>0</v>
      </c>
      <c r="X117" s="28"/>
      <c r="Y117" s="27"/>
      <c r="Z117" s="27"/>
    </row>
    <row r="118" spans="1:26">
      <c r="A118" s="33"/>
      <c r="B118" s="25"/>
      <c r="C118" s="25"/>
      <c r="D118" s="25"/>
      <c r="E118" s="25"/>
      <c r="F118" s="25"/>
      <c r="G118" s="25"/>
      <c r="H118" s="25"/>
      <c r="I118" s="25"/>
      <c r="J118" s="25"/>
      <c r="K118" s="25"/>
      <c r="L118" s="25"/>
      <c r="M118" s="25"/>
      <c r="N118" s="25"/>
      <c r="O118" s="25"/>
      <c r="P118" s="25"/>
      <c r="Q118" s="25"/>
      <c r="R118" s="25"/>
      <c r="S118" s="26">
        <f t="shared" si="8"/>
        <v>0</v>
      </c>
      <c r="T118" s="26">
        <f>COUNTIF($V$4:V118,V118)</f>
        <v>107</v>
      </c>
      <c r="U118" s="26" t="str">
        <f>IF(T118=1,COUNTIF($T$4:T118,1),"")</f>
        <v/>
      </c>
      <c r="V118" s="27" t="str">
        <f>'施設状況(要更新)'!$E118&amp;'施設状況(要更新)'!$C118</f>
        <v/>
      </c>
      <c r="W118" s="27">
        <f>'施設状況(要更新)'!$F118</f>
        <v>0</v>
      </c>
      <c r="X118" s="28"/>
      <c r="Y118" s="27"/>
      <c r="Z118" s="27"/>
    </row>
    <row r="119" spans="1:26">
      <c r="A119" s="33"/>
      <c r="B119" s="25"/>
      <c r="C119" s="25"/>
      <c r="D119" s="25"/>
      <c r="E119" s="25"/>
      <c r="F119" s="25"/>
      <c r="G119" s="25"/>
      <c r="H119" s="25"/>
      <c r="I119" s="25"/>
      <c r="J119" s="25"/>
      <c r="K119" s="25"/>
      <c r="L119" s="25"/>
      <c r="M119" s="25"/>
      <c r="N119" s="25"/>
      <c r="O119" s="25"/>
      <c r="P119" s="25"/>
      <c r="Q119" s="25"/>
      <c r="R119" s="25"/>
      <c r="S119" s="26">
        <f t="shared" si="8"/>
        <v>0</v>
      </c>
      <c r="T119" s="26">
        <f>COUNTIF($V$4:V119,V119)</f>
        <v>108</v>
      </c>
      <c r="U119" s="26" t="str">
        <f>IF(T119=1,COUNTIF($T$4:T119,1),"")</f>
        <v/>
      </c>
      <c r="V119" s="27" t="str">
        <f>'施設状況(要更新)'!$E119&amp;'施設状況(要更新)'!$C119</f>
        <v/>
      </c>
      <c r="W119" s="27">
        <f>'施設状況(要更新)'!$F119</f>
        <v>0</v>
      </c>
      <c r="X119" s="28"/>
      <c r="Y119" s="27"/>
      <c r="Z119" s="27"/>
    </row>
    <row r="120" spans="1:26">
      <c r="A120" s="33"/>
      <c r="B120" s="25"/>
      <c r="C120" s="25"/>
      <c r="D120" s="25"/>
      <c r="E120" s="25"/>
      <c r="F120" s="25"/>
      <c r="G120" s="25"/>
      <c r="H120" s="25"/>
      <c r="I120" s="25"/>
      <c r="J120" s="25"/>
      <c r="K120" s="25"/>
      <c r="L120" s="25"/>
      <c r="M120" s="25"/>
      <c r="N120" s="25"/>
      <c r="O120" s="25"/>
      <c r="P120" s="25"/>
      <c r="Q120" s="25"/>
      <c r="R120" s="25"/>
      <c r="S120" s="26">
        <f t="shared" si="8"/>
        <v>0</v>
      </c>
      <c r="T120" s="26">
        <f>COUNTIF($V$4:V120,V120)</f>
        <v>109</v>
      </c>
      <c r="U120" s="26" t="str">
        <f>IF(T120=1,COUNTIF($T$4:T120,1),"")</f>
        <v/>
      </c>
      <c r="V120" s="27" t="str">
        <f>'施設状況(要更新)'!$E120&amp;'施設状況(要更新)'!$C120</f>
        <v/>
      </c>
      <c r="W120" s="27">
        <f>'施設状況(要更新)'!$F120</f>
        <v>0</v>
      </c>
      <c r="X120" s="28"/>
      <c r="Y120" s="27"/>
      <c r="Z120" s="27"/>
    </row>
    <row r="121" spans="1:26">
      <c r="A121" s="33"/>
      <c r="B121" s="25"/>
      <c r="C121" s="25"/>
      <c r="D121" s="25"/>
      <c r="E121" s="25"/>
      <c r="F121" s="25"/>
      <c r="G121" s="25"/>
      <c r="H121" s="25"/>
      <c r="I121" s="25"/>
      <c r="J121" s="25"/>
      <c r="K121" s="25"/>
      <c r="L121" s="25"/>
      <c r="M121" s="25"/>
      <c r="N121" s="25"/>
      <c r="O121" s="25"/>
      <c r="P121" s="25"/>
      <c r="Q121" s="25"/>
      <c r="R121" s="25"/>
      <c r="S121" s="26">
        <f t="shared" si="8"/>
        <v>0</v>
      </c>
      <c r="T121" s="26">
        <f>COUNTIF($V$4:V121,V121)</f>
        <v>110</v>
      </c>
      <c r="U121" s="26" t="str">
        <f>IF(T121=1,COUNTIF($T$4:T121,1),"")</f>
        <v/>
      </c>
      <c r="V121" s="27" t="str">
        <f>'施設状況(要更新)'!$E121&amp;'施設状況(要更新)'!$C121</f>
        <v/>
      </c>
      <c r="W121" s="27">
        <f>'施設状況(要更新)'!$F121</f>
        <v>0</v>
      </c>
      <c r="X121" s="28"/>
      <c r="Y121" s="27"/>
      <c r="Z121" s="27"/>
    </row>
    <row r="122" spans="1:26">
      <c r="A122" s="33"/>
      <c r="B122" s="25"/>
      <c r="C122" s="25"/>
      <c r="D122" s="25"/>
      <c r="E122" s="25"/>
      <c r="F122" s="25"/>
      <c r="G122" s="25"/>
      <c r="H122" s="25"/>
      <c r="I122" s="25"/>
      <c r="J122" s="25"/>
      <c r="K122" s="25"/>
      <c r="L122" s="25"/>
      <c r="M122" s="25"/>
      <c r="N122" s="25"/>
      <c r="O122" s="25"/>
      <c r="P122" s="25"/>
      <c r="Q122" s="25"/>
      <c r="R122" s="25"/>
      <c r="S122" s="26">
        <f t="shared" si="8"/>
        <v>0</v>
      </c>
      <c r="T122" s="26">
        <f>COUNTIF($V$4:V122,V122)</f>
        <v>111</v>
      </c>
      <c r="U122" s="26" t="str">
        <f>IF(T122=1,COUNTIF($T$4:T122,1),"")</f>
        <v/>
      </c>
      <c r="V122" s="27" t="str">
        <f>'施設状況(要更新)'!$E122&amp;'施設状況(要更新)'!$C122</f>
        <v/>
      </c>
      <c r="W122" s="27">
        <f>'施設状況(要更新)'!$F122</f>
        <v>0</v>
      </c>
      <c r="X122" s="28"/>
      <c r="Y122" s="27"/>
      <c r="Z122" s="27"/>
    </row>
    <row r="123" spans="1:26">
      <c r="A123" s="33"/>
      <c r="B123" s="25"/>
      <c r="C123" s="25"/>
      <c r="D123" s="25"/>
      <c r="E123" s="25"/>
      <c r="F123" s="25"/>
      <c r="G123" s="25"/>
      <c r="H123" s="25"/>
      <c r="I123" s="25"/>
      <c r="J123" s="25"/>
      <c r="K123" s="25"/>
      <c r="L123" s="25"/>
      <c r="M123" s="25"/>
      <c r="N123" s="25"/>
      <c r="O123" s="25"/>
      <c r="P123" s="25"/>
      <c r="Q123" s="25"/>
      <c r="R123" s="25"/>
      <c r="S123" s="26">
        <f t="shared" si="8"/>
        <v>0</v>
      </c>
      <c r="T123" s="26">
        <f>COUNTIF($V$4:V123,V123)</f>
        <v>112</v>
      </c>
      <c r="U123" s="26" t="str">
        <f>IF(T123=1,COUNTIF($T$4:T123,1),"")</f>
        <v/>
      </c>
      <c r="V123" s="27" t="str">
        <f>'施設状況(要更新)'!$E123&amp;'施設状況(要更新)'!$C123</f>
        <v/>
      </c>
      <c r="W123" s="27">
        <f>'施設状況(要更新)'!$F123</f>
        <v>0</v>
      </c>
      <c r="X123" s="28"/>
      <c r="Y123" s="27"/>
      <c r="Z123" s="27"/>
    </row>
    <row r="124" spans="1:26">
      <c r="A124" s="33"/>
      <c r="B124" s="25"/>
      <c r="C124" s="25"/>
      <c r="D124" s="25"/>
      <c r="E124" s="25"/>
      <c r="F124" s="25"/>
      <c r="G124" s="25"/>
      <c r="H124" s="25"/>
      <c r="I124" s="25"/>
      <c r="J124" s="25"/>
      <c r="K124" s="25"/>
      <c r="L124" s="25"/>
      <c r="M124" s="25"/>
      <c r="N124" s="25"/>
      <c r="O124" s="25"/>
      <c r="P124" s="25"/>
      <c r="Q124" s="25"/>
      <c r="R124" s="25"/>
      <c r="S124" s="26">
        <f t="shared" si="8"/>
        <v>0</v>
      </c>
      <c r="T124" s="26">
        <f>COUNTIF($V$4:V124,V124)</f>
        <v>113</v>
      </c>
      <c r="U124" s="26" t="str">
        <f>IF(T124=1,COUNTIF($T$4:T124,1),"")</f>
        <v/>
      </c>
      <c r="V124" s="27" t="str">
        <f>'施設状況(要更新)'!$E124&amp;'施設状況(要更新)'!$C124</f>
        <v/>
      </c>
      <c r="W124" s="27">
        <f>'施設状況(要更新)'!$F124</f>
        <v>0</v>
      </c>
      <c r="X124" s="28"/>
      <c r="Y124" s="27"/>
      <c r="Z124" s="27"/>
    </row>
    <row r="125" spans="1:26">
      <c r="A125" s="33"/>
      <c r="B125" s="25"/>
      <c r="C125" s="25"/>
      <c r="D125" s="25"/>
      <c r="E125" s="25"/>
      <c r="F125" s="25"/>
      <c r="G125" s="25"/>
      <c r="H125" s="25"/>
      <c r="I125" s="25"/>
      <c r="J125" s="25"/>
      <c r="K125" s="25"/>
      <c r="L125" s="25"/>
      <c r="M125" s="25"/>
      <c r="N125" s="25"/>
      <c r="O125" s="25"/>
      <c r="P125" s="25"/>
      <c r="Q125" s="25"/>
      <c r="R125" s="25"/>
      <c r="S125" s="26">
        <f t="shared" si="8"/>
        <v>0</v>
      </c>
      <c r="T125" s="26">
        <f>COUNTIF($V$4:V125,V125)</f>
        <v>114</v>
      </c>
      <c r="U125" s="26" t="str">
        <f>IF(T125=1,COUNTIF($T$4:T125,1),"")</f>
        <v/>
      </c>
      <c r="V125" s="27" t="str">
        <f>'施設状況(要更新)'!$E125&amp;'施設状況(要更新)'!$C125</f>
        <v/>
      </c>
      <c r="W125" s="27">
        <f>'施設状況(要更新)'!$F125</f>
        <v>0</v>
      </c>
      <c r="X125" s="28"/>
      <c r="Y125" s="27"/>
      <c r="Z125" s="27"/>
    </row>
    <row r="126" spans="1:26">
      <c r="A126" s="33"/>
      <c r="B126" s="25"/>
      <c r="C126" s="25"/>
      <c r="D126" s="25"/>
      <c r="E126" s="25"/>
      <c r="F126" s="25"/>
      <c r="G126" s="25"/>
      <c r="H126" s="25"/>
      <c r="I126" s="25"/>
      <c r="J126" s="25"/>
      <c r="K126" s="25"/>
      <c r="L126" s="25"/>
      <c r="M126" s="25"/>
      <c r="N126" s="25"/>
      <c r="O126" s="25"/>
      <c r="P126" s="25"/>
      <c r="Q126" s="25"/>
      <c r="R126" s="25"/>
      <c r="S126" s="26">
        <f t="shared" si="8"/>
        <v>0</v>
      </c>
      <c r="T126" s="26">
        <f>COUNTIF($V$4:V126,V126)</f>
        <v>115</v>
      </c>
      <c r="U126" s="26" t="str">
        <f>IF(T126=1,COUNTIF($T$4:T126,1),"")</f>
        <v/>
      </c>
      <c r="V126" s="27" t="str">
        <f>'施設状況(要更新)'!$E126&amp;'施設状況(要更新)'!$C126</f>
        <v/>
      </c>
      <c r="W126" s="27">
        <f>'施設状況(要更新)'!$F126</f>
        <v>0</v>
      </c>
      <c r="X126" s="28"/>
      <c r="Y126" s="27"/>
      <c r="Z126" s="27"/>
    </row>
    <row r="127" spans="1:26">
      <c r="A127" s="33"/>
      <c r="B127" s="25"/>
      <c r="C127" s="25"/>
      <c r="D127" s="25"/>
      <c r="E127" s="25"/>
      <c r="F127" s="25"/>
      <c r="G127" s="25"/>
      <c r="H127" s="25"/>
      <c r="I127" s="25"/>
      <c r="J127" s="25"/>
      <c r="K127" s="25"/>
      <c r="L127" s="25"/>
      <c r="M127" s="25"/>
      <c r="N127" s="25"/>
      <c r="O127" s="25"/>
      <c r="P127" s="25"/>
      <c r="Q127" s="25"/>
      <c r="R127" s="25"/>
      <c r="S127" s="26">
        <f t="shared" si="8"/>
        <v>0</v>
      </c>
      <c r="T127" s="26">
        <f>COUNTIF($V$4:V127,V127)</f>
        <v>116</v>
      </c>
      <c r="U127" s="26" t="str">
        <f>IF(T127=1,COUNTIF($T$4:T127,1),"")</f>
        <v/>
      </c>
      <c r="V127" s="27" t="str">
        <f>'施設状況(要更新)'!$E127&amp;'施設状況(要更新)'!$C127</f>
        <v/>
      </c>
      <c r="W127" s="27">
        <f>'施設状況(要更新)'!$F127</f>
        <v>0</v>
      </c>
      <c r="X127" s="28"/>
      <c r="Y127" s="27"/>
      <c r="Z127" s="27"/>
    </row>
    <row r="128" spans="1:26">
      <c r="A128" s="33"/>
      <c r="B128" s="25"/>
      <c r="C128" s="25"/>
      <c r="D128" s="25"/>
      <c r="E128" s="25"/>
      <c r="F128" s="25"/>
      <c r="G128" s="25"/>
      <c r="H128" s="25"/>
      <c r="I128" s="25"/>
      <c r="J128" s="25"/>
      <c r="K128" s="25"/>
      <c r="L128" s="25"/>
      <c r="M128" s="25"/>
      <c r="N128" s="25"/>
      <c r="O128" s="25"/>
      <c r="P128" s="25"/>
      <c r="Q128" s="25"/>
      <c r="R128" s="25"/>
      <c r="S128" s="26">
        <f t="shared" si="8"/>
        <v>0</v>
      </c>
      <c r="T128" s="26">
        <f>COUNTIF($V$4:V128,V128)</f>
        <v>117</v>
      </c>
      <c r="U128" s="26" t="str">
        <f>IF(T128=1,COUNTIF($T$4:T128,1),"")</f>
        <v/>
      </c>
      <c r="V128" s="27" t="str">
        <f>'施設状況(要更新)'!$E128&amp;'施設状況(要更新)'!$C128</f>
        <v/>
      </c>
      <c r="W128" s="27">
        <f>'施設状況(要更新)'!$F128</f>
        <v>0</v>
      </c>
      <c r="X128" s="28"/>
      <c r="Y128" s="27"/>
    </row>
    <row r="129" spans="1:33">
      <c r="A129" s="33"/>
      <c r="B129" s="25"/>
      <c r="C129" s="25"/>
      <c r="D129" s="25"/>
      <c r="E129" s="25"/>
      <c r="F129" s="25"/>
      <c r="G129" s="25"/>
      <c r="H129" s="25"/>
      <c r="I129" s="25"/>
      <c r="J129" s="25"/>
      <c r="K129" s="25"/>
      <c r="L129" s="25"/>
      <c r="M129" s="25"/>
      <c r="N129" s="25"/>
      <c r="O129" s="25"/>
      <c r="P129" s="25"/>
      <c r="Q129" s="25"/>
      <c r="R129" s="25"/>
      <c r="S129" s="26">
        <f t="shared" si="8"/>
        <v>0</v>
      </c>
      <c r="T129" s="26">
        <f>COUNTIF($V$4:V129,V129)</f>
        <v>118</v>
      </c>
      <c r="U129" s="26" t="str">
        <f>IF(T129=1,COUNTIF($T$4:T129,1),"")</f>
        <v/>
      </c>
      <c r="V129" s="27" t="str">
        <f>'施設状況(要更新)'!$E129&amp;'施設状況(要更新)'!$C129</f>
        <v/>
      </c>
      <c r="W129" s="27">
        <f>'施設状況(要更新)'!$F129</f>
        <v>0</v>
      </c>
      <c r="X129" s="28"/>
      <c r="Y129" s="27"/>
    </row>
    <row r="130" spans="1:33">
      <c r="A130" s="33"/>
      <c r="B130" s="25"/>
      <c r="C130" s="25"/>
      <c r="D130" s="25"/>
      <c r="E130" s="25"/>
      <c r="F130" s="25"/>
      <c r="G130" s="25"/>
      <c r="H130" s="25"/>
      <c r="I130" s="25"/>
      <c r="J130" s="25"/>
      <c r="K130" s="25"/>
      <c r="L130" s="25"/>
      <c r="M130" s="25"/>
      <c r="N130" s="25"/>
      <c r="O130" s="25"/>
      <c r="P130" s="25"/>
      <c r="Q130" s="25"/>
      <c r="R130" s="25"/>
      <c r="S130" s="26">
        <f t="shared" si="8"/>
        <v>0</v>
      </c>
      <c r="T130" s="26">
        <f>COUNTIF($V$4:V130,V130)</f>
        <v>119</v>
      </c>
      <c r="U130" s="26" t="str">
        <f>IF(T130=1,COUNTIF($T$4:T130,1),"")</f>
        <v/>
      </c>
      <c r="V130" s="27" t="str">
        <f>'施設状況(要更新)'!$E130&amp;'施設状況(要更新)'!$C130</f>
        <v/>
      </c>
      <c r="W130" s="27">
        <f>'施設状況(要更新)'!$F130</f>
        <v>0</v>
      </c>
      <c r="X130" s="28"/>
      <c r="Y130" s="27"/>
    </row>
    <row r="131" spans="1:33">
      <c r="A131" s="33"/>
      <c r="B131" s="25"/>
      <c r="C131" s="25"/>
      <c r="D131" s="25"/>
      <c r="E131" s="25"/>
      <c r="F131" s="25"/>
      <c r="G131" s="25"/>
      <c r="H131" s="25"/>
      <c r="I131" s="25"/>
      <c r="J131" s="25"/>
      <c r="K131" s="25"/>
      <c r="L131" s="25"/>
      <c r="M131" s="25"/>
      <c r="N131" s="25"/>
      <c r="O131" s="25"/>
      <c r="P131" s="25"/>
      <c r="Q131" s="25"/>
      <c r="R131" s="25"/>
      <c r="S131" s="26">
        <f t="shared" si="8"/>
        <v>0</v>
      </c>
      <c r="T131" s="26">
        <f>COUNTIF($V$4:V131,V131)</f>
        <v>120</v>
      </c>
      <c r="U131" s="26" t="str">
        <f>IF(T131=1,COUNTIF($T$4:T131,1),"")</f>
        <v/>
      </c>
      <c r="V131" s="27" t="str">
        <f>'施設状況(要更新)'!$E131&amp;'施設状況(要更新)'!$C131</f>
        <v/>
      </c>
      <c r="W131" s="27">
        <f>'施設状況(要更新)'!$F131</f>
        <v>0</v>
      </c>
      <c r="X131" s="28"/>
      <c r="Y131" s="27"/>
      <c r="Z131" s="44"/>
      <c r="AA131" s="44"/>
      <c r="AB131" s="44"/>
      <c r="AC131" s="44"/>
      <c r="AD131" s="44"/>
      <c r="AE131" s="44"/>
      <c r="AF131" s="44"/>
      <c r="AG131" s="44"/>
    </row>
    <row r="132" spans="1:33">
      <c r="A132" s="33"/>
      <c r="B132" s="25"/>
      <c r="C132" s="25"/>
      <c r="D132" s="25"/>
      <c r="E132" s="25"/>
      <c r="F132" s="25"/>
      <c r="G132" s="25"/>
      <c r="H132" s="25"/>
      <c r="I132" s="25"/>
      <c r="J132" s="25"/>
      <c r="K132" s="25"/>
      <c r="L132" s="25"/>
      <c r="M132" s="25"/>
      <c r="N132" s="25"/>
      <c r="O132" s="25"/>
      <c r="P132" s="25"/>
      <c r="Q132" s="25"/>
      <c r="R132" s="25"/>
      <c r="S132" s="26">
        <f t="shared" si="8"/>
        <v>0</v>
      </c>
      <c r="T132" s="26">
        <f>COUNTIF($V$4:V132,V132)</f>
        <v>121</v>
      </c>
      <c r="U132" s="26" t="str">
        <f>IF(T132=1,COUNTIF($T$4:T132,1),"")</f>
        <v/>
      </c>
      <c r="V132" s="27" t="str">
        <f>'施設状況(要更新)'!$E132&amp;'施設状況(要更新)'!$C132</f>
        <v/>
      </c>
      <c r="W132" s="27">
        <f>'施設状況(要更新)'!$F132</f>
        <v>0</v>
      </c>
      <c r="X132" s="28"/>
      <c r="Y132" s="27"/>
    </row>
    <row r="133" spans="1:33">
      <c r="A133" s="33"/>
      <c r="B133" s="25"/>
      <c r="C133" s="25"/>
      <c r="D133" s="25"/>
      <c r="E133" s="25"/>
      <c r="F133" s="25"/>
      <c r="G133" s="25"/>
      <c r="H133" s="25"/>
      <c r="I133" s="25"/>
      <c r="J133" s="25"/>
      <c r="K133" s="25"/>
      <c r="L133" s="25"/>
      <c r="M133" s="25"/>
      <c r="N133" s="25"/>
      <c r="O133" s="25"/>
      <c r="P133" s="25"/>
      <c r="Q133" s="25"/>
      <c r="R133" s="25"/>
      <c r="S133" s="26">
        <f t="shared" ref="S133:S196" si="9">A133</f>
        <v>0</v>
      </c>
      <c r="T133" s="26">
        <f>COUNTIF($V$4:V133,V133)</f>
        <v>122</v>
      </c>
      <c r="U133" s="26" t="str">
        <f>IF(T133=1,COUNTIF($T$4:T133,1),"")</f>
        <v/>
      </c>
      <c r="V133" s="27" t="str">
        <f>'施設状況(要更新)'!$E133&amp;'施設状況(要更新)'!$C133</f>
        <v/>
      </c>
      <c r="W133" s="27">
        <f>'施設状況(要更新)'!$F133</f>
        <v>0</v>
      </c>
      <c r="X133" s="28"/>
      <c r="Y133" s="27"/>
    </row>
    <row r="134" spans="1:33">
      <c r="A134" s="33"/>
      <c r="B134" s="25"/>
      <c r="C134" s="25"/>
      <c r="D134" s="25"/>
      <c r="E134" s="25"/>
      <c r="F134" s="25"/>
      <c r="G134" s="25"/>
      <c r="H134" s="25"/>
      <c r="I134" s="25"/>
      <c r="J134" s="25"/>
      <c r="K134" s="25"/>
      <c r="L134" s="25"/>
      <c r="M134" s="25"/>
      <c r="N134" s="25"/>
      <c r="O134" s="25"/>
      <c r="P134" s="25"/>
      <c r="Q134" s="25"/>
      <c r="R134" s="25"/>
      <c r="S134" s="26">
        <f t="shared" si="9"/>
        <v>0</v>
      </c>
      <c r="T134" s="26">
        <f>COUNTIF($V$4:V134,V134)</f>
        <v>123</v>
      </c>
      <c r="U134" s="26" t="str">
        <f>IF(T134=1,COUNTIF($T$4:T134,1),"")</f>
        <v/>
      </c>
      <c r="V134" s="27" t="str">
        <f>'施設状況(要更新)'!$E134&amp;'施設状況(要更新)'!$C134</f>
        <v/>
      </c>
      <c r="W134" s="27">
        <f>'施設状況(要更新)'!$F134</f>
        <v>0</v>
      </c>
      <c r="X134" s="28"/>
      <c r="Y134" s="27"/>
    </row>
    <row r="135" spans="1:33">
      <c r="A135" s="33"/>
      <c r="B135" s="25"/>
      <c r="C135" s="25"/>
      <c r="D135" s="25"/>
      <c r="E135" s="25"/>
      <c r="F135" s="25"/>
      <c r="G135" s="25"/>
      <c r="H135" s="25"/>
      <c r="I135" s="25"/>
      <c r="J135" s="25"/>
      <c r="K135" s="25"/>
      <c r="L135" s="25"/>
      <c r="M135" s="25"/>
      <c r="N135" s="25"/>
      <c r="O135" s="25"/>
      <c r="P135" s="25"/>
      <c r="Q135" s="25"/>
      <c r="R135" s="25"/>
      <c r="S135" s="26">
        <f t="shared" si="9"/>
        <v>0</v>
      </c>
      <c r="T135" s="26">
        <f>COUNTIF($V$4:V135,V135)</f>
        <v>124</v>
      </c>
      <c r="U135" s="26" t="str">
        <f>IF(T135=1,COUNTIF($T$4:T135,1),"")</f>
        <v/>
      </c>
      <c r="V135" s="27" t="str">
        <f>'施設状況(要更新)'!$E135&amp;'施設状況(要更新)'!$C135</f>
        <v/>
      </c>
      <c r="W135" s="27">
        <f>'施設状況(要更新)'!$F135</f>
        <v>0</v>
      </c>
      <c r="X135" s="28"/>
      <c r="Y135" s="27"/>
    </row>
    <row r="136" spans="1:33">
      <c r="A136" s="33"/>
      <c r="B136" s="25"/>
      <c r="C136" s="25"/>
      <c r="D136" s="25"/>
      <c r="E136" s="25"/>
      <c r="F136" s="25"/>
      <c r="G136" s="25"/>
      <c r="H136" s="25"/>
      <c r="I136" s="25"/>
      <c r="J136" s="25"/>
      <c r="K136" s="25"/>
      <c r="L136" s="25"/>
      <c r="M136" s="25"/>
      <c r="N136" s="25"/>
      <c r="O136" s="25"/>
      <c r="P136" s="25"/>
      <c r="Q136" s="25"/>
      <c r="R136" s="25"/>
      <c r="S136" s="26">
        <f t="shared" si="9"/>
        <v>0</v>
      </c>
      <c r="T136" s="26">
        <f>COUNTIF($V$4:V136,V136)</f>
        <v>125</v>
      </c>
      <c r="U136" s="26" t="str">
        <f>IF(T136=1,COUNTIF($T$4:T136,1),"")</f>
        <v/>
      </c>
      <c r="V136" s="27" t="str">
        <f>'施設状況(要更新)'!$E136&amp;'施設状況(要更新)'!$C136</f>
        <v/>
      </c>
      <c r="W136" s="27">
        <f>'施設状況(要更新)'!$F136</f>
        <v>0</v>
      </c>
      <c r="X136" s="28"/>
      <c r="Y136" s="27"/>
    </row>
    <row r="137" spans="1:33">
      <c r="A137" s="33"/>
      <c r="B137" s="25"/>
      <c r="C137" s="25"/>
      <c r="D137" s="25"/>
      <c r="E137" s="25"/>
      <c r="F137" s="25"/>
      <c r="G137" s="25"/>
      <c r="H137" s="25"/>
      <c r="I137" s="25"/>
      <c r="J137" s="25"/>
      <c r="K137" s="25"/>
      <c r="L137" s="25"/>
      <c r="M137" s="25"/>
      <c r="N137" s="25"/>
      <c r="O137" s="25"/>
      <c r="P137" s="25"/>
      <c r="Q137" s="25"/>
      <c r="R137" s="25"/>
      <c r="S137" s="26">
        <f t="shared" si="9"/>
        <v>0</v>
      </c>
      <c r="T137" s="26">
        <f>COUNTIF($V$4:V137,V137)</f>
        <v>126</v>
      </c>
      <c r="U137" s="26" t="str">
        <f>IF(T137=1,COUNTIF($T$4:T137,1),"")</f>
        <v/>
      </c>
      <c r="V137" s="27" t="str">
        <f>'施設状況(要更新)'!$E137&amp;'施設状況(要更新)'!$C137</f>
        <v/>
      </c>
      <c r="W137" s="27">
        <f>'施設状況(要更新)'!$F137</f>
        <v>0</v>
      </c>
      <c r="X137" s="28"/>
      <c r="Y137" s="27"/>
    </row>
    <row r="138" spans="1:33">
      <c r="A138" s="33"/>
      <c r="B138" s="25"/>
      <c r="C138" s="25"/>
      <c r="D138" s="25"/>
      <c r="E138" s="25"/>
      <c r="F138" s="25"/>
      <c r="G138" s="25"/>
      <c r="H138" s="25"/>
      <c r="I138" s="25"/>
      <c r="J138" s="25"/>
      <c r="K138" s="25"/>
      <c r="L138" s="25"/>
      <c r="M138" s="25"/>
      <c r="N138" s="25"/>
      <c r="O138" s="25"/>
      <c r="P138" s="25"/>
      <c r="Q138" s="25"/>
      <c r="R138" s="25"/>
      <c r="S138" s="26">
        <f t="shared" si="9"/>
        <v>0</v>
      </c>
      <c r="T138" s="26">
        <f>COUNTIF($V$4:V138,V138)</f>
        <v>127</v>
      </c>
      <c r="U138" s="26" t="str">
        <f>IF(T138=1,COUNTIF($T$4:T138,1),"")</f>
        <v/>
      </c>
      <c r="V138" s="27" t="str">
        <f>'施設状況(要更新)'!$E138&amp;'施設状況(要更新)'!$C138</f>
        <v/>
      </c>
      <c r="W138" s="27">
        <f>'施設状況(要更新)'!$F138</f>
        <v>0</v>
      </c>
      <c r="X138" s="28"/>
      <c r="Y138" s="27"/>
    </row>
    <row r="139" spans="1:33">
      <c r="A139" s="33"/>
      <c r="B139" s="25"/>
      <c r="C139" s="25"/>
      <c r="D139" s="25"/>
      <c r="E139" s="25"/>
      <c r="F139" s="25"/>
      <c r="G139" s="25"/>
      <c r="H139" s="25"/>
      <c r="I139" s="25"/>
      <c r="J139" s="25"/>
      <c r="K139" s="25"/>
      <c r="L139" s="25"/>
      <c r="M139" s="25"/>
      <c r="N139" s="25"/>
      <c r="O139" s="25"/>
      <c r="P139" s="25"/>
      <c r="Q139" s="25"/>
      <c r="R139" s="25"/>
      <c r="S139" s="26">
        <f t="shared" si="9"/>
        <v>0</v>
      </c>
      <c r="T139" s="26">
        <f>COUNTIF($V$4:V139,V139)</f>
        <v>128</v>
      </c>
      <c r="U139" s="26" t="str">
        <f>IF(T139=1,COUNTIF($T$4:T139,1),"")</f>
        <v/>
      </c>
      <c r="V139" s="27" t="str">
        <f>'施設状況(要更新)'!$E139&amp;'施設状況(要更新)'!$C139</f>
        <v/>
      </c>
      <c r="W139" s="27">
        <f>'施設状況(要更新)'!$F139</f>
        <v>0</v>
      </c>
      <c r="X139" s="28"/>
      <c r="Y139" s="27"/>
    </row>
    <row r="140" spans="1:33">
      <c r="A140" s="33"/>
      <c r="B140" s="25"/>
      <c r="C140" s="25"/>
      <c r="D140" s="25"/>
      <c r="E140" s="25"/>
      <c r="F140" s="25"/>
      <c r="G140" s="25"/>
      <c r="H140" s="25"/>
      <c r="I140" s="25"/>
      <c r="J140" s="25"/>
      <c r="K140" s="25"/>
      <c r="L140" s="25"/>
      <c r="M140" s="25"/>
      <c r="N140" s="25"/>
      <c r="O140" s="25"/>
      <c r="P140" s="25"/>
      <c r="Q140" s="25"/>
      <c r="R140" s="25"/>
      <c r="S140" s="26">
        <f t="shared" si="9"/>
        <v>0</v>
      </c>
      <c r="T140" s="26">
        <f>COUNTIF($V$4:V140,V140)</f>
        <v>129</v>
      </c>
      <c r="U140" s="26" t="str">
        <f>IF(T140=1,COUNTIF($T$4:T140,1),"")</f>
        <v/>
      </c>
      <c r="V140" s="27" t="str">
        <f>'施設状況(要更新)'!$E140&amp;'施設状況(要更新)'!$C140</f>
        <v/>
      </c>
      <c r="W140" s="27">
        <f>'施設状況(要更新)'!$F140</f>
        <v>0</v>
      </c>
      <c r="X140" s="28"/>
      <c r="Y140" s="27"/>
    </row>
    <row r="141" spans="1:33">
      <c r="A141" s="33"/>
      <c r="B141" s="25"/>
      <c r="C141" s="25"/>
      <c r="D141" s="25"/>
      <c r="E141" s="25"/>
      <c r="F141" s="25"/>
      <c r="G141" s="25"/>
      <c r="H141" s="25"/>
      <c r="I141" s="25"/>
      <c r="J141" s="25"/>
      <c r="K141" s="25"/>
      <c r="L141" s="25"/>
      <c r="M141" s="25"/>
      <c r="N141" s="25"/>
      <c r="O141" s="25"/>
      <c r="P141" s="25"/>
      <c r="Q141" s="25"/>
      <c r="R141" s="25"/>
      <c r="S141" s="26">
        <f t="shared" si="9"/>
        <v>0</v>
      </c>
      <c r="T141" s="26">
        <f>COUNTIF($V$4:V141,V141)</f>
        <v>130</v>
      </c>
      <c r="U141" s="26" t="str">
        <f>IF(T141=1,COUNTIF($T$4:T141,1),"")</f>
        <v/>
      </c>
      <c r="V141" s="27" t="str">
        <f>'施設状況(要更新)'!$E141&amp;'施設状況(要更新)'!$C141</f>
        <v/>
      </c>
      <c r="W141" s="27">
        <f>'施設状況(要更新)'!$F141</f>
        <v>0</v>
      </c>
      <c r="X141" s="28"/>
      <c r="Y141" s="27"/>
    </row>
    <row r="142" spans="1:33">
      <c r="A142" s="33"/>
      <c r="B142" s="25"/>
      <c r="C142" s="25"/>
      <c r="D142" s="25"/>
      <c r="E142" s="25"/>
      <c r="F142" s="25"/>
      <c r="G142" s="25"/>
      <c r="H142" s="25"/>
      <c r="I142" s="25"/>
      <c r="J142" s="25"/>
      <c r="K142" s="25"/>
      <c r="L142" s="25"/>
      <c r="M142" s="25"/>
      <c r="N142" s="25"/>
      <c r="O142" s="25"/>
      <c r="P142" s="25"/>
      <c r="Q142" s="25"/>
      <c r="R142" s="25"/>
      <c r="S142" s="26">
        <f t="shared" si="9"/>
        <v>0</v>
      </c>
      <c r="T142" s="26">
        <f>COUNTIF($V$4:V142,V142)</f>
        <v>131</v>
      </c>
      <c r="U142" s="26" t="str">
        <f>IF(T142=1,COUNTIF($T$4:T142,1),"")</f>
        <v/>
      </c>
      <c r="V142" s="27" t="str">
        <f>'施設状況(要更新)'!$E142&amp;'施設状況(要更新)'!$C142</f>
        <v/>
      </c>
      <c r="W142" s="27">
        <f>'施設状況(要更新)'!$F142</f>
        <v>0</v>
      </c>
      <c r="X142" s="28"/>
      <c r="Y142" s="27"/>
    </row>
    <row r="143" spans="1:33">
      <c r="A143" s="33"/>
      <c r="B143" s="25"/>
      <c r="C143" s="25"/>
      <c r="D143" s="25"/>
      <c r="E143" s="25"/>
      <c r="F143" s="25"/>
      <c r="G143" s="25"/>
      <c r="H143" s="25"/>
      <c r="I143" s="25"/>
      <c r="J143" s="25"/>
      <c r="K143" s="25"/>
      <c r="L143" s="25"/>
      <c r="M143" s="25"/>
      <c r="N143" s="25"/>
      <c r="O143" s="25"/>
      <c r="P143" s="25"/>
      <c r="Q143" s="25"/>
      <c r="R143" s="25"/>
      <c r="S143" s="26">
        <f t="shared" si="9"/>
        <v>0</v>
      </c>
      <c r="T143" s="26">
        <f>COUNTIF($V$4:V143,V143)</f>
        <v>132</v>
      </c>
      <c r="U143" s="26" t="str">
        <f>IF(T143=1,COUNTIF($T$4:T143,1),"")</f>
        <v/>
      </c>
      <c r="V143" s="27" t="str">
        <f>'施設状況(要更新)'!$E143&amp;'施設状況(要更新)'!$C143</f>
        <v/>
      </c>
      <c r="W143" s="27">
        <f>'施設状況(要更新)'!$F143</f>
        <v>0</v>
      </c>
      <c r="X143" s="28"/>
      <c r="Y143" s="27"/>
    </row>
    <row r="144" spans="1:33">
      <c r="A144" s="33"/>
      <c r="B144" s="25"/>
      <c r="C144" s="25"/>
      <c r="D144" s="25"/>
      <c r="E144" s="25"/>
      <c r="F144" s="25"/>
      <c r="G144" s="25"/>
      <c r="H144" s="25"/>
      <c r="I144" s="25"/>
      <c r="J144" s="25"/>
      <c r="K144" s="25"/>
      <c r="L144" s="25"/>
      <c r="M144" s="25"/>
      <c r="N144" s="25"/>
      <c r="O144" s="25"/>
      <c r="P144" s="25"/>
      <c r="Q144" s="25"/>
      <c r="R144" s="25"/>
      <c r="S144" s="26">
        <f t="shared" si="9"/>
        <v>0</v>
      </c>
      <c r="T144" s="26">
        <f>COUNTIF($V$4:V144,V144)</f>
        <v>133</v>
      </c>
      <c r="U144" s="26" t="str">
        <f>IF(T144=1,COUNTIF($T$4:T144,1),"")</f>
        <v/>
      </c>
      <c r="V144" s="27" t="str">
        <f>'施設状況(要更新)'!$E144&amp;'施設状況(要更新)'!$C144</f>
        <v/>
      </c>
      <c r="W144" s="27">
        <f>'施設状況(要更新)'!$F144</f>
        <v>0</v>
      </c>
      <c r="X144" s="28"/>
      <c r="Y144" s="27"/>
    </row>
    <row r="145" spans="1:33">
      <c r="A145" s="33"/>
      <c r="B145" s="25"/>
      <c r="C145" s="25"/>
      <c r="D145" s="25"/>
      <c r="E145" s="25"/>
      <c r="F145" s="25"/>
      <c r="G145" s="25"/>
      <c r="H145" s="25"/>
      <c r="I145" s="25"/>
      <c r="J145" s="25"/>
      <c r="K145" s="25"/>
      <c r="L145" s="25"/>
      <c r="M145" s="25"/>
      <c r="N145" s="25"/>
      <c r="O145" s="25"/>
      <c r="P145" s="25"/>
      <c r="Q145" s="25"/>
      <c r="R145" s="25"/>
      <c r="S145" s="26">
        <f t="shared" si="9"/>
        <v>0</v>
      </c>
      <c r="T145" s="26">
        <f>COUNTIF($V$4:V145,V145)</f>
        <v>134</v>
      </c>
      <c r="U145" s="26" t="str">
        <f>IF(T145=1,COUNTIF($T$4:T145,1),"")</f>
        <v/>
      </c>
      <c r="V145" s="27" t="str">
        <f>'施設状況(要更新)'!$E145&amp;'施設状況(要更新)'!$C145</f>
        <v/>
      </c>
      <c r="W145" s="27">
        <f>'施設状況(要更新)'!$F145</f>
        <v>0</v>
      </c>
      <c r="X145" s="28"/>
      <c r="Y145" s="27"/>
    </row>
    <row r="146" spans="1:33">
      <c r="A146" s="33"/>
      <c r="B146" s="25"/>
      <c r="C146" s="25"/>
      <c r="D146" s="25"/>
      <c r="E146" s="25"/>
      <c r="F146" s="25"/>
      <c r="G146" s="25"/>
      <c r="H146" s="25"/>
      <c r="I146" s="25"/>
      <c r="J146" s="25"/>
      <c r="K146" s="25"/>
      <c r="L146" s="25"/>
      <c r="M146" s="25"/>
      <c r="N146" s="25"/>
      <c r="O146" s="25"/>
      <c r="P146" s="25"/>
      <c r="Q146" s="25"/>
      <c r="R146" s="25"/>
      <c r="S146" s="26">
        <f t="shared" si="9"/>
        <v>0</v>
      </c>
      <c r="T146" s="26">
        <f>COUNTIF($V$4:V146,V146)</f>
        <v>135</v>
      </c>
      <c r="U146" s="26" t="str">
        <f>IF(T146=1,COUNTIF($T$4:T146,1),"")</f>
        <v/>
      </c>
      <c r="V146" s="27" t="str">
        <f>'施設状況(要更新)'!$E146&amp;'施設状況(要更新)'!$C146</f>
        <v/>
      </c>
      <c r="W146" s="27">
        <f>'施設状況(要更新)'!$F146</f>
        <v>0</v>
      </c>
      <c r="X146" s="28"/>
      <c r="Y146" s="27"/>
    </row>
    <row r="147" spans="1:33">
      <c r="A147" s="33"/>
      <c r="B147" s="25"/>
      <c r="C147" s="25"/>
      <c r="D147" s="25"/>
      <c r="E147" s="25"/>
      <c r="F147" s="25"/>
      <c r="G147" s="25"/>
      <c r="H147" s="25"/>
      <c r="I147" s="25"/>
      <c r="J147" s="25"/>
      <c r="K147" s="25"/>
      <c r="L147" s="25"/>
      <c r="M147" s="25"/>
      <c r="N147" s="25"/>
      <c r="O147" s="25"/>
      <c r="P147" s="25"/>
      <c r="Q147" s="25"/>
      <c r="R147" s="25"/>
      <c r="S147" s="26">
        <f t="shared" si="9"/>
        <v>0</v>
      </c>
      <c r="T147" s="26">
        <f>COUNTIF($V$4:V147,V147)</f>
        <v>136</v>
      </c>
      <c r="U147" s="26" t="str">
        <f>IF(T147=1,COUNTIF($T$4:T147,1),"")</f>
        <v/>
      </c>
      <c r="V147" s="27" t="str">
        <f>'施設状況(要更新)'!$E147&amp;'施設状況(要更新)'!$C147</f>
        <v/>
      </c>
      <c r="W147" s="27">
        <f>'施設状況(要更新)'!$F147</f>
        <v>0</v>
      </c>
      <c r="X147" s="28"/>
      <c r="Y147" s="27"/>
    </row>
    <row r="148" spans="1:33">
      <c r="A148" s="33"/>
      <c r="B148" s="25"/>
      <c r="C148" s="25"/>
      <c r="D148" s="25"/>
      <c r="E148" s="25"/>
      <c r="F148" s="25"/>
      <c r="G148" s="25"/>
      <c r="H148" s="25"/>
      <c r="I148" s="25"/>
      <c r="J148" s="25"/>
      <c r="K148" s="25"/>
      <c r="L148" s="25"/>
      <c r="M148" s="25"/>
      <c r="N148" s="25"/>
      <c r="O148" s="25"/>
      <c r="P148" s="25"/>
      <c r="Q148" s="25"/>
      <c r="R148" s="25"/>
      <c r="S148" s="26">
        <f t="shared" si="9"/>
        <v>0</v>
      </c>
      <c r="T148" s="26">
        <f>COUNTIF($V$4:V148,V148)</f>
        <v>137</v>
      </c>
      <c r="U148" s="26" t="str">
        <f>IF(T148=1,COUNTIF($T$4:T148,1),"")</f>
        <v/>
      </c>
      <c r="V148" s="27" t="str">
        <f>'施設状況(要更新)'!$E148&amp;'施設状況(要更新)'!$C148</f>
        <v/>
      </c>
      <c r="W148" s="27">
        <f>'施設状況(要更新)'!$F148</f>
        <v>0</v>
      </c>
      <c r="X148" s="28"/>
      <c r="Y148" s="27"/>
    </row>
    <row r="149" spans="1:33">
      <c r="A149" s="33"/>
      <c r="B149" s="25"/>
      <c r="C149" s="25"/>
      <c r="D149" s="25"/>
      <c r="E149" s="25"/>
      <c r="F149" s="25"/>
      <c r="G149" s="25"/>
      <c r="H149" s="25"/>
      <c r="I149" s="25"/>
      <c r="J149" s="25"/>
      <c r="K149" s="25"/>
      <c r="L149" s="25"/>
      <c r="M149" s="25"/>
      <c r="N149" s="25"/>
      <c r="O149" s="25"/>
      <c r="P149" s="25"/>
      <c r="Q149" s="25"/>
      <c r="R149" s="25"/>
      <c r="S149" s="26">
        <f t="shared" si="9"/>
        <v>0</v>
      </c>
      <c r="T149" s="26">
        <f>COUNTIF($V$4:V149,V149)</f>
        <v>138</v>
      </c>
      <c r="U149" s="26" t="str">
        <f>IF(T149=1,COUNTIF($T$4:T149,1),"")</f>
        <v/>
      </c>
      <c r="V149" s="27" t="str">
        <f>'施設状況(要更新)'!$E149&amp;'施設状況(要更新)'!$C149</f>
        <v/>
      </c>
      <c r="W149" s="27">
        <f>'施設状況(要更新)'!$F149</f>
        <v>0</v>
      </c>
      <c r="X149" s="28"/>
      <c r="Y149" s="27"/>
    </row>
    <row r="150" spans="1:33">
      <c r="A150" s="33"/>
      <c r="B150" s="25"/>
      <c r="C150" s="25"/>
      <c r="D150" s="25"/>
      <c r="E150" s="25"/>
      <c r="F150" s="25"/>
      <c r="G150" s="25"/>
      <c r="H150" s="25"/>
      <c r="I150" s="25"/>
      <c r="J150" s="25"/>
      <c r="K150" s="25"/>
      <c r="L150" s="25"/>
      <c r="M150" s="25"/>
      <c r="N150" s="25"/>
      <c r="O150" s="25"/>
      <c r="P150" s="25"/>
      <c r="Q150" s="25"/>
      <c r="R150" s="25"/>
      <c r="S150" s="26">
        <f t="shared" si="9"/>
        <v>0</v>
      </c>
      <c r="T150" s="26">
        <f>COUNTIF($V$4:V150,V150)</f>
        <v>139</v>
      </c>
      <c r="U150" s="26" t="str">
        <f>IF(T150=1,COUNTIF($T$4:T150,1),"")</f>
        <v/>
      </c>
      <c r="V150" s="27" t="str">
        <f>'施設状況(要更新)'!$E150&amp;'施設状況(要更新)'!$C150</f>
        <v/>
      </c>
      <c r="W150" s="27">
        <f>'施設状況(要更新)'!$F150</f>
        <v>0</v>
      </c>
      <c r="X150" s="28"/>
      <c r="Y150" s="27"/>
    </row>
    <row r="151" spans="1:33">
      <c r="A151" s="33"/>
      <c r="B151" s="25"/>
      <c r="C151" s="25"/>
      <c r="D151" s="25"/>
      <c r="E151" s="25"/>
      <c r="F151" s="25"/>
      <c r="G151" s="25"/>
      <c r="H151" s="25"/>
      <c r="I151" s="25"/>
      <c r="J151" s="25"/>
      <c r="K151" s="25"/>
      <c r="L151" s="25"/>
      <c r="M151" s="25"/>
      <c r="N151" s="25"/>
      <c r="O151" s="25"/>
      <c r="P151" s="25"/>
      <c r="Q151" s="25"/>
      <c r="R151" s="25"/>
      <c r="S151" s="26">
        <f t="shared" si="9"/>
        <v>0</v>
      </c>
      <c r="T151" s="26">
        <f>COUNTIF($V$4:V151,V151)</f>
        <v>140</v>
      </c>
      <c r="U151" s="26" t="str">
        <f>IF(T151=1,COUNTIF($T$4:T151,1),"")</f>
        <v/>
      </c>
      <c r="V151" s="27" t="str">
        <f>'施設状況(要更新)'!$E151&amp;'施設状況(要更新)'!$C151</f>
        <v/>
      </c>
      <c r="W151" s="27">
        <f>'施設状況(要更新)'!$F151</f>
        <v>0</v>
      </c>
      <c r="X151" s="28"/>
      <c r="Y151" s="27"/>
    </row>
    <row r="152" spans="1:33">
      <c r="A152" s="33"/>
      <c r="B152" s="25"/>
      <c r="C152" s="25"/>
      <c r="D152" s="25"/>
      <c r="E152" s="25"/>
      <c r="F152" s="25"/>
      <c r="G152" s="25"/>
      <c r="H152" s="25"/>
      <c r="I152" s="25"/>
      <c r="J152" s="25"/>
      <c r="K152" s="25"/>
      <c r="L152" s="25"/>
      <c r="M152" s="25"/>
      <c r="N152" s="25"/>
      <c r="O152" s="25"/>
      <c r="P152" s="25"/>
      <c r="Q152" s="25"/>
      <c r="R152" s="25"/>
      <c r="S152" s="26">
        <f t="shared" si="9"/>
        <v>0</v>
      </c>
      <c r="T152" s="26">
        <f>COUNTIF($V$4:V152,V152)</f>
        <v>141</v>
      </c>
      <c r="U152" s="26" t="str">
        <f>IF(T152=1,COUNTIF($T$4:T152,1),"")</f>
        <v/>
      </c>
      <c r="V152" s="27" t="str">
        <f>'施設状況(要更新)'!$E152&amp;'施設状況(要更新)'!$C152</f>
        <v/>
      </c>
      <c r="W152" s="27">
        <f>'施設状況(要更新)'!$F152</f>
        <v>0</v>
      </c>
      <c r="X152" s="28"/>
      <c r="Y152" s="27"/>
    </row>
    <row r="153" spans="1:33">
      <c r="A153" s="33"/>
      <c r="B153" s="25"/>
      <c r="C153" s="25"/>
      <c r="D153" s="25"/>
      <c r="E153" s="25"/>
      <c r="F153" s="25"/>
      <c r="G153" s="25"/>
      <c r="H153" s="25"/>
      <c r="I153" s="25"/>
      <c r="J153" s="25"/>
      <c r="K153" s="25"/>
      <c r="L153" s="25"/>
      <c r="M153" s="25"/>
      <c r="N153" s="25"/>
      <c r="O153" s="25"/>
      <c r="P153" s="25"/>
      <c r="Q153" s="25"/>
      <c r="R153" s="25"/>
      <c r="S153" s="26">
        <f t="shared" si="9"/>
        <v>0</v>
      </c>
      <c r="T153" s="26">
        <f>COUNTIF($V$4:V153,V153)</f>
        <v>142</v>
      </c>
      <c r="U153" s="26" t="str">
        <f>IF(T153=1,COUNTIF($T$4:T153,1),"")</f>
        <v/>
      </c>
      <c r="V153" s="27" t="str">
        <f>'施設状況(要更新)'!$E153&amp;'施設状況(要更新)'!$C153</f>
        <v/>
      </c>
      <c r="W153" s="27">
        <f>'施設状況(要更新)'!$F153</f>
        <v>0</v>
      </c>
      <c r="X153" s="28"/>
      <c r="Y153" s="27"/>
    </row>
    <row r="154" spans="1:33">
      <c r="A154" s="33"/>
      <c r="B154" s="25"/>
      <c r="C154" s="25"/>
      <c r="D154" s="25"/>
      <c r="E154" s="25"/>
      <c r="F154" s="25"/>
      <c r="G154" s="25"/>
      <c r="H154" s="25"/>
      <c r="I154" s="25"/>
      <c r="J154" s="25"/>
      <c r="K154" s="25"/>
      <c r="L154" s="25"/>
      <c r="M154" s="25"/>
      <c r="N154" s="25"/>
      <c r="O154" s="25"/>
      <c r="P154" s="25"/>
      <c r="Q154" s="25"/>
      <c r="R154" s="25"/>
      <c r="S154" s="26">
        <f t="shared" si="9"/>
        <v>0</v>
      </c>
      <c r="T154" s="26">
        <f>COUNTIF($V$4:V154,V154)</f>
        <v>143</v>
      </c>
      <c r="U154" s="26" t="str">
        <f>IF(T154=1,COUNTIF($T$4:T154,1),"")</f>
        <v/>
      </c>
      <c r="V154" s="27" t="str">
        <f>'施設状況(要更新)'!$E154&amp;'施設状況(要更新)'!$C154</f>
        <v/>
      </c>
      <c r="W154" s="27">
        <f>'施設状況(要更新)'!$F154</f>
        <v>0</v>
      </c>
      <c r="X154" s="28"/>
      <c r="Y154" s="27"/>
      <c r="Z154" s="27"/>
      <c r="AA154" s="27"/>
      <c r="AB154" s="27"/>
      <c r="AC154" s="27"/>
      <c r="AD154" s="27"/>
      <c r="AE154" s="27"/>
      <c r="AF154" s="27"/>
      <c r="AG154" s="27"/>
    </row>
    <row r="155" spans="1:33">
      <c r="A155" s="33"/>
      <c r="B155" s="25"/>
      <c r="C155" s="25"/>
      <c r="D155" s="25"/>
      <c r="E155" s="25"/>
      <c r="F155" s="25"/>
      <c r="G155" s="25"/>
      <c r="H155" s="25"/>
      <c r="I155" s="25"/>
      <c r="J155" s="25"/>
      <c r="K155" s="25"/>
      <c r="L155" s="25"/>
      <c r="M155" s="25"/>
      <c r="N155" s="25"/>
      <c r="O155" s="25"/>
      <c r="P155" s="25"/>
      <c r="Q155" s="25"/>
      <c r="R155" s="25"/>
      <c r="S155" s="26">
        <f t="shared" si="9"/>
        <v>0</v>
      </c>
      <c r="T155" s="26">
        <f>COUNTIF($V$4:V155,V155)</f>
        <v>144</v>
      </c>
      <c r="U155" s="26" t="str">
        <f>IF(T155=1,COUNTIF($T$4:T155,1),"")</f>
        <v/>
      </c>
      <c r="V155" s="27" t="str">
        <f>'施設状況(要更新)'!$E155&amp;'施設状況(要更新)'!$C155</f>
        <v/>
      </c>
      <c r="W155" s="27">
        <f>'施設状況(要更新)'!$F155</f>
        <v>0</v>
      </c>
      <c r="X155" s="28"/>
      <c r="Y155" s="27"/>
    </row>
    <row r="156" spans="1:33">
      <c r="A156" s="33"/>
      <c r="B156" s="25"/>
      <c r="C156" s="25"/>
      <c r="D156" s="25"/>
      <c r="E156" s="25"/>
      <c r="F156" s="25"/>
      <c r="G156" s="25"/>
      <c r="H156" s="25"/>
      <c r="I156" s="25"/>
      <c r="J156" s="25"/>
      <c r="K156" s="25"/>
      <c r="L156" s="25"/>
      <c r="M156" s="25"/>
      <c r="N156" s="25"/>
      <c r="O156" s="25"/>
      <c r="P156" s="25"/>
      <c r="Q156" s="25"/>
      <c r="R156" s="25"/>
      <c r="S156" s="26">
        <f t="shared" si="9"/>
        <v>0</v>
      </c>
      <c r="T156" s="26">
        <f>COUNTIF($V$4:V156,V156)</f>
        <v>145</v>
      </c>
      <c r="U156" s="26" t="str">
        <f>IF(T156=1,COUNTIF($T$4:T156,1),"")</f>
        <v/>
      </c>
      <c r="V156" s="27" t="str">
        <f>'施設状況(要更新)'!$E156&amp;'施設状況(要更新)'!$C156</f>
        <v/>
      </c>
      <c r="W156" s="27">
        <f>'施設状況(要更新)'!$F156</f>
        <v>0</v>
      </c>
      <c r="X156" s="28"/>
      <c r="Y156" s="27"/>
    </row>
    <row r="157" spans="1:33">
      <c r="A157" s="33"/>
      <c r="B157" s="25"/>
      <c r="C157" s="25"/>
      <c r="D157" s="25"/>
      <c r="E157" s="25"/>
      <c r="F157" s="25"/>
      <c r="G157" s="25"/>
      <c r="H157" s="25"/>
      <c r="I157" s="25"/>
      <c r="J157" s="25"/>
      <c r="K157" s="25"/>
      <c r="L157" s="25"/>
      <c r="M157" s="25"/>
      <c r="N157" s="25"/>
      <c r="O157" s="25"/>
      <c r="P157" s="25"/>
      <c r="Q157" s="25"/>
      <c r="R157" s="25"/>
      <c r="S157" s="26">
        <f t="shared" si="9"/>
        <v>0</v>
      </c>
      <c r="T157" s="26">
        <f>COUNTIF($V$4:V157,V157)</f>
        <v>146</v>
      </c>
      <c r="U157" s="26" t="str">
        <f>IF(T157=1,COUNTIF($T$4:T157,1),"")</f>
        <v/>
      </c>
      <c r="V157" s="27" t="str">
        <f>'施設状況(要更新)'!$E157&amp;'施設状況(要更新)'!$C157</f>
        <v/>
      </c>
      <c r="W157" s="27">
        <f>'施設状況(要更新)'!$F157</f>
        <v>0</v>
      </c>
      <c r="X157" s="28"/>
      <c r="Y157" s="27"/>
    </row>
    <row r="158" spans="1:33">
      <c r="A158" s="33"/>
      <c r="B158" s="25"/>
      <c r="C158" s="25"/>
      <c r="D158" s="25"/>
      <c r="E158" s="25"/>
      <c r="F158" s="25"/>
      <c r="G158" s="25"/>
      <c r="H158" s="25"/>
      <c r="I158" s="25"/>
      <c r="J158" s="25"/>
      <c r="K158" s="25"/>
      <c r="L158" s="25"/>
      <c r="M158" s="25"/>
      <c r="N158" s="25"/>
      <c r="O158" s="25"/>
      <c r="P158" s="25"/>
      <c r="Q158" s="25"/>
      <c r="R158" s="25"/>
      <c r="S158" s="26">
        <f t="shared" si="9"/>
        <v>0</v>
      </c>
      <c r="T158" s="26">
        <f>COUNTIF($V$4:V158,V158)</f>
        <v>147</v>
      </c>
      <c r="U158" s="26" t="str">
        <f>IF(T158=1,COUNTIF($T$4:T158,1),"")</f>
        <v/>
      </c>
      <c r="V158" s="27" t="str">
        <f>'施設状況(要更新)'!$E158&amp;'施設状況(要更新)'!$C158</f>
        <v/>
      </c>
      <c r="W158" s="27">
        <f>'施設状況(要更新)'!$F158</f>
        <v>0</v>
      </c>
      <c r="X158" s="28"/>
      <c r="Y158" s="27"/>
    </row>
    <row r="159" spans="1:33">
      <c r="A159" s="33"/>
      <c r="B159" s="25"/>
      <c r="C159" s="25"/>
      <c r="D159" s="25"/>
      <c r="E159" s="25"/>
      <c r="F159" s="25"/>
      <c r="G159" s="25"/>
      <c r="H159" s="25"/>
      <c r="I159" s="25"/>
      <c r="J159" s="25"/>
      <c r="K159" s="25"/>
      <c r="L159" s="25"/>
      <c r="M159" s="25"/>
      <c r="N159" s="25"/>
      <c r="O159" s="25"/>
      <c r="P159" s="25"/>
      <c r="Q159" s="25"/>
      <c r="R159" s="25"/>
      <c r="S159" s="26">
        <f t="shared" si="9"/>
        <v>0</v>
      </c>
      <c r="T159" s="26">
        <f>COUNTIF($V$4:V159,V159)</f>
        <v>148</v>
      </c>
      <c r="U159" s="26" t="str">
        <f>IF(T159=1,COUNTIF($T$4:T159,1),"")</f>
        <v/>
      </c>
      <c r="V159" s="27" t="str">
        <f>'施設状況(要更新)'!$E159&amp;'施設状況(要更新)'!$C159</f>
        <v/>
      </c>
      <c r="W159" s="27">
        <f>'施設状況(要更新)'!$F159</f>
        <v>0</v>
      </c>
      <c r="X159" s="28"/>
      <c r="Y159" s="27"/>
    </row>
    <row r="160" spans="1:33">
      <c r="A160" s="33"/>
      <c r="B160" s="25"/>
      <c r="C160" s="25"/>
      <c r="D160" s="25"/>
      <c r="E160" s="25"/>
      <c r="F160" s="25"/>
      <c r="G160" s="25"/>
      <c r="H160" s="25"/>
      <c r="I160" s="25"/>
      <c r="J160" s="25"/>
      <c r="K160" s="25"/>
      <c r="L160" s="25"/>
      <c r="M160" s="25"/>
      <c r="N160" s="25"/>
      <c r="O160" s="25"/>
      <c r="P160" s="25"/>
      <c r="Q160" s="25"/>
      <c r="R160" s="25"/>
      <c r="S160" s="26">
        <f t="shared" si="9"/>
        <v>0</v>
      </c>
      <c r="T160" s="26">
        <f>COUNTIF($V$4:V160,V160)</f>
        <v>149</v>
      </c>
      <c r="U160" s="26" t="str">
        <f>IF(T160=1,COUNTIF($T$4:T160,1),"")</f>
        <v/>
      </c>
      <c r="V160" s="27" t="str">
        <f>'施設状況(要更新)'!$E160&amp;'施設状況(要更新)'!$C160</f>
        <v/>
      </c>
      <c r="W160" s="27">
        <f>'施設状況(要更新)'!$F160</f>
        <v>0</v>
      </c>
      <c r="X160" s="28"/>
      <c r="Y160" s="27"/>
    </row>
    <row r="161" spans="1:33">
      <c r="A161" s="33"/>
      <c r="B161" s="25"/>
      <c r="C161" s="25"/>
      <c r="D161" s="25"/>
      <c r="E161" s="25"/>
      <c r="F161" s="25"/>
      <c r="G161" s="25"/>
      <c r="H161" s="25"/>
      <c r="I161" s="25"/>
      <c r="J161" s="25"/>
      <c r="K161" s="25"/>
      <c r="L161" s="25"/>
      <c r="M161" s="25"/>
      <c r="N161" s="25"/>
      <c r="O161" s="25"/>
      <c r="P161" s="25"/>
      <c r="Q161" s="25"/>
      <c r="R161" s="25"/>
      <c r="S161" s="26">
        <f t="shared" si="9"/>
        <v>0</v>
      </c>
      <c r="T161" s="26">
        <f>COUNTIF($V$4:V161,V161)</f>
        <v>150</v>
      </c>
      <c r="U161" s="26" t="str">
        <f>IF(T161=1,COUNTIF($T$4:T161,1),"")</f>
        <v/>
      </c>
      <c r="V161" s="27" t="str">
        <f>'施設状況(要更新)'!$E161&amp;'施設状況(要更新)'!$C161</f>
        <v/>
      </c>
      <c r="W161" s="27">
        <f>'施設状況(要更新)'!$F161</f>
        <v>0</v>
      </c>
      <c r="X161" s="28"/>
      <c r="Y161" s="27"/>
    </row>
    <row r="162" spans="1:33">
      <c r="A162" s="33"/>
      <c r="B162" s="25"/>
      <c r="C162" s="25"/>
      <c r="D162" s="25"/>
      <c r="E162" s="25"/>
      <c r="F162" s="25"/>
      <c r="G162" s="25"/>
      <c r="H162" s="25"/>
      <c r="I162" s="25"/>
      <c r="J162" s="25"/>
      <c r="K162" s="25"/>
      <c r="L162" s="25"/>
      <c r="M162" s="25"/>
      <c r="N162" s="25"/>
      <c r="O162" s="25"/>
      <c r="P162" s="25"/>
      <c r="Q162" s="25"/>
      <c r="R162" s="25"/>
      <c r="S162" s="26">
        <f t="shared" si="9"/>
        <v>0</v>
      </c>
      <c r="T162" s="26">
        <f>COUNTIF($V$4:V162,V162)</f>
        <v>151</v>
      </c>
      <c r="U162" s="26" t="str">
        <f>IF(T162=1,COUNTIF($T$4:T162,1),"")</f>
        <v/>
      </c>
      <c r="V162" s="27" t="str">
        <f>'施設状況(要更新)'!$E162&amp;'施設状況(要更新)'!$C162</f>
        <v/>
      </c>
      <c r="W162" s="27">
        <f>'施設状況(要更新)'!$F162</f>
        <v>0</v>
      </c>
      <c r="X162" s="28"/>
      <c r="Y162" s="27"/>
    </row>
    <row r="163" spans="1:33">
      <c r="A163" s="33"/>
      <c r="B163" s="25"/>
      <c r="C163" s="25"/>
      <c r="D163" s="25"/>
      <c r="E163" s="25"/>
      <c r="F163" s="25"/>
      <c r="G163" s="25"/>
      <c r="H163" s="25"/>
      <c r="I163" s="25"/>
      <c r="J163" s="25"/>
      <c r="K163" s="25"/>
      <c r="L163" s="25"/>
      <c r="M163" s="25"/>
      <c r="N163" s="25"/>
      <c r="O163" s="25"/>
      <c r="P163" s="25"/>
      <c r="Q163" s="25"/>
      <c r="R163" s="25"/>
      <c r="S163" s="26">
        <f t="shared" si="9"/>
        <v>0</v>
      </c>
      <c r="T163" s="26">
        <f>COUNTIF($V$4:V163,V163)</f>
        <v>152</v>
      </c>
      <c r="U163" s="26" t="str">
        <f>IF(T163=1,COUNTIF($T$4:T163,1),"")</f>
        <v/>
      </c>
      <c r="V163" s="27" t="str">
        <f>'施設状況(要更新)'!$E163&amp;'施設状況(要更新)'!$C163</f>
        <v/>
      </c>
      <c r="W163" s="27">
        <f>'施設状況(要更新)'!$F163</f>
        <v>0</v>
      </c>
      <c r="X163" s="28"/>
      <c r="Y163" s="27"/>
    </row>
    <row r="164" spans="1:33">
      <c r="A164" s="33"/>
      <c r="B164" s="25"/>
      <c r="C164" s="25"/>
      <c r="D164" s="25"/>
      <c r="E164" s="25"/>
      <c r="F164" s="25"/>
      <c r="G164" s="25"/>
      <c r="H164" s="25"/>
      <c r="I164" s="25"/>
      <c r="J164" s="25"/>
      <c r="K164" s="25"/>
      <c r="L164" s="25"/>
      <c r="M164" s="25"/>
      <c r="N164" s="25"/>
      <c r="O164" s="25"/>
      <c r="P164" s="25"/>
      <c r="Q164" s="25"/>
      <c r="R164" s="25"/>
      <c r="S164" s="26">
        <f t="shared" si="9"/>
        <v>0</v>
      </c>
      <c r="T164" s="26">
        <f>COUNTIF($V$4:V164,V164)</f>
        <v>153</v>
      </c>
      <c r="U164" s="26" t="str">
        <f>IF(T164=1,COUNTIF($T$4:T164,1),"")</f>
        <v/>
      </c>
      <c r="V164" s="27" t="str">
        <f>'施設状況(要更新)'!$E164&amp;'施設状況(要更新)'!$C164</f>
        <v/>
      </c>
      <c r="W164" s="27">
        <f>'施設状況(要更新)'!$F164</f>
        <v>0</v>
      </c>
      <c r="X164" s="28"/>
      <c r="Y164" s="27"/>
    </row>
    <row r="165" spans="1:33">
      <c r="A165" s="33"/>
      <c r="B165" s="25"/>
      <c r="C165" s="25"/>
      <c r="D165" s="25"/>
      <c r="E165" s="25"/>
      <c r="F165" s="25"/>
      <c r="G165" s="25"/>
      <c r="H165" s="25"/>
      <c r="I165" s="25"/>
      <c r="J165" s="25"/>
      <c r="K165" s="25"/>
      <c r="L165" s="25"/>
      <c r="M165" s="25"/>
      <c r="N165" s="25"/>
      <c r="O165" s="25"/>
      <c r="P165" s="25"/>
      <c r="Q165" s="25"/>
      <c r="R165" s="25"/>
      <c r="S165" s="26">
        <f t="shared" si="9"/>
        <v>0</v>
      </c>
      <c r="T165" s="26">
        <f>COUNTIF($V$4:V165,V165)</f>
        <v>154</v>
      </c>
      <c r="U165" s="26" t="str">
        <f>IF(T165=1,COUNTIF($T$4:T165,1),"")</f>
        <v/>
      </c>
      <c r="V165" s="27" t="str">
        <f>'施設状況(要更新)'!$E165&amp;'施設状況(要更新)'!$C165</f>
        <v/>
      </c>
      <c r="W165" s="27">
        <f>'施設状況(要更新)'!$F165</f>
        <v>0</v>
      </c>
      <c r="X165" s="28"/>
      <c r="Y165" s="27"/>
    </row>
    <row r="166" spans="1:33">
      <c r="A166" s="33"/>
      <c r="B166" s="25"/>
      <c r="C166" s="25"/>
      <c r="D166" s="25"/>
      <c r="E166" s="25"/>
      <c r="F166" s="25"/>
      <c r="G166" s="25"/>
      <c r="H166" s="25"/>
      <c r="I166" s="25"/>
      <c r="J166" s="25"/>
      <c r="K166" s="25"/>
      <c r="L166" s="25"/>
      <c r="M166" s="25"/>
      <c r="N166" s="25"/>
      <c r="O166" s="25"/>
      <c r="P166" s="25"/>
      <c r="Q166" s="25"/>
      <c r="R166" s="25"/>
      <c r="S166" s="26">
        <f t="shared" si="9"/>
        <v>0</v>
      </c>
      <c r="T166" s="26">
        <f>COUNTIF($V$4:V166,V166)</f>
        <v>155</v>
      </c>
      <c r="U166" s="26" t="str">
        <f>IF(T166=1,COUNTIF($T$4:T166,1),"")</f>
        <v/>
      </c>
      <c r="V166" s="27" t="str">
        <f>'施設状況(要更新)'!$E166&amp;'施設状況(要更新)'!$C166</f>
        <v/>
      </c>
      <c r="W166" s="27">
        <f>'施設状況(要更新)'!$F166</f>
        <v>0</v>
      </c>
      <c r="X166" s="28"/>
      <c r="Y166" s="27"/>
    </row>
    <row r="167" spans="1:33">
      <c r="A167" s="33"/>
      <c r="B167" s="25"/>
      <c r="C167" s="25"/>
      <c r="D167" s="25"/>
      <c r="E167" s="25"/>
      <c r="F167" s="25"/>
      <c r="G167" s="25"/>
      <c r="H167" s="25"/>
      <c r="I167" s="25"/>
      <c r="J167" s="25"/>
      <c r="K167" s="25"/>
      <c r="L167" s="25"/>
      <c r="M167" s="25"/>
      <c r="N167" s="25"/>
      <c r="O167" s="25"/>
      <c r="P167" s="25"/>
      <c r="Q167" s="25"/>
      <c r="R167" s="25"/>
      <c r="S167" s="26">
        <f t="shared" si="9"/>
        <v>0</v>
      </c>
      <c r="T167" s="26">
        <f>COUNTIF($V$4:V167,V167)</f>
        <v>156</v>
      </c>
      <c r="U167" s="26" t="str">
        <f>IF(T167=1,COUNTIF($T$4:T167,1),"")</f>
        <v/>
      </c>
      <c r="V167" s="27" t="str">
        <f>'施設状況(要更新)'!$E167&amp;'施設状況(要更新)'!$C167</f>
        <v/>
      </c>
      <c r="W167" s="27">
        <f>'施設状況(要更新)'!$F167</f>
        <v>0</v>
      </c>
      <c r="X167" s="28"/>
      <c r="Y167" s="27"/>
    </row>
    <row r="168" spans="1:33">
      <c r="A168" s="33"/>
      <c r="B168" s="25"/>
      <c r="C168" s="25"/>
      <c r="D168" s="25"/>
      <c r="E168" s="25"/>
      <c r="F168" s="25"/>
      <c r="G168" s="25"/>
      <c r="H168" s="25"/>
      <c r="I168" s="25"/>
      <c r="J168" s="25"/>
      <c r="K168" s="25"/>
      <c r="L168" s="25"/>
      <c r="M168" s="25"/>
      <c r="N168" s="25"/>
      <c r="O168" s="25"/>
      <c r="P168" s="25"/>
      <c r="Q168" s="25"/>
      <c r="R168" s="25"/>
      <c r="S168" s="26">
        <f t="shared" si="9"/>
        <v>0</v>
      </c>
      <c r="T168" s="26">
        <f>COUNTIF($V$4:V168,V168)</f>
        <v>157</v>
      </c>
      <c r="U168" s="26" t="str">
        <f>IF(T168=1,COUNTIF($T$4:T168,1),"")</f>
        <v/>
      </c>
      <c r="V168" s="27" t="str">
        <f>'施設状況(要更新)'!$E168&amp;'施設状況(要更新)'!$C168</f>
        <v/>
      </c>
      <c r="W168" s="27">
        <f>'施設状況(要更新)'!$F168</f>
        <v>0</v>
      </c>
      <c r="X168" s="28"/>
      <c r="Y168" s="27"/>
      <c r="Z168" s="27"/>
      <c r="AA168" s="27"/>
      <c r="AB168" s="27"/>
      <c r="AC168" s="27"/>
      <c r="AD168" s="27"/>
      <c r="AE168" s="27"/>
      <c r="AF168" s="27"/>
      <c r="AG168" s="27"/>
    </row>
    <row r="169" spans="1:33">
      <c r="A169" s="33"/>
      <c r="B169" s="25"/>
      <c r="C169" s="25"/>
      <c r="D169" s="25"/>
      <c r="E169" s="25"/>
      <c r="F169" s="25"/>
      <c r="G169" s="25"/>
      <c r="H169" s="25"/>
      <c r="I169" s="25"/>
      <c r="J169" s="25"/>
      <c r="K169" s="25"/>
      <c r="L169" s="25"/>
      <c r="M169" s="25"/>
      <c r="N169" s="25"/>
      <c r="O169" s="25"/>
      <c r="P169" s="25"/>
      <c r="Q169" s="25"/>
      <c r="R169" s="25"/>
      <c r="S169" s="26">
        <f t="shared" si="9"/>
        <v>0</v>
      </c>
      <c r="T169" s="26">
        <f>COUNTIF($V$4:V169,V169)</f>
        <v>158</v>
      </c>
      <c r="U169" s="26" t="str">
        <f>IF(T169=1,COUNTIF($T$4:T169,1),"")</f>
        <v/>
      </c>
      <c r="V169" s="27" t="str">
        <f>'施設状況(要更新)'!$E169&amp;'施設状況(要更新)'!$C169</f>
        <v/>
      </c>
      <c r="W169" s="27">
        <f>'施設状況(要更新)'!$F169</f>
        <v>0</v>
      </c>
      <c r="X169" s="28"/>
      <c r="Y169" s="27"/>
    </row>
    <row r="170" spans="1:33">
      <c r="A170" s="33"/>
      <c r="B170" s="25"/>
      <c r="C170" s="25"/>
      <c r="D170" s="25"/>
      <c r="E170" s="25"/>
      <c r="F170" s="25"/>
      <c r="G170" s="25"/>
      <c r="H170" s="25"/>
      <c r="I170" s="25"/>
      <c r="J170" s="25"/>
      <c r="K170" s="25"/>
      <c r="L170" s="25"/>
      <c r="M170" s="25"/>
      <c r="N170" s="25"/>
      <c r="O170" s="25"/>
      <c r="P170" s="25"/>
      <c r="Q170" s="25"/>
      <c r="R170" s="25"/>
      <c r="S170" s="26">
        <f t="shared" si="9"/>
        <v>0</v>
      </c>
      <c r="T170" s="26">
        <f>COUNTIF($V$4:V170,V170)</f>
        <v>159</v>
      </c>
      <c r="U170" s="26" t="str">
        <f>IF(T170=1,COUNTIF($T$4:T170,1),"")</f>
        <v/>
      </c>
      <c r="V170" s="27" t="str">
        <f>'施設状況(要更新)'!$E170&amp;'施設状況(要更新)'!$C170</f>
        <v/>
      </c>
      <c r="W170" s="27">
        <f>'施設状況(要更新)'!$F170</f>
        <v>0</v>
      </c>
      <c r="X170" s="28"/>
      <c r="Y170" s="27"/>
    </row>
    <row r="171" spans="1:33">
      <c r="A171" s="33"/>
      <c r="B171" s="25"/>
      <c r="C171" s="25"/>
      <c r="D171" s="25"/>
      <c r="E171" s="25"/>
      <c r="F171" s="25"/>
      <c r="G171" s="25"/>
      <c r="H171" s="25"/>
      <c r="I171" s="25"/>
      <c r="J171" s="25"/>
      <c r="K171" s="25"/>
      <c r="L171" s="25"/>
      <c r="M171" s="25"/>
      <c r="N171" s="25"/>
      <c r="O171" s="25"/>
      <c r="P171" s="25"/>
      <c r="Q171" s="25"/>
      <c r="R171" s="25"/>
      <c r="S171" s="26">
        <f t="shared" si="9"/>
        <v>0</v>
      </c>
      <c r="T171" s="26">
        <f>COUNTIF($V$4:V171,V171)</f>
        <v>160</v>
      </c>
      <c r="U171" s="26" t="str">
        <f>IF(T171=1,COUNTIF($T$4:T171,1),"")</f>
        <v/>
      </c>
      <c r="V171" s="27" t="str">
        <f>'施設状況(要更新)'!$E171&amp;'施設状況(要更新)'!$C171</f>
        <v/>
      </c>
      <c r="W171" s="27">
        <f>'施設状況(要更新)'!$F171</f>
        <v>0</v>
      </c>
      <c r="X171" s="28"/>
      <c r="Y171" s="27"/>
    </row>
    <row r="172" spans="1:33">
      <c r="A172" s="33"/>
      <c r="B172" s="25"/>
      <c r="C172" s="25"/>
      <c r="D172" s="25"/>
      <c r="E172" s="25"/>
      <c r="F172" s="25"/>
      <c r="G172" s="25"/>
      <c r="H172" s="25"/>
      <c r="I172" s="25"/>
      <c r="J172" s="25"/>
      <c r="K172" s="25"/>
      <c r="L172" s="25"/>
      <c r="M172" s="25"/>
      <c r="N172" s="25"/>
      <c r="O172" s="25"/>
      <c r="P172" s="25"/>
      <c r="Q172" s="25"/>
      <c r="R172" s="25"/>
      <c r="S172" s="26">
        <f t="shared" si="9"/>
        <v>0</v>
      </c>
      <c r="T172" s="26">
        <f>COUNTIF($V$4:V172,V172)</f>
        <v>161</v>
      </c>
      <c r="U172" s="26" t="str">
        <f>IF(T172=1,COUNTIF($T$4:T172,1),"")</f>
        <v/>
      </c>
      <c r="V172" s="27" t="str">
        <f>'施設状況(要更新)'!$E172&amp;'施設状況(要更新)'!$C172</f>
        <v/>
      </c>
      <c r="W172" s="27">
        <f>'施設状況(要更新)'!$F172</f>
        <v>0</v>
      </c>
      <c r="X172" s="28"/>
      <c r="Y172" s="27"/>
    </row>
    <row r="173" spans="1:33">
      <c r="A173" s="33"/>
      <c r="B173" s="25"/>
      <c r="C173" s="25"/>
      <c r="D173" s="25"/>
      <c r="E173" s="25"/>
      <c r="F173" s="25"/>
      <c r="G173" s="25"/>
      <c r="H173" s="25"/>
      <c r="I173" s="25"/>
      <c r="J173" s="25"/>
      <c r="K173" s="25"/>
      <c r="L173" s="25"/>
      <c r="M173" s="25"/>
      <c r="N173" s="25"/>
      <c r="O173" s="25"/>
      <c r="P173" s="25"/>
      <c r="Q173" s="25"/>
      <c r="R173" s="25"/>
      <c r="S173" s="26">
        <f t="shared" si="9"/>
        <v>0</v>
      </c>
      <c r="T173" s="26">
        <f>COUNTIF($V$4:V173,V173)</f>
        <v>162</v>
      </c>
      <c r="U173" s="26" t="str">
        <f>IF(T173=1,COUNTIF($T$4:T173,1),"")</f>
        <v/>
      </c>
      <c r="V173" s="27" t="str">
        <f>'施設状況(要更新)'!$E173&amp;'施設状況(要更新)'!$C173</f>
        <v/>
      </c>
      <c r="W173" s="27">
        <f>'施設状況(要更新)'!$F173</f>
        <v>0</v>
      </c>
      <c r="X173" s="28"/>
      <c r="Y173" s="27"/>
    </row>
    <row r="174" spans="1:33">
      <c r="A174" s="33"/>
      <c r="B174" s="25"/>
      <c r="C174" s="25"/>
      <c r="D174" s="25"/>
      <c r="E174" s="25"/>
      <c r="F174" s="25"/>
      <c r="G174" s="25"/>
      <c r="H174" s="25"/>
      <c r="I174" s="25"/>
      <c r="J174" s="25"/>
      <c r="K174" s="25"/>
      <c r="L174" s="25"/>
      <c r="M174" s="25"/>
      <c r="N174" s="25"/>
      <c r="O174" s="25"/>
      <c r="P174" s="25"/>
      <c r="Q174" s="25"/>
      <c r="R174" s="25"/>
      <c r="S174" s="26">
        <f t="shared" si="9"/>
        <v>0</v>
      </c>
      <c r="T174" s="26">
        <f>COUNTIF($V$4:V174,V174)</f>
        <v>163</v>
      </c>
      <c r="U174" s="26" t="str">
        <f>IF(T174=1,COUNTIF($T$4:T174,1),"")</f>
        <v/>
      </c>
      <c r="V174" s="27" t="str">
        <f>'施設状況(要更新)'!$E174&amp;'施設状況(要更新)'!$C174</f>
        <v/>
      </c>
      <c r="W174" s="27">
        <f>'施設状況(要更新)'!$F174</f>
        <v>0</v>
      </c>
      <c r="X174" s="28"/>
      <c r="Y174" s="27"/>
    </row>
    <row r="175" spans="1:33">
      <c r="A175" s="33"/>
      <c r="B175" s="25"/>
      <c r="C175" s="25"/>
      <c r="D175" s="25"/>
      <c r="E175" s="25"/>
      <c r="F175" s="25"/>
      <c r="G175" s="25"/>
      <c r="H175" s="25"/>
      <c r="I175" s="25"/>
      <c r="J175" s="25"/>
      <c r="K175" s="25"/>
      <c r="L175" s="25"/>
      <c r="M175" s="25"/>
      <c r="N175" s="25"/>
      <c r="O175" s="25"/>
      <c r="P175" s="25"/>
      <c r="Q175" s="25"/>
      <c r="R175" s="25"/>
      <c r="S175" s="26">
        <f t="shared" si="9"/>
        <v>0</v>
      </c>
      <c r="T175" s="26">
        <f>COUNTIF($V$4:V175,V175)</f>
        <v>164</v>
      </c>
      <c r="U175" s="26" t="str">
        <f>IF(T175=1,COUNTIF($T$4:T175,1),"")</f>
        <v/>
      </c>
      <c r="V175" s="27" t="str">
        <f>'施設状況(要更新)'!$E175&amp;'施設状況(要更新)'!$C175</f>
        <v/>
      </c>
      <c r="W175" s="27">
        <f>'施設状況(要更新)'!$F175</f>
        <v>0</v>
      </c>
      <c r="X175" s="28"/>
      <c r="Y175" s="27"/>
    </row>
    <row r="176" spans="1:33">
      <c r="A176" s="33"/>
      <c r="B176" s="25"/>
      <c r="C176" s="25"/>
      <c r="D176" s="25"/>
      <c r="E176" s="25"/>
      <c r="F176" s="25"/>
      <c r="G176" s="25"/>
      <c r="H176" s="25"/>
      <c r="I176" s="25"/>
      <c r="J176" s="25"/>
      <c r="K176" s="25"/>
      <c r="L176" s="25"/>
      <c r="M176" s="25"/>
      <c r="N176" s="25"/>
      <c r="O176" s="25"/>
      <c r="P176" s="25"/>
      <c r="Q176" s="25"/>
      <c r="R176" s="25"/>
      <c r="S176" s="26">
        <f t="shared" si="9"/>
        <v>0</v>
      </c>
      <c r="T176" s="26">
        <f>COUNTIF($V$4:V176,V176)</f>
        <v>165</v>
      </c>
      <c r="U176" s="26" t="str">
        <f>IF(T176=1,COUNTIF($T$4:T176,1),"")</f>
        <v/>
      </c>
      <c r="V176" s="27" t="str">
        <f>'施設状況(要更新)'!$E176&amp;'施設状況(要更新)'!$C176</f>
        <v/>
      </c>
      <c r="W176" s="27">
        <f>'施設状況(要更新)'!$F176</f>
        <v>0</v>
      </c>
      <c r="X176" s="28"/>
      <c r="Y176" s="27"/>
    </row>
    <row r="177" spans="1:25">
      <c r="A177" s="33"/>
      <c r="B177" s="25"/>
      <c r="C177" s="25"/>
      <c r="D177" s="25"/>
      <c r="E177" s="25"/>
      <c r="F177" s="25"/>
      <c r="G177" s="25"/>
      <c r="H177" s="25"/>
      <c r="I177" s="25"/>
      <c r="J177" s="25"/>
      <c r="K177" s="25"/>
      <c r="L177" s="25"/>
      <c r="M177" s="25"/>
      <c r="N177" s="25"/>
      <c r="O177" s="25"/>
      <c r="P177" s="25"/>
      <c r="Q177" s="25"/>
      <c r="R177" s="25"/>
      <c r="S177" s="26">
        <f t="shared" si="9"/>
        <v>0</v>
      </c>
      <c r="T177" s="26">
        <f>COUNTIF($V$4:V177,V177)</f>
        <v>166</v>
      </c>
      <c r="U177" s="26" t="str">
        <f>IF(T177=1,COUNTIF($T$4:T177,1),"")</f>
        <v/>
      </c>
      <c r="V177" s="27" t="str">
        <f>'施設状況(要更新)'!$E177&amp;'施設状況(要更新)'!$C177</f>
        <v/>
      </c>
      <c r="W177" s="27">
        <f>'施設状況(要更新)'!$F177</f>
        <v>0</v>
      </c>
      <c r="X177" s="28"/>
      <c r="Y177" s="27"/>
    </row>
    <row r="178" spans="1:25">
      <c r="A178" s="33"/>
      <c r="B178" s="25"/>
      <c r="C178" s="25"/>
      <c r="D178" s="25"/>
      <c r="E178" s="25"/>
      <c r="F178" s="25"/>
      <c r="G178" s="25"/>
      <c r="H178" s="25"/>
      <c r="I178" s="25"/>
      <c r="J178" s="25"/>
      <c r="K178" s="25"/>
      <c r="L178" s="25"/>
      <c r="M178" s="25"/>
      <c r="N178" s="25"/>
      <c r="O178" s="25"/>
      <c r="P178" s="25"/>
      <c r="Q178" s="25"/>
      <c r="R178" s="25"/>
      <c r="S178" s="26">
        <f t="shared" si="9"/>
        <v>0</v>
      </c>
      <c r="T178" s="26">
        <f>COUNTIF($V$4:V178,V178)</f>
        <v>167</v>
      </c>
      <c r="U178" s="26" t="str">
        <f>IF(T178=1,COUNTIF($T$4:T178,1),"")</f>
        <v/>
      </c>
      <c r="V178" s="27" t="str">
        <f>'施設状況(要更新)'!$E178&amp;'施設状況(要更新)'!$C178</f>
        <v/>
      </c>
      <c r="W178" s="27">
        <f>'施設状況(要更新)'!$F178</f>
        <v>0</v>
      </c>
      <c r="X178" s="28"/>
      <c r="Y178" s="27"/>
    </row>
    <row r="179" spans="1:25">
      <c r="A179" s="33"/>
      <c r="B179" s="25"/>
      <c r="C179" s="25"/>
      <c r="D179" s="25"/>
      <c r="E179" s="25"/>
      <c r="F179" s="25"/>
      <c r="G179" s="25"/>
      <c r="H179" s="25"/>
      <c r="I179" s="25"/>
      <c r="J179" s="25"/>
      <c r="K179" s="25"/>
      <c r="L179" s="25"/>
      <c r="M179" s="25"/>
      <c r="N179" s="25"/>
      <c r="O179" s="25"/>
      <c r="P179" s="25"/>
      <c r="Q179" s="25"/>
      <c r="R179" s="25"/>
      <c r="S179" s="26">
        <f t="shared" si="9"/>
        <v>0</v>
      </c>
      <c r="T179" s="26">
        <f>COUNTIF($V$4:V179,V179)</f>
        <v>168</v>
      </c>
      <c r="U179" s="26" t="str">
        <f>IF(T179=1,COUNTIF($T$4:T179,1),"")</f>
        <v/>
      </c>
      <c r="V179" s="27" t="str">
        <f>'施設状況(要更新)'!$E179&amp;'施設状況(要更新)'!$C179</f>
        <v/>
      </c>
      <c r="W179" s="27">
        <f>'施設状況(要更新)'!$F179</f>
        <v>0</v>
      </c>
      <c r="X179" s="28"/>
      <c r="Y179" s="27"/>
    </row>
    <row r="180" spans="1:25">
      <c r="A180" s="33"/>
      <c r="B180" s="25"/>
      <c r="C180" s="25"/>
      <c r="D180" s="25"/>
      <c r="E180" s="25"/>
      <c r="F180" s="25"/>
      <c r="G180" s="25"/>
      <c r="H180" s="25"/>
      <c r="I180" s="25"/>
      <c r="J180" s="25"/>
      <c r="K180" s="25"/>
      <c r="L180" s="25"/>
      <c r="M180" s="25"/>
      <c r="N180" s="25"/>
      <c r="O180" s="25"/>
      <c r="P180" s="25"/>
      <c r="Q180" s="25"/>
      <c r="R180" s="25"/>
      <c r="S180" s="26">
        <f t="shared" si="9"/>
        <v>0</v>
      </c>
      <c r="T180" s="26">
        <f>COUNTIF($V$4:V180,V180)</f>
        <v>169</v>
      </c>
      <c r="U180" s="26" t="str">
        <f>IF(T180=1,COUNTIF($T$4:T180,1),"")</f>
        <v/>
      </c>
      <c r="V180" s="27" t="str">
        <f>'施設状況(要更新)'!$E180&amp;'施設状況(要更新)'!$C180</f>
        <v/>
      </c>
      <c r="W180" s="27">
        <f>'施設状況(要更新)'!$F180</f>
        <v>0</v>
      </c>
      <c r="X180" s="28"/>
      <c r="Y180" s="27"/>
    </row>
    <row r="181" spans="1:25">
      <c r="A181" s="33"/>
      <c r="B181" s="25"/>
      <c r="C181" s="25"/>
      <c r="D181" s="25"/>
      <c r="E181" s="25"/>
      <c r="F181" s="25"/>
      <c r="G181" s="25"/>
      <c r="H181" s="25"/>
      <c r="I181" s="25"/>
      <c r="J181" s="25"/>
      <c r="K181" s="25"/>
      <c r="L181" s="25"/>
      <c r="M181" s="25"/>
      <c r="N181" s="25"/>
      <c r="O181" s="25"/>
      <c r="P181" s="25"/>
      <c r="Q181" s="25"/>
      <c r="R181" s="25"/>
      <c r="S181" s="26">
        <f t="shared" si="9"/>
        <v>0</v>
      </c>
      <c r="T181" s="26">
        <f>COUNTIF($V$4:V181,V181)</f>
        <v>170</v>
      </c>
      <c r="U181" s="26" t="str">
        <f>IF(T181=1,COUNTIF($T$4:T181,1),"")</f>
        <v/>
      </c>
      <c r="V181" s="27" t="str">
        <f>'施設状況(要更新)'!$E181&amp;'施設状況(要更新)'!$C181</f>
        <v/>
      </c>
      <c r="W181" s="27">
        <f>'施設状況(要更新)'!$F181</f>
        <v>0</v>
      </c>
      <c r="X181" s="28"/>
      <c r="Y181" s="27"/>
    </row>
    <row r="182" spans="1:25">
      <c r="A182" s="33"/>
      <c r="B182" s="25"/>
      <c r="C182" s="25"/>
      <c r="D182" s="25"/>
      <c r="E182" s="25"/>
      <c r="F182" s="25"/>
      <c r="G182" s="25"/>
      <c r="H182" s="25"/>
      <c r="I182" s="25"/>
      <c r="J182" s="25"/>
      <c r="K182" s="25"/>
      <c r="L182" s="25"/>
      <c r="M182" s="25"/>
      <c r="N182" s="25"/>
      <c r="O182" s="25"/>
      <c r="P182" s="25"/>
      <c r="Q182" s="25"/>
      <c r="R182" s="25"/>
      <c r="S182" s="26">
        <f t="shared" si="9"/>
        <v>0</v>
      </c>
      <c r="T182" s="26">
        <f>COUNTIF($V$4:V182,V182)</f>
        <v>171</v>
      </c>
      <c r="U182" s="26" t="str">
        <f>IF(T182=1,COUNTIF($T$4:T182,1),"")</f>
        <v/>
      </c>
      <c r="V182" s="27" t="str">
        <f>'施設状況(要更新)'!$E182&amp;'施設状況(要更新)'!$C182</f>
        <v/>
      </c>
      <c r="W182" s="27">
        <f>'施設状況(要更新)'!$F182</f>
        <v>0</v>
      </c>
      <c r="X182" s="28"/>
      <c r="Y182" s="27"/>
    </row>
    <row r="183" spans="1:25">
      <c r="A183" s="33"/>
      <c r="B183" s="25"/>
      <c r="C183" s="25"/>
      <c r="D183" s="25"/>
      <c r="E183" s="25"/>
      <c r="F183" s="25"/>
      <c r="G183" s="25"/>
      <c r="H183" s="25"/>
      <c r="I183" s="25"/>
      <c r="J183" s="25"/>
      <c r="K183" s="25"/>
      <c r="L183" s="25"/>
      <c r="M183" s="25"/>
      <c r="N183" s="25"/>
      <c r="O183" s="25"/>
      <c r="P183" s="25"/>
      <c r="Q183" s="25"/>
      <c r="R183" s="25"/>
      <c r="S183" s="26">
        <f t="shared" si="9"/>
        <v>0</v>
      </c>
      <c r="T183" s="26">
        <f>COUNTIF($V$4:V183,V183)</f>
        <v>172</v>
      </c>
      <c r="U183" s="26" t="str">
        <f>IF(T183=1,COUNTIF($T$4:T183,1),"")</f>
        <v/>
      </c>
      <c r="V183" s="27" t="str">
        <f>'施設状況(要更新)'!$E183&amp;'施設状況(要更新)'!$C183</f>
        <v/>
      </c>
      <c r="W183" s="27">
        <f>'施設状況(要更新)'!$F183</f>
        <v>0</v>
      </c>
      <c r="X183" s="28"/>
      <c r="Y183" s="27"/>
    </row>
    <row r="184" spans="1:25">
      <c r="A184" s="33"/>
      <c r="B184" s="25"/>
      <c r="C184" s="25"/>
      <c r="D184" s="25"/>
      <c r="E184" s="25"/>
      <c r="F184" s="25"/>
      <c r="G184" s="25"/>
      <c r="H184" s="25"/>
      <c r="I184" s="25"/>
      <c r="J184" s="25"/>
      <c r="K184" s="25"/>
      <c r="L184" s="25"/>
      <c r="M184" s="25"/>
      <c r="N184" s="25"/>
      <c r="O184" s="25"/>
      <c r="P184" s="25"/>
      <c r="Q184" s="25"/>
      <c r="R184" s="25"/>
      <c r="S184" s="26">
        <f t="shared" si="9"/>
        <v>0</v>
      </c>
      <c r="T184" s="26">
        <f>COUNTIF($V$4:V184,V184)</f>
        <v>173</v>
      </c>
      <c r="U184" s="26" t="str">
        <f>IF(T184=1,COUNTIF($T$4:T184,1),"")</f>
        <v/>
      </c>
      <c r="V184" s="27" t="str">
        <f>'施設状況(要更新)'!$E184&amp;'施設状況(要更新)'!$C184</f>
        <v/>
      </c>
      <c r="W184" s="27">
        <f>'施設状況(要更新)'!$F184</f>
        <v>0</v>
      </c>
      <c r="X184" s="28"/>
      <c r="Y184" s="27"/>
    </row>
    <row r="185" spans="1:25">
      <c r="A185" s="33"/>
      <c r="B185" s="25"/>
      <c r="C185" s="25"/>
      <c r="D185" s="25"/>
      <c r="E185" s="25"/>
      <c r="F185" s="25"/>
      <c r="G185" s="25"/>
      <c r="H185" s="25"/>
      <c r="I185" s="25"/>
      <c r="J185" s="25"/>
      <c r="K185" s="25"/>
      <c r="L185" s="25"/>
      <c r="M185" s="25"/>
      <c r="N185" s="25"/>
      <c r="O185" s="25"/>
      <c r="P185" s="25"/>
      <c r="Q185" s="25"/>
      <c r="R185" s="25"/>
      <c r="S185" s="26">
        <f t="shared" si="9"/>
        <v>0</v>
      </c>
      <c r="T185" s="26">
        <f>COUNTIF($V$4:V185,V185)</f>
        <v>174</v>
      </c>
      <c r="U185" s="26" t="str">
        <f>IF(T185=1,COUNTIF($T$4:T185,1),"")</f>
        <v/>
      </c>
      <c r="V185" s="27" t="str">
        <f>'施設状況(要更新)'!$E185&amp;'施設状況(要更新)'!$C185</f>
        <v/>
      </c>
      <c r="W185" s="27">
        <f>'施設状況(要更新)'!$F185</f>
        <v>0</v>
      </c>
      <c r="X185" s="28"/>
      <c r="Y185" s="27"/>
    </row>
    <row r="186" spans="1:25">
      <c r="A186" s="33"/>
      <c r="B186" s="25"/>
      <c r="C186" s="25"/>
      <c r="D186" s="25"/>
      <c r="E186" s="25"/>
      <c r="F186" s="25"/>
      <c r="G186" s="25"/>
      <c r="H186" s="25"/>
      <c r="I186" s="25"/>
      <c r="J186" s="25"/>
      <c r="K186" s="25"/>
      <c r="L186" s="25"/>
      <c r="M186" s="25"/>
      <c r="N186" s="25"/>
      <c r="O186" s="25"/>
      <c r="P186" s="25"/>
      <c r="Q186" s="25"/>
      <c r="R186" s="25"/>
      <c r="S186" s="26">
        <f t="shared" si="9"/>
        <v>0</v>
      </c>
      <c r="T186" s="26">
        <f>COUNTIF($V$4:V186,V186)</f>
        <v>175</v>
      </c>
      <c r="U186" s="26" t="str">
        <f>IF(T186=1,COUNTIF($T$4:T186,1),"")</f>
        <v/>
      </c>
      <c r="V186" s="27" t="str">
        <f>'施設状況(要更新)'!$E186&amp;'施設状況(要更新)'!$C186</f>
        <v/>
      </c>
      <c r="W186" s="27">
        <f>'施設状況(要更新)'!$F186</f>
        <v>0</v>
      </c>
      <c r="X186" s="28"/>
      <c r="Y186" s="27"/>
    </row>
    <row r="187" spans="1:25">
      <c r="A187" s="33"/>
      <c r="B187" s="25"/>
      <c r="C187" s="25"/>
      <c r="D187" s="25"/>
      <c r="E187" s="25"/>
      <c r="F187" s="25"/>
      <c r="G187" s="25"/>
      <c r="H187" s="25"/>
      <c r="I187" s="25"/>
      <c r="J187" s="25"/>
      <c r="K187" s="25"/>
      <c r="L187" s="25"/>
      <c r="M187" s="25"/>
      <c r="N187" s="25"/>
      <c r="O187" s="25"/>
      <c r="P187" s="25"/>
      <c r="Q187" s="25"/>
      <c r="R187" s="25"/>
      <c r="S187" s="26">
        <f t="shared" si="9"/>
        <v>0</v>
      </c>
      <c r="T187" s="26">
        <f>COUNTIF($V$4:V187,V187)</f>
        <v>176</v>
      </c>
      <c r="U187" s="26" t="str">
        <f>IF(T187=1,COUNTIF($T$4:T187,1),"")</f>
        <v/>
      </c>
      <c r="V187" s="27" t="str">
        <f>'施設状況(要更新)'!$E187&amp;'施設状況(要更新)'!$C187</f>
        <v/>
      </c>
      <c r="W187" s="27">
        <f>'施設状況(要更新)'!$F187</f>
        <v>0</v>
      </c>
      <c r="X187" s="28"/>
      <c r="Y187" s="27"/>
    </row>
    <row r="188" spans="1:25">
      <c r="A188" s="33"/>
      <c r="B188" s="25"/>
      <c r="C188" s="25"/>
      <c r="D188" s="25"/>
      <c r="E188" s="25"/>
      <c r="F188" s="25"/>
      <c r="G188" s="25"/>
      <c r="H188" s="25"/>
      <c r="I188" s="25"/>
      <c r="J188" s="25"/>
      <c r="K188" s="25"/>
      <c r="L188" s="25"/>
      <c r="M188" s="25"/>
      <c r="N188" s="25"/>
      <c r="O188" s="25"/>
      <c r="P188" s="25"/>
      <c r="Q188" s="25"/>
      <c r="R188" s="25"/>
      <c r="S188" s="26">
        <f t="shared" si="9"/>
        <v>0</v>
      </c>
      <c r="T188" s="26">
        <f>COUNTIF($V$4:V188,V188)</f>
        <v>177</v>
      </c>
      <c r="U188" s="26" t="str">
        <f>IF(T188=1,COUNTIF($T$4:T188,1),"")</f>
        <v/>
      </c>
      <c r="V188" s="27" t="str">
        <f>'施設状況(要更新)'!$E188&amp;'施設状況(要更新)'!$C188</f>
        <v/>
      </c>
      <c r="W188" s="27">
        <f>'施設状況(要更新)'!$F188</f>
        <v>0</v>
      </c>
      <c r="X188" s="28"/>
      <c r="Y188" s="27"/>
    </row>
    <row r="189" spans="1:25">
      <c r="A189" s="33"/>
      <c r="B189" s="25"/>
      <c r="C189" s="25"/>
      <c r="D189" s="25"/>
      <c r="E189" s="25"/>
      <c r="F189" s="25"/>
      <c r="G189" s="25"/>
      <c r="H189" s="25"/>
      <c r="I189" s="25"/>
      <c r="J189" s="25"/>
      <c r="K189" s="25"/>
      <c r="L189" s="25"/>
      <c r="M189" s="25"/>
      <c r="N189" s="25"/>
      <c r="O189" s="25"/>
      <c r="P189" s="25"/>
      <c r="Q189" s="25"/>
      <c r="R189" s="25"/>
      <c r="S189" s="26">
        <f t="shared" si="9"/>
        <v>0</v>
      </c>
      <c r="T189" s="26">
        <f>COUNTIF($V$4:V189,V189)</f>
        <v>178</v>
      </c>
      <c r="U189" s="26" t="str">
        <f>IF(T189=1,COUNTIF($T$4:T189,1),"")</f>
        <v/>
      </c>
      <c r="V189" s="27" t="str">
        <f>'施設状況(要更新)'!$E189&amp;'施設状況(要更新)'!$C189</f>
        <v/>
      </c>
      <c r="W189" s="27">
        <f>'施設状況(要更新)'!$F189</f>
        <v>0</v>
      </c>
      <c r="X189" s="28"/>
      <c r="Y189" s="27"/>
    </row>
    <row r="190" spans="1:25">
      <c r="A190" s="33"/>
      <c r="B190" s="25"/>
      <c r="C190" s="25"/>
      <c r="D190" s="25"/>
      <c r="E190" s="25"/>
      <c r="F190" s="25"/>
      <c r="G190" s="25"/>
      <c r="H190" s="25"/>
      <c r="I190" s="25"/>
      <c r="J190" s="25"/>
      <c r="K190" s="25"/>
      <c r="L190" s="25"/>
      <c r="M190" s="25"/>
      <c r="N190" s="25"/>
      <c r="O190" s="25"/>
      <c r="P190" s="25"/>
      <c r="Q190" s="25"/>
      <c r="R190" s="25"/>
      <c r="S190" s="26">
        <f t="shared" si="9"/>
        <v>0</v>
      </c>
      <c r="T190" s="26">
        <f>COUNTIF($V$4:V190,V190)</f>
        <v>179</v>
      </c>
      <c r="U190" s="26" t="str">
        <f>IF(T190=1,COUNTIF($T$4:T190,1),"")</f>
        <v/>
      </c>
      <c r="V190" s="27" t="str">
        <f>'施設状況(要更新)'!$E190&amp;'施設状況(要更新)'!$C190</f>
        <v/>
      </c>
      <c r="W190" s="27">
        <f>'施設状況(要更新)'!$F190</f>
        <v>0</v>
      </c>
      <c r="X190" s="28"/>
      <c r="Y190" s="27"/>
    </row>
    <row r="191" spans="1:25">
      <c r="A191" s="33"/>
      <c r="B191" s="25"/>
      <c r="C191" s="25"/>
      <c r="D191" s="25"/>
      <c r="E191" s="25"/>
      <c r="F191" s="25"/>
      <c r="G191" s="25"/>
      <c r="H191" s="25"/>
      <c r="I191" s="25"/>
      <c r="J191" s="25"/>
      <c r="K191" s="25"/>
      <c r="L191" s="25"/>
      <c r="M191" s="25"/>
      <c r="N191" s="25"/>
      <c r="O191" s="25"/>
      <c r="P191" s="25"/>
      <c r="Q191" s="25"/>
      <c r="R191" s="25"/>
      <c r="S191" s="26">
        <f t="shared" si="9"/>
        <v>0</v>
      </c>
      <c r="T191" s="26">
        <f>COUNTIF($V$4:V191,V191)</f>
        <v>180</v>
      </c>
      <c r="U191" s="26" t="str">
        <f>IF(T191=1,COUNTIF($T$4:T191,1),"")</f>
        <v/>
      </c>
      <c r="V191" s="27" t="str">
        <f>'施設状況(要更新)'!$E191&amp;'施設状況(要更新)'!$C191</f>
        <v/>
      </c>
      <c r="W191" s="27">
        <f>'施設状況(要更新)'!$F191</f>
        <v>0</v>
      </c>
      <c r="X191" s="28"/>
      <c r="Y191" s="27"/>
    </row>
    <row r="192" spans="1:25">
      <c r="A192" s="33"/>
      <c r="B192" s="25"/>
      <c r="C192" s="25"/>
      <c r="D192" s="25"/>
      <c r="E192" s="25"/>
      <c r="F192" s="25"/>
      <c r="G192" s="25"/>
      <c r="H192" s="25"/>
      <c r="I192" s="25"/>
      <c r="J192" s="25"/>
      <c r="K192" s="25"/>
      <c r="L192" s="25"/>
      <c r="M192" s="25"/>
      <c r="N192" s="25"/>
      <c r="O192" s="25"/>
      <c r="P192" s="25"/>
      <c r="Q192" s="25"/>
      <c r="R192" s="25"/>
      <c r="S192" s="26">
        <f t="shared" si="9"/>
        <v>0</v>
      </c>
      <c r="T192" s="26">
        <f>COUNTIF($V$4:V192,V192)</f>
        <v>181</v>
      </c>
      <c r="U192" s="26" t="str">
        <f>IF(T192=1,COUNTIF($T$4:T192,1),"")</f>
        <v/>
      </c>
      <c r="V192" s="27" t="str">
        <f>'施設状況(要更新)'!$E192&amp;'施設状況(要更新)'!$C192</f>
        <v/>
      </c>
      <c r="W192" s="27">
        <f>'施設状況(要更新)'!$F192</f>
        <v>0</v>
      </c>
      <c r="X192" s="28"/>
      <c r="Y192" s="27"/>
    </row>
    <row r="193" spans="1:33">
      <c r="A193" s="33"/>
      <c r="B193" s="25"/>
      <c r="C193" s="25"/>
      <c r="D193" s="25"/>
      <c r="E193" s="25"/>
      <c r="F193" s="25"/>
      <c r="G193" s="25"/>
      <c r="H193" s="25"/>
      <c r="I193" s="25"/>
      <c r="J193" s="25"/>
      <c r="K193" s="25"/>
      <c r="L193" s="25"/>
      <c r="M193" s="25"/>
      <c r="N193" s="25"/>
      <c r="O193" s="25"/>
      <c r="P193" s="25"/>
      <c r="Q193" s="25"/>
      <c r="R193" s="25"/>
      <c r="S193" s="26">
        <f t="shared" si="9"/>
        <v>0</v>
      </c>
      <c r="T193" s="26">
        <f>COUNTIF($V$4:V193,V193)</f>
        <v>182</v>
      </c>
      <c r="U193" s="26" t="str">
        <f>IF(T193=1,COUNTIF($T$4:T193,1),"")</f>
        <v/>
      </c>
      <c r="V193" s="27" t="str">
        <f>'施設状況(要更新)'!$E193&amp;'施設状況(要更新)'!$C193</f>
        <v/>
      </c>
      <c r="W193" s="27">
        <f>'施設状況(要更新)'!$F193</f>
        <v>0</v>
      </c>
      <c r="X193" s="28"/>
      <c r="Y193" s="27"/>
    </row>
    <row r="194" spans="1:33">
      <c r="A194" s="33"/>
      <c r="B194" s="25"/>
      <c r="C194" s="25"/>
      <c r="D194" s="25"/>
      <c r="E194" s="25"/>
      <c r="F194" s="25"/>
      <c r="G194" s="25"/>
      <c r="H194" s="25"/>
      <c r="I194" s="25"/>
      <c r="J194" s="25"/>
      <c r="K194" s="25"/>
      <c r="L194" s="25"/>
      <c r="M194" s="25"/>
      <c r="N194" s="25"/>
      <c r="O194" s="25"/>
      <c r="P194" s="25"/>
      <c r="Q194" s="25"/>
      <c r="R194" s="25"/>
      <c r="S194" s="26">
        <f t="shared" si="9"/>
        <v>0</v>
      </c>
      <c r="T194" s="26">
        <f>COUNTIF($V$4:V194,V194)</f>
        <v>183</v>
      </c>
      <c r="U194" s="26" t="str">
        <f>IF(T194=1,COUNTIF($T$4:T194,1),"")</f>
        <v/>
      </c>
      <c r="V194" s="27" t="str">
        <f>'施設状況(要更新)'!$E194&amp;'施設状況(要更新)'!$C194</f>
        <v/>
      </c>
      <c r="W194" s="27">
        <f>'施設状況(要更新)'!$F194</f>
        <v>0</v>
      </c>
      <c r="X194" s="28"/>
      <c r="Y194" s="27"/>
    </row>
    <row r="195" spans="1:33">
      <c r="A195" s="33"/>
      <c r="B195" s="25"/>
      <c r="C195" s="25"/>
      <c r="D195" s="25"/>
      <c r="E195" s="25"/>
      <c r="F195" s="25"/>
      <c r="G195" s="25"/>
      <c r="H195" s="25"/>
      <c r="I195" s="25"/>
      <c r="J195" s="25"/>
      <c r="K195" s="25"/>
      <c r="L195" s="25"/>
      <c r="M195" s="25"/>
      <c r="N195" s="25"/>
      <c r="O195" s="25"/>
      <c r="P195" s="25"/>
      <c r="Q195" s="25"/>
      <c r="R195" s="25"/>
      <c r="S195" s="26">
        <f t="shared" si="9"/>
        <v>0</v>
      </c>
      <c r="T195" s="26">
        <f>COUNTIF($V$4:V195,V195)</f>
        <v>184</v>
      </c>
      <c r="U195" s="26" t="str">
        <f>IF(T195=1,COUNTIF($T$4:T195,1),"")</f>
        <v/>
      </c>
      <c r="V195" s="27" t="str">
        <f>'施設状況(要更新)'!$E195&amp;'施設状況(要更新)'!$C195</f>
        <v/>
      </c>
      <c r="W195" s="27">
        <f>'施設状況(要更新)'!$F195</f>
        <v>0</v>
      </c>
      <c r="X195" s="28"/>
      <c r="Y195" s="27"/>
    </row>
    <row r="196" spans="1:33">
      <c r="A196" s="33"/>
      <c r="B196" s="25"/>
      <c r="C196" s="25"/>
      <c r="D196" s="25"/>
      <c r="E196" s="25"/>
      <c r="F196" s="25"/>
      <c r="G196" s="25"/>
      <c r="H196" s="25"/>
      <c r="I196" s="25"/>
      <c r="J196" s="25"/>
      <c r="K196" s="25"/>
      <c r="L196" s="25"/>
      <c r="M196" s="25"/>
      <c r="N196" s="25"/>
      <c r="O196" s="25"/>
      <c r="P196" s="25"/>
      <c r="Q196" s="25"/>
      <c r="R196" s="25"/>
      <c r="S196" s="26">
        <f t="shared" si="9"/>
        <v>0</v>
      </c>
      <c r="T196" s="26">
        <f>COUNTIF($V$4:V196,V196)</f>
        <v>185</v>
      </c>
      <c r="U196" s="26" t="str">
        <f>IF(T196=1,COUNTIF($T$4:T196,1),"")</f>
        <v/>
      </c>
      <c r="V196" s="27" t="str">
        <f>'施設状況(要更新)'!$E196&amp;'施設状況(要更新)'!$C196</f>
        <v/>
      </c>
      <c r="W196" s="27">
        <f>'施設状況(要更新)'!$F196</f>
        <v>0</v>
      </c>
      <c r="X196" s="28"/>
      <c r="Y196" s="27"/>
    </row>
    <row r="197" spans="1:33">
      <c r="A197" s="33"/>
      <c r="B197" s="25"/>
      <c r="C197" s="25"/>
      <c r="D197" s="25"/>
      <c r="E197" s="25"/>
      <c r="F197" s="25"/>
      <c r="G197" s="25"/>
      <c r="H197" s="25"/>
      <c r="I197" s="25"/>
      <c r="J197" s="25"/>
      <c r="K197" s="25"/>
      <c r="L197" s="25"/>
      <c r="M197" s="25"/>
      <c r="N197" s="25"/>
      <c r="O197" s="25"/>
      <c r="P197" s="25"/>
      <c r="Q197" s="25"/>
      <c r="R197" s="25"/>
      <c r="S197" s="26">
        <f t="shared" ref="S197:S260" si="10">A197</f>
        <v>0</v>
      </c>
      <c r="T197" s="26">
        <f>COUNTIF($V$4:V197,V197)</f>
        <v>186</v>
      </c>
      <c r="U197" s="26" t="str">
        <f>IF(T197=1,COUNTIF($T$4:T197,1),"")</f>
        <v/>
      </c>
      <c r="V197" s="27" t="str">
        <f>'施設状況(要更新)'!$E197&amp;'施設状況(要更新)'!$C197</f>
        <v/>
      </c>
      <c r="W197" s="27">
        <f>'施設状況(要更新)'!$F197</f>
        <v>0</v>
      </c>
      <c r="X197" s="28"/>
      <c r="Y197" s="27"/>
    </row>
    <row r="198" spans="1:33">
      <c r="A198" s="33"/>
      <c r="B198" s="25"/>
      <c r="C198" s="25"/>
      <c r="D198" s="25"/>
      <c r="E198" s="25"/>
      <c r="F198" s="25"/>
      <c r="G198" s="25"/>
      <c r="H198" s="25"/>
      <c r="I198" s="25"/>
      <c r="J198" s="25"/>
      <c r="K198" s="25"/>
      <c r="L198" s="25"/>
      <c r="M198" s="25"/>
      <c r="N198" s="25"/>
      <c r="O198" s="25"/>
      <c r="P198" s="25"/>
      <c r="Q198" s="25"/>
      <c r="R198" s="25"/>
      <c r="S198" s="26">
        <f t="shared" si="10"/>
        <v>0</v>
      </c>
      <c r="T198" s="26">
        <f>COUNTIF($V$4:V198,V198)</f>
        <v>187</v>
      </c>
      <c r="U198" s="26" t="str">
        <f>IF(T198=1,COUNTIF($T$4:T198,1),"")</f>
        <v/>
      </c>
      <c r="V198" s="27" t="str">
        <f>'施設状況(要更新)'!$E198&amp;'施設状況(要更新)'!$C198</f>
        <v/>
      </c>
      <c r="W198" s="27">
        <f>'施設状況(要更新)'!$F198</f>
        <v>0</v>
      </c>
      <c r="X198" s="28"/>
      <c r="Y198" s="27"/>
    </row>
    <row r="199" spans="1:33">
      <c r="A199" s="33"/>
      <c r="B199" s="25"/>
      <c r="C199" s="25"/>
      <c r="D199" s="25"/>
      <c r="E199" s="25"/>
      <c r="F199" s="25"/>
      <c r="G199" s="25"/>
      <c r="H199" s="25"/>
      <c r="I199" s="25"/>
      <c r="J199" s="25"/>
      <c r="K199" s="25"/>
      <c r="L199" s="25"/>
      <c r="M199" s="25"/>
      <c r="N199" s="25"/>
      <c r="O199" s="25"/>
      <c r="P199" s="25"/>
      <c r="Q199" s="25"/>
      <c r="R199" s="25"/>
      <c r="S199" s="26">
        <f t="shared" si="10"/>
        <v>0</v>
      </c>
      <c r="T199" s="26">
        <f>COUNTIF($V$4:V199,V199)</f>
        <v>188</v>
      </c>
      <c r="U199" s="26" t="str">
        <f>IF(T199=1,COUNTIF($T$4:T199,1),"")</f>
        <v/>
      </c>
      <c r="V199" s="27" t="str">
        <f>'施設状況(要更新)'!$E199&amp;'施設状況(要更新)'!$C199</f>
        <v/>
      </c>
      <c r="W199" s="27">
        <f>'施設状況(要更新)'!$F199</f>
        <v>0</v>
      </c>
      <c r="X199" s="28"/>
      <c r="Y199" s="27"/>
      <c r="Z199" s="27"/>
      <c r="AA199" s="27"/>
      <c r="AB199" s="27"/>
      <c r="AC199" s="27"/>
      <c r="AD199" s="27"/>
      <c r="AE199" s="27"/>
      <c r="AF199" s="27"/>
      <c r="AG199" s="27"/>
    </row>
    <row r="200" spans="1:33">
      <c r="A200" s="33"/>
      <c r="B200" s="25"/>
      <c r="C200" s="25"/>
      <c r="D200" s="25"/>
      <c r="E200" s="25"/>
      <c r="F200" s="25"/>
      <c r="G200" s="25"/>
      <c r="H200" s="25"/>
      <c r="I200" s="25"/>
      <c r="J200" s="25"/>
      <c r="K200" s="25"/>
      <c r="L200" s="25"/>
      <c r="M200" s="25"/>
      <c r="N200" s="25"/>
      <c r="O200" s="25"/>
      <c r="P200" s="25"/>
      <c r="Q200" s="25"/>
      <c r="R200" s="25"/>
      <c r="S200" s="26">
        <f t="shared" si="10"/>
        <v>0</v>
      </c>
      <c r="T200" s="26">
        <f>COUNTIF($V$4:V200,V200)</f>
        <v>189</v>
      </c>
      <c r="U200" s="26" t="str">
        <f>IF(T200=1,COUNTIF($T$4:T200,1),"")</f>
        <v/>
      </c>
      <c r="V200" s="27" t="str">
        <f>'施設状況(要更新)'!$E200&amp;'施設状況(要更新)'!$C200</f>
        <v/>
      </c>
      <c r="W200" s="27">
        <f>'施設状況(要更新)'!$F200</f>
        <v>0</v>
      </c>
      <c r="X200" s="28"/>
      <c r="Y200" s="27"/>
    </row>
    <row r="201" spans="1:33">
      <c r="A201" s="33"/>
      <c r="B201" s="25"/>
      <c r="C201" s="25"/>
      <c r="D201" s="25"/>
      <c r="E201" s="25"/>
      <c r="F201" s="25"/>
      <c r="G201" s="25"/>
      <c r="H201" s="25"/>
      <c r="I201" s="25"/>
      <c r="J201" s="25"/>
      <c r="K201" s="25"/>
      <c r="L201" s="25"/>
      <c r="M201" s="25"/>
      <c r="N201" s="25"/>
      <c r="O201" s="25"/>
      <c r="P201" s="25"/>
      <c r="Q201" s="25"/>
      <c r="R201" s="25"/>
      <c r="S201" s="26">
        <f t="shared" si="10"/>
        <v>0</v>
      </c>
      <c r="T201" s="26">
        <f>COUNTIF($V$4:V201,V201)</f>
        <v>190</v>
      </c>
      <c r="U201" s="26" t="str">
        <f>IF(T201=1,COUNTIF($T$4:T201,1),"")</f>
        <v/>
      </c>
      <c r="V201" s="27" t="str">
        <f>'施設状況(要更新)'!$E201&amp;'施設状況(要更新)'!$C201</f>
        <v/>
      </c>
      <c r="W201" s="27">
        <f>'施設状況(要更新)'!$F201</f>
        <v>0</v>
      </c>
      <c r="X201" s="28"/>
      <c r="Y201" s="27"/>
    </row>
    <row r="202" spans="1:33">
      <c r="A202" s="33"/>
      <c r="B202" s="25"/>
      <c r="C202" s="25"/>
      <c r="D202" s="25"/>
      <c r="E202" s="25"/>
      <c r="F202" s="25"/>
      <c r="G202" s="25"/>
      <c r="H202" s="25"/>
      <c r="I202" s="25"/>
      <c r="J202" s="25"/>
      <c r="K202" s="25"/>
      <c r="L202" s="25"/>
      <c r="M202" s="25"/>
      <c r="N202" s="25"/>
      <c r="O202" s="25"/>
      <c r="P202" s="25"/>
      <c r="Q202" s="25"/>
      <c r="R202" s="25"/>
      <c r="S202" s="26">
        <f t="shared" si="10"/>
        <v>0</v>
      </c>
      <c r="T202" s="26">
        <f>COUNTIF($V$4:V202,V202)</f>
        <v>191</v>
      </c>
      <c r="U202" s="26" t="str">
        <f>IF(T202=1,COUNTIF($T$4:T202,1),"")</f>
        <v/>
      </c>
      <c r="V202" s="27" t="str">
        <f>'施設状況(要更新)'!$E202&amp;'施設状況(要更新)'!$C202</f>
        <v/>
      </c>
      <c r="W202" s="27">
        <f>'施設状況(要更新)'!$F202</f>
        <v>0</v>
      </c>
      <c r="X202" s="28"/>
      <c r="Y202" s="27"/>
    </row>
    <row r="203" spans="1:33">
      <c r="A203" s="33"/>
      <c r="B203" s="25"/>
      <c r="C203" s="25"/>
      <c r="D203" s="25"/>
      <c r="E203" s="25"/>
      <c r="F203" s="25"/>
      <c r="G203" s="25"/>
      <c r="H203" s="25"/>
      <c r="I203" s="25"/>
      <c r="J203" s="25"/>
      <c r="K203" s="25"/>
      <c r="L203" s="25"/>
      <c r="M203" s="25"/>
      <c r="N203" s="25"/>
      <c r="O203" s="25"/>
      <c r="P203" s="25"/>
      <c r="Q203" s="25"/>
      <c r="R203" s="25"/>
      <c r="S203" s="26">
        <f t="shared" si="10"/>
        <v>0</v>
      </c>
      <c r="T203" s="26">
        <f>COUNTIF($V$4:V203,V203)</f>
        <v>192</v>
      </c>
      <c r="U203" s="26" t="str">
        <f>IF(T203=1,COUNTIF($T$4:T203,1),"")</f>
        <v/>
      </c>
      <c r="V203" s="27" t="str">
        <f>'施設状況(要更新)'!$E203&amp;'施設状況(要更新)'!$C203</f>
        <v/>
      </c>
      <c r="W203" s="27">
        <f>'施設状況(要更新)'!$F203</f>
        <v>0</v>
      </c>
      <c r="X203" s="28"/>
      <c r="Y203" s="27"/>
    </row>
    <row r="204" spans="1:33">
      <c r="A204" s="33"/>
      <c r="B204" s="25"/>
      <c r="C204" s="25"/>
      <c r="D204" s="25"/>
      <c r="E204" s="25"/>
      <c r="F204" s="25"/>
      <c r="G204" s="25"/>
      <c r="H204" s="25"/>
      <c r="I204" s="25"/>
      <c r="J204" s="25"/>
      <c r="K204" s="25"/>
      <c r="L204" s="25"/>
      <c r="M204" s="25"/>
      <c r="N204" s="25"/>
      <c r="O204" s="25"/>
      <c r="P204" s="25"/>
      <c r="Q204" s="25"/>
      <c r="R204" s="25"/>
      <c r="S204" s="26">
        <f t="shared" si="10"/>
        <v>0</v>
      </c>
      <c r="T204" s="26">
        <f>COUNTIF($V$4:V204,V204)</f>
        <v>193</v>
      </c>
      <c r="U204" s="26" t="str">
        <f>IF(T204=1,COUNTIF($T$4:T204,1),"")</f>
        <v/>
      </c>
      <c r="V204" s="27" t="str">
        <f>'施設状況(要更新)'!$E204&amp;'施設状況(要更新)'!$C204</f>
        <v/>
      </c>
      <c r="W204" s="27">
        <f>'施設状況(要更新)'!$F204</f>
        <v>0</v>
      </c>
      <c r="X204" s="28"/>
      <c r="Y204" s="27"/>
    </row>
    <row r="205" spans="1:33">
      <c r="A205" s="33"/>
      <c r="B205" s="25"/>
      <c r="C205" s="25"/>
      <c r="D205" s="25"/>
      <c r="E205" s="25"/>
      <c r="F205" s="25"/>
      <c r="G205" s="25"/>
      <c r="H205" s="25"/>
      <c r="I205" s="25"/>
      <c r="J205" s="25"/>
      <c r="K205" s="25"/>
      <c r="L205" s="25"/>
      <c r="M205" s="25"/>
      <c r="N205" s="25"/>
      <c r="O205" s="25"/>
      <c r="P205" s="25"/>
      <c r="Q205" s="25"/>
      <c r="R205" s="25"/>
      <c r="S205" s="26">
        <f t="shared" si="10"/>
        <v>0</v>
      </c>
      <c r="T205" s="26">
        <f>COUNTIF($V$4:V205,V205)</f>
        <v>194</v>
      </c>
      <c r="U205" s="26" t="str">
        <f>IF(T205=1,COUNTIF($T$4:T205,1),"")</f>
        <v/>
      </c>
      <c r="V205" s="27" t="str">
        <f>'施設状況(要更新)'!$E205&amp;'施設状況(要更新)'!$C205</f>
        <v/>
      </c>
      <c r="W205" s="27">
        <f>'施設状況(要更新)'!$F205</f>
        <v>0</v>
      </c>
      <c r="X205" s="28"/>
      <c r="Y205" s="27"/>
    </row>
    <row r="206" spans="1:33">
      <c r="A206" s="33"/>
      <c r="B206" s="25"/>
      <c r="C206" s="25"/>
      <c r="D206" s="25"/>
      <c r="E206" s="25"/>
      <c r="F206" s="25"/>
      <c r="G206" s="25"/>
      <c r="H206" s="25"/>
      <c r="I206" s="25"/>
      <c r="J206" s="25"/>
      <c r="K206" s="25"/>
      <c r="L206" s="25"/>
      <c r="M206" s="25"/>
      <c r="N206" s="25"/>
      <c r="O206" s="25"/>
      <c r="P206" s="25"/>
      <c r="Q206" s="25"/>
      <c r="R206" s="25"/>
      <c r="S206" s="26">
        <f t="shared" si="10"/>
        <v>0</v>
      </c>
      <c r="T206" s="26">
        <f>COUNTIF($V$4:V206,V206)</f>
        <v>195</v>
      </c>
      <c r="U206" s="26" t="str">
        <f>IF(T206=1,COUNTIF($T$4:T206,1),"")</f>
        <v/>
      </c>
      <c r="V206" s="27" t="str">
        <f>'施設状況(要更新)'!$E206&amp;'施設状況(要更新)'!$C206</f>
        <v/>
      </c>
      <c r="W206" s="27">
        <f>'施設状況(要更新)'!$F206</f>
        <v>0</v>
      </c>
      <c r="X206" s="28"/>
      <c r="Y206" s="27"/>
    </row>
    <row r="207" spans="1:33">
      <c r="A207" s="33"/>
      <c r="B207" s="25"/>
      <c r="C207" s="25"/>
      <c r="D207" s="25"/>
      <c r="E207" s="25"/>
      <c r="F207" s="25"/>
      <c r="G207" s="25"/>
      <c r="H207" s="25"/>
      <c r="I207" s="25"/>
      <c r="J207" s="25"/>
      <c r="K207" s="25"/>
      <c r="L207" s="25"/>
      <c r="M207" s="25"/>
      <c r="N207" s="25"/>
      <c r="O207" s="25"/>
      <c r="P207" s="25"/>
      <c r="Q207" s="25"/>
      <c r="R207" s="25"/>
      <c r="S207" s="26">
        <f t="shared" si="10"/>
        <v>0</v>
      </c>
      <c r="T207" s="26">
        <f>COUNTIF($V$4:V207,V207)</f>
        <v>196</v>
      </c>
      <c r="U207" s="26" t="str">
        <f>IF(T207=1,COUNTIF($T$4:T207,1),"")</f>
        <v/>
      </c>
      <c r="V207" s="27" t="str">
        <f>'施設状況(要更新)'!$E207&amp;'施設状況(要更新)'!$C207</f>
        <v/>
      </c>
      <c r="W207" s="27">
        <f>'施設状況(要更新)'!$F207</f>
        <v>0</v>
      </c>
      <c r="X207" s="28"/>
      <c r="Y207" s="27"/>
    </row>
    <row r="208" spans="1:33">
      <c r="A208" s="33"/>
      <c r="B208" s="25"/>
      <c r="C208" s="25"/>
      <c r="D208" s="25"/>
      <c r="E208" s="25"/>
      <c r="F208" s="25"/>
      <c r="G208" s="25"/>
      <c r="H208" s="25"/>
      <c r="I208" s="25"/>
      <c r="J208" s="25"/>
      <c r="K208" s="25"/>
      <c r="L208" s="25"/>
      <c r="M208" s="25"/>
      <c r="N208" s="25"/>
      <c r="O208" s="25"/>
      <c r="P208" s="25"/>
      <c r="Q208" s="25"/>
      <c r="R208" s="25"/>
      <c r="S208" s="26">
        <f t="shared" si="10"/>
        <v>0</v>
      </c>
      <c r="T208" s="26">
        <f>COUNTIF($V$4:V208,V208)</f>
        <v>197</v>
      </c>
      <c r="U208" s="26" t="str">
        <f>IF(T208=1,COUNTIF($T$4:T208,1),"")</f>
        <v/>
      </c>
      <c r="V208" s="27" t="str">
        <f>'施設状況(要更新)'!$E208&amp;'施設状況(要更新)'!$C208</f>
        <v/>
      </c>
      <c r="W208" s="27">
        <f>'施設状況(要更新)'!$F208</f>
        <v>0</v>
      </c>
      <c r="X208" s="28"/>
      <c r="Y208" s="27"/>
    </row>
    <row r="209" spans="1:25">
      <c r="A209" s="33"/>
      <c r="B209" s="25"/>
      <c r="C209" s="25"/>
      <c r="D209" s="25"/>
      <c r="E209" s="25"/>
      <c r="F209" s="25"/>
      <c r="G209" s="25"/>
      <c r="H209" s="25"/>
      <c r="I209" s="25"/>
      <c r="J209" s="25"/>
      <c r="K209" s="25"/>
      <c r="L209" s="25"/>
      <c r="M209" s="25"/>
      <c r="N209" s="25"/>
      <c r="O209" s="25"/>
      <c r="P209" s="25"/>
      <c r="Q209" s="25"/>
      <c r="R209" s="25"/>
      <c r="S209" s="26">
        <f t="shared" si="10"/>
        <v>0</v>
      </c>
      <c r="T209" s="26">
        <f>COUNTIF($V$4:V209,V209)</f>
        <v>198</v>
      </c>
      <c r="U209" s="26" t="str">
        <f>IF(T209=1,COUNTIF($T$4:T209,1),"")</f>
        <v/>
      </c>
      <c r="V209" s="27" t="str">
        <f>'施設状況(要更新)'!$E209&amp;'施設状況(要更新)'!$C209</f>
        <v/>
      </c>
      <c r="W209" s="27">
        <f>'施設状況(要更新)'!$F209</f>
        <v>0</v>
      </c>
      <c r="X209" s="28"/>
      <c r="Y209" s="27"/>
    </row>
    <row r="210" spans="1:25">
      <c r="A210" s="33"/>
      <c r="B210" s="25"/>
      <c r="C210" s="25"/>
      <c r="D210" s="25"/>
      <c r="E210" s="25"/>
      <c r="F210" s="25"/>
      <c r="G210" s="25"/>
      <c r="H210" s="25"/>
      <c r="I210" s="25"/>
      <c r="J210" s="25"/>
      <c r="K210" s="25"/>
      <c r="L210" s="25"/>
      <c r="M210" s="25"/>
      <c r="N210" s="25"/>
      <c r="O210" s="25"/>
      <c r="P210" s="25"/>
      <c r="Q210" s="25"/>
      <c r="R210" s="25"/>
      <c r="S210" s="26">
        <f t="shared" si="10"/>
        <v>0</v>
      </c>
      <c r="T210" s="26">
        <f>COUNTIF($V$4:V210,V210)</f>
        <v>199</v>
      </c>
      <c r="U210" s="26" t="str">
        <f>IF(T210=1,COUNTIF($T$4:T210,1),"")</f>
        <v/>
      </c>
      <c r="V210" s="27" t="str">
        <f>'施設状況(要更新)'!$E210&amp;'施設状況(要更新)'!$C210</f>
        <v/>
      </c>
      <c r="W210" s="27">
        <f>'施設状況(要更新)'!$F210</f>
        <v>0</v>
      </c>
      <c r="X210" s="28"/>
      <c r="Y210" s="27"/>
    </row>
    <row r="211" spans="1:25">
      <c r="A211" s="33"/>
      <c r="B211" s="25"/>
      <c r="C211" s="25"/>
      <c r="D211" s="25"/>
      <c r="E211" s="25"/>
      <c r="F211" s="25"/>
      <c r="G211" s="25"/>
      <c r="H211" s="25"/>
      <c r="I211" s="25"/>
      <c r="J211" s="25"/>
      <c r="K211" s="25"/>
      <c r="L211" s="25"/>
      <c r="M211" s="25"/>
      <c r="N211" s="25"/>
      <c r="O211" s="25"/>
      <c r="P211" s="25"/>
      <c r="Q211" s="25"/>
      <c r="R211" s="25"/>
      <c r="S211" s="26">
        <f t="shared" si="10"/>
        <v>0</v>
      </c>
      <c r="T211" s="26">
        <f>COUNTIF($V$4:V211,V211)</f>
        <v>200</v>
      </c>
      <c r="U211" s="26" t="str">
        <f>IF(T211=1,COUNTIF($T$4:T211,1),"")</f>
        <v/>
      </c>
      <c r="V211" s="27" t="str">
        <f>'施設状況(要更新)'!$E211&amp;'施設状況(要更新)'!$C211</f>
        <v/>
      </c>
      <c r="W211" s="27">
        <f>'施設状況(要更新)'!$F211</f>
        <v>0</v>
      </c>
      <c r="X211" s="28"/>
      <c r="Y211" s="27"/>
    </row>
    <row r="212" spans="1:25">
      <c r="A212" s="33"/>
      <c r="B212" s="25"/>
      <c r="C212" s="25"/>
      <c r="D212" s="25"/>
      <c r="E212" s="25"/>
      <c r="F212" s="25"/>
      <c r="G212" s="25"/>
      <c r="H212" s="25"/>
      <c r="I212" s="25"/>
      <c r="J212" s="25"/>
      <c r="K212" s="25"/>
      <c r="L212" s="25"/>
      <c r="M212" s="25"/>
      <c r="N212" s="25"/>
      <c r="O212" s="25"/>
      <c r="P212" s="25"/>
      <c r="Q212" s="25"/>
      <c r="R212" s="25"/>
      <c r="S212" s="26">
        <f t="shared" si="10"/>
        <v>0</v>
      </c>
      <c r="T212" s="26">
        <f>COUNTIF($V$4:V212,V212)</f>
        <v>201</v>
      </c>
      <c r="U212" s="26" t="str">
        <f>IF(T212=1,COUNTIF($T$4:T212,1),"")</f>
        <v/>
      </c>
      <c r="V212" s="27" t="str">
        <f>'施設状況(要更新)'!$E212&amp;'施設状況(要更新)'!$C212</f>
        <v/>
      </c>
      <c r="W212" s="27">
        <f>'施設状況(要更新)'!$F212</f>
        <v>0</v>
      </c>
      <c r="X212" s="28"/>
      <c r="Y212" s="27"/>
    </row>
    <row r="213" spans="1:25">
      <c r="A213" s="33"/>
      <c r="B213" s="25"/>
      <c r="C213" s="25"/>
      <c r="D213" s="25"/>
      <c r="E213" s="25"/>
      <c r="F213" s="25"/>
      <c r="G213" s="25"/>
      <c r="H213" s="25"/>
      <c r="I213" s="25"/>
      <c r="J213" s="25"/>
      <c r="K213" s="25"/>
      <c r="L213" s="25"/>
      <c r="M213" s="25"/>
      <c r="N213" s="25"/>
      <c r="O213" s="25"/>
      <c r="P213" s="25"/>
      <c r="Q213" s="25"/>
      <c r="R213" s="25"/>
      <c r="S213" s="26">
        <f t="shared" si="10"/>
        <v>0</v>
      </c>
      <c r="T213" s="26">
        <f>COUNTIF($V$4:V213,V213)</f>
        <v>202</v>
      </c>
      <c r="U213" s="26" t="str">
        <f>IF(T213=1,COUNTIF($T$4:T213,1),"")</f>
        <v/>
      </c>
      <c r="V213" s="27" t="str">
        <f>'施設状況(要更新)'!$E213&amp;'施設状況(要更新)'!$C213</f>
        <v/>
      </c>
      <c r="W213" s="27">
        <f>'施設状況(要更新)'!$F213</f>
        <v>0</v>
      </c>
      <c r="X213" s="28"/>
      <c r="Y213" s="27"/>
    </row>
    <row r="214" spans="1:25">
      <c r="A214" s="33"/>
      <c r="B214" s="25"/>
      <c r="C214" s="25"/>
      <c r="D214" s="25"/>
      <c r="E214" s="25"/>
      <c r="F214" s="25"/>
      <c r="G214" s="25"/>
      <c r="H214" s="25"/>
      <c r="I214" s="25"/>
      <c r="J214" s="25"/>
      <c r="K214" s="25"/>
      <c r="L214" s="25"/>
      <c r="M214" s="25"/>
      <c r="N214" s="25"/>
      <c r="O214" s="25"/>
      <c r="P214" s="25"/>
      <c r="Q214" s="25"/>
      <c r="R214" s="25"/>
      <c r="S214" s="26">
        <f t="shared" si="10"/>
        <v>0</v>
      </c>
      <c r="T214" s="26">
        <f>COUNTIF($V$4:V214,V214)</f>
        <v>203</v>
      </c>
      <c r="U214" s="26" t="str">
        <f>IF(T214=1,COUNTIF($T$4:T214,1),"")</f>
        <v/>
      </c>
      <c r="V214" s="27" t="str">
        <f>'施設状況(要更新)'!$E214&amp;'施設状況(要更新)'!$C214</f>
        <v/>
      </c>
      <c r="W214" s="27">
        <f>'施設状況(要更新)'!$F214</f>
        <v>0</v>
      </c>
      <c r="X214" s="28"/>
      <c r="Y214" s="27"/>
    </row>
    <row r="215" spans="1:25">
      <c r="A215" s="33"/>
      <c r="B215" s="25"/>
      <c r="C215" s="25"/>
      <c r="D215" s="25"/>
      <c r="E215" s="25"/>
      <c r="F215" s="25"/>
      <c r="G215" s="25"/>
      <c r="H215" s="25"/>
      <c r="I215" s="25"/>
      <c r="J215" s="25"/>
      <c r="K215" s="25"/>
      <c r="L215" s="25"/>
      <c r="M215" s="25"/>
      <c r="N215" s="25"/>
      <c r="O215" s="25"/>
      <c r="P215" s="25"/>
      <c r="Q215" s="25"/>
      <c r="R215" s="25"/>
      <c r="S215" s="26">
        <f t="shared" si="10"/>
        <v>0</v>
      </c>
      <c r="T215" s="26">
        <f>COUNTIF($V$4:V215,V215)</f>
        <v>204</v>
      </c>
      <c r="U215" s="26" t="str">
        <f>IF(T215=1,COUNTIF($T$4:T215,1),"")</f>
        <v/>
      </c>
      <c r="V215" s="27" t="str">
        <f>'施設状況(要更新)'!$E215&amp;'施設状況(要更新)'!$C215</f>
        <v/>
      </c>
      <c r="W215" s="27">
        <f>'施設状況(要更新)'!$F215</f>
        <v>0</v>
      </c>
      <c r="X215" s="28"/>
      <c r="Y215" s="27"/>
    </row>
    <row r="216" spans="1:25">
      <c r="A216" s="33"/>
      <c r="B216" s="25"/>
      <c r="C216" s="25"/>
      <c r="D216" s="25"/>
      <c r="E216" s="25"/>
      <c r="F216" s="25"/>
      <c r="G216" s="25"/>
      <c r="H216" s="25"/>
      <c r="I216" s="25"/>
      <c r="J216" s="25"/>
      <c r="K216" s="25"/>
      <c r="L216" s="25"/>
      <c r="M216" s="25"/>
      <c r="N216" s="25"/>
      <c r="O216" s="25"/>
      <c r="P216" s="25"/>
      <c r="Q216" s="25"/>
      <c r="R216" s="25"/>
      <c r="S216" s="26">
        <f t="shared" si="10"/>
        <v>0</v>
      </c>
      <c r="T216" s="26">
        <f>COUNTIF($V$4:V216,V216)</f>
        <v>205</v>
      </c>
      <c r="U216" s="26" t="str">
        <f>IF(T216=1,COUNTIF($T$4:T216,1),"")</f>
        <v/>
      </c>
      <c r="V216" s="27" t="str">
        <f>'施設状況(要更新)'!$E216&amp;'施設状況(要更新)'!$C216</f>
        <v/>
      </c>
      <c r="W216" s="27">
        <f>'施設状況(要更新)'!$F216</f>
        <v>0</v>
      </c>
      <c r="X216" s="28"/>
      <c r="Y216" s="27"/>
    </row>
    <row r="217" spans="1:25">
      <c r="A217" s="33"/>
      <c r="B217" s="25"/>
      <c r="C217" s="25"/>
      <c r="D217" s="25"/>
      <c r="E217" s="25"/>
      <c r="F217" s="25"/>
      <c r="G217" s="25"/>
      <c r="H217" s="25"/>
      <c r="I217" s="25"/>
      <c r="J217" s="25"/>
      <c r="K217" s="25"/>
      <c r="L217" s="25"/>
      <c r="M217" s="25"/>
      <c r="N217" s="25"/>
      <c r="O217" s="25"/>
      <c r="P217" s="25"/>
      <c r="Q217" s="25"/>
      <c r="R217" s="25"/>
      <c r="S217" s="26">
        <f t="shared" si="10"/>
        <v>0</v>
      </c>
      <c r="T217" s="26">
        <f>COUNTIF($V$4:V217,V217)</f>
        <v>206</v>
      </c>
      <c r="U217" s="26" t="str">
        <f>IF(T217=1,COUNTIF($T$4:T217,1),"")</f>
        <v/>
      </c>
      <c r="V217" s="27" t="str">
        <f>'施設状況(要更新)'!$E217&amp;'施設状況(要更新)'!$C217</f>
        <v/>
      </c>
      <c r="W217" s="27">
        <f>'施設状況(要更新)'!$F217</f>
        <v>0</v>
      </c>
      <c r="X217" s="28"/>
      <c r="Y217" s="27"/>
    </row>
    <row r="218" spans="1:25">
      <c r="A218" s="33"/>
      <c r="B218" s="25"/>
      <c r="C218" s="25"/>
      <c r="D218" s="25"/>
      <c r="E218" s="25"/>
      <c r="F218" s="25"/>
      <c r="G218" s="25"/>
      <c r="H218" s="25"/>
      <c r="I218" s="25"/>
      <c r="J218" s="25"/>
      <c r="K218" s="25"/>
      <c r="L218" s="25"/>
      <c r="M218" s="25"/>
      <c r="N218" s="25"/>
      <c r="O218" s="25"/>
      <c r="P218" s="25"/>
      <c r="Q218" s="25"/>
      <c r="R218" s="25"/>
      <c r="S218" s="26">
        <f t="shared" si="10"/>
        <v>0</v>
      </c>
      <c r="T218" s="26">
        <f>COUNTIF($V$4:V218,V218)</f>
        <v>207</v>
      </c>
      <c r="U218" s="26" t="str">
        <f>IF(T218=1,COUNTIF($T$4:T218,1),"")</f>
        <v/>
      </c>
      <c r="V218" s="27" t="str">
        <f>'施設状況(要更新)'!$E218&amp;'施設状況(要更新)'!$C218</f>
        <v/>
      </c>
      <c r="W218" s="27">
        <f>'施設状況(要更新)'!$F218</f>
        <v>0</v>
      </c>
      <c r="X218" s="28"/>
      <c r="Y218" s="27"/>
    </row>
    <row r="219" spans="1:25">
      <c r="A219" s="33"/>
      <c r="B219" s="25"/>
      <c r="C219" s="25"/>
      <c r="D219" s="25"/>
      <c r="E219" s="25"/>
      <c r="F219" s="25"/>
      <c r="G219" s="25"/>
      <c r="H219" s="25"/>
      <c r="I219" s="25"/>
      <c r="J219" s="25"/>
      <c r="K219" s="25"/>
      <c r="L219" s="25"/>
      <c r="M219" s="25"/>
      <c r="N219" s="25"/>
      <c r="O219" s="25"/>
      <c r="P219" s="25"/>
      <c r="Q219" s="25"/>
      <c r="R219" s="25"/>
      <c r="S219" s="26">
        <f t="shared" si="10"/>
        <v>0</v>
      </c>
      <c r="T219" s="26">
        <f>COUNTIF($V$4:V219,V219)</f>
        <v>208</v>
      </c>
      <c r="U219" s="26" t="str">
        <f>IF(T219=1,COUNTIF($T$4:T219,1),"")</f>
        <v/>
      </c>
      <c r="V219" s="27" t="str">
        <f>'施設状況(要更新)'!$E219&amp;'施設状況(要更新)'!$C219</f>
        <v/>
      </c>
      <c r="W219" s="27">
        <f>'施設状況(要更新)'!$F219</f>
        <v>0</v>
      </c>
      <c r="X219" s="28"/>
      <c r="Y219" s="27"/>
    </row>
    <row r="220" spans="1:25">
      <c r="A220" s="33"/>
      <c r="B220" s="25"/>
      <c r="C220" s="25"/>
      <c r="D220" s="25"/>
      <c r="E220" s="25"/>
      <c r="F220" s="25"/>
      <c r="G220" s="25"/>
      <c r="H220" s="25"/>
      <c r="I220" s="25"/>
      <c r="J220" s="25"/>
      <c r="K220" s="25"/>
      <c r="L220" s="25"/>
      <c r="M220" s="25"/>
      <c r="N220" s="25"/>
      <c r="O220" s="25"/>
      <c r="P220" s="25"/>
      <c r="Q220" s="25"/>
      <c r="R220" s="25"/>
      <c r="S220" s="26">
        <f t="shared" si="10"/>
        <v>0</v>
      </c>
      <c r="T220" s="26">
        <f>COUNTIF($V$4:V220,V220)</f>
        <v>209</v>
      </c>
      <c r="U220" s="26" t="str">
        <f>IF(T220=1,COUNTIF($T$4:T220,1),"")</f>
        <v/>
      </c>
      <c r="V220" s="27" t="str">
        <f>'施設状況(要更新)'!$E220&amp;'施設状況(要更新)'!$C220</f>
        <v/>
      </c>
      <c r="W220" s="27">
        <f>'施設状況(要更新)'!$F220</f>
        <v>0</v>
      </c>
      <c r="X220" s="28"/>
      <c r="Y220" s="27"/>
    </row>
    <row r="221" spans="1:25">
      <c r="A221" s="33"/>
      <c r="B221" s="25"/>
      <c r="C221" s="25"/>
      <c r="D221" s="25"/>
      <c r="E221" s="25"/>
      <c r="F221" s="25"/>
      <c r="G221" s="25"/>
      <c r="H221" s="25"/>
      <c r="I221" s="25"/>
      <c r="J221" s="25"/>
      <c r="K221" s="25"/>
      <c r="L221" s="25"/>
      <c r="M221" s="25"/>
      <c r="N221" s="25"/>
      <c r="O221" s="25"/>
      <c r="P221" s="25"/>
      <c r="Q221" s="25"/>
      <c r="R221" s="25"/>
      <c r="S221" s="26">
        <f t="shared" si="10"/>
        <v>0</v>
      </c>
      <c r="T221" s="26">
        <f>COUNTIF($V$4:V221,V221)</f>
        <v>210</v>
      </c>
      <c r="U221" s="26" t="str">
        <f>IF(T221=1,COUNTIF($T$4:T221,1),"")</f>
        <v/>
      </c>
      <c r="V221" s="27" t="str">
        <f>'施設状況(要更新)'!$E221&amp;'施設状況(要更新)'!$C221</f>
        <v/>
      </c>
      <c r="W221" s="27">
        <f>'施設状況(要更新)'!$F221</f>
        <v>0</v>
      </c>
      <c r="X221" s="28"/>
      <c r="Y221" s="27"/>
    </row>
    <row r="222" spans="1:25">
      <c r="A222" s="33"/>
      <c r="B222" s="25"/>
      <c r="C222" s="25"/>
      <c r="D222" s="25"/>
      <c r="E222" s="25"/>
      <c r="F222" s="25"/>
      <c r="G222" s="25"/>
      <c r="H222" s="25"/>
      <c r="I222" s="25"/>
      <c r="J222" s="25"/>
      <c r="K222" s="25"/>
      <c r="L222" s="25"/>
      <c r="M222" s="25"/>
      <c r="N222" s="25"/>
      <c r="O222" s="25"/>
      <c r="P222" s="25"/>
      <c r="Q222" s="25"/>
      <c r="R222" s="25"/>
      <c r="S222" s="26">
        <f t="shared" si="10"/>
        <v>0</v>
      </c>
      <c r="T222" s="26">
        <f>COUNTIF($V$4:V222,V222)</f>
        <v>211</v>
      </c>
      <c r="U222" s="26" t="str">
        <f>IF(T222=1,COUNTIF($T$4:T222,1),"")</f>
        <v/>
      </c>
      <c r="V222" s="27" t="str">
        <f>'施設状況(要更新)'!$E222&amp;'施設状況(要更新)'!$C222</f>
        <v/>
      </c>
      <c r="W222" s="27">
        <f>'施設状況(要更新)'!$F222</f>
        <v>0</v>
      </c>
      <c r="X222" s="28"/>
      <c r="Y222" s="27"/>
    </row>
    <row r="223" spans="1:25">
      <c r="A223" s="33"/>
      <c r="B223" s="25"/>
      <c r="C223" s="25"/>
      <c r="D223" s="25"/>
      <c r="E223" s="25"/>
      <c r="F223" s="25"/>
      <c r="G223" s="25"/>
      <c r="H223" s="25"/>
      <c r="I223" s="25"/>
      <c r="J223" s="25"/>
      <c r="K223" s="25"/>
      <c r="L223" s="25"/>
      <c r="M223" s="25"/>
      <c r="N223" s="25"/>
      <c r="O223" s="25"/>
      <c r="P223" s="25"/>
      <c r="Q223" s="25"/>
      <c r="R223" s="25"/>
      <c r="S223" s="26">
        <f t="shared" si="10"/>
        <v>0</v>
      </c>
      <c r="T223" s="26">
        <f>COUNTIF($V$4:V223,V223)</f>
        <v>212</v>
      </c>
      <c r="U223" s="26" t="str">
        <f>IF(T223=1,COUNTIF($T$4:T223,1),"")</f>
        <v/>
      </c>
      <c r="V223" s="27" t="str">
        <f>'施設状況(要更新)'!$E223&amp;'施設状況(要更新)'!$C223</f>
        <v/>
      </c>
      <c r="W223" s="27">
        <f>'施設状況(要更新)'!$F223</f>
        <v>0</v>
      </c>
      <c r="X223" s="28"/>
      <c r="Y223" s="27"/>
    </row>
    <row r="224" spans="1:25">
      <c r="A224" s="33"/>
      <c r="B224" s="25"/>
      <c r="C224" s="25"/>
      <c r="D224" s="25"/>
      <c r="E224" s="25"/>
      <c r="F224" s="25"/>
      <c r="G224" s="25"/>
      <c r="H224" s="25"/>
      <c r="I224" s="25"/>
      <c r="J224" s="25"/>
      <c r="K224" s="25"/>
      <c r="L224" s="25"/>
      <c r="M224" s="25"/>
      <c r="N224" s="25"/>
      <c r="O224" s="25"/>
      <c r="P224" s="25"/>
      <c r="Q224" s="25"/>
      <c r="R224" s="25"/>
      <c r="S224" s="26">
        <f t="shared" si="10"/>
        <v>0</v>
      </c>
      <c r="T224" s="26">
        <f>COUNTIF($V$4:V224,V224)</f>
        <v>213</v>
      </c>
      <c r="U224" s="26" t="str">
        <f>IF(T224=1,COUNTIF($T$4:T224,1),"")</f>
        <v/>
      </c>
      <c r="V224" s="27" t="str">
        <f>'施設状況(要更新)'!$E224&amp;'施設状況(要更新)'!$C224</f>
        <v/>
      </c>
      <c r="W224" s="27">
        <f>'施設状況(要更新)'!$F224</f>
        <v>0</v>
      </c>
      <c r="X224" s="28"/>
      <c r="Y224" s="27"/>
    </row>
    <row r="225" spans="1:25">
      <c r="A225" s="33"/>
      <c r="B225" s="25"/>
      <c r="C225" s="25"/>
      <c r="D225" s="25"/>
      <c r="E225" s="25"/>
      <c r="F225" s="25"/>
      <c r="G225" s="25"/>
      <c r="H225" s="25"/>
      <c r="I225" s="25"/>
      <c r="J225" s="25"/>
      <c r="K225" s="25"/>
      <c r="L225" s="25"/>
      <c r="M225" s="25"/>
      <c r="N225" s="25"/>
      <c r="O225" s="25"/>
      <c r="P225" s="25"/>
      <c r="Q225" s="25"/>
      <c r="R225" s="25"/>
      <c r="S225" s="26">
        <f t="shared" si="10"/>
        <v>0</v>
      </c>
      <c r="T225" s="26">
        <f>COUNTIF($V$4:V225,V225)</f>
        <v>214</v>
      </c>
      <c r="U225" s="26" t="str">
        <f>IF(T225=1,COUNTIF($T$4:T225,1),"")</f>
        <v/>
      </c>
      <c r="V225" s="27" t="str">
        <f>'施設状況(要更新)'!$E225&amp;'施設状況(要更新)'!$C225</f>
        <v/>
      </c>
      <c r="W225" s="27">
        <f>'施設状況(要更新)'!$F225</f>
        <v>0</v>
      </c>
      <c r="X225" s="28"/>
      <c r="Y225" s="27"/>
    </row>
    <row r="226" spans="1:25">
      <c r="A226" s="33"/>
      <c r="B226" s="25"/>
      <c r="C226" s="25"/>
      <c r="D226" s="25"/>
      <c r="E226" s="25"/>
      <c r="F226" s="25"/>
      <c r="G226" s="25"/>
      <c r="H226" s="25"/>
      <c r="I226" s="25"/>
      <c r="J226" s="25"/>
      <c r="K226" s="25"/>
      <c r="L226" s="25"/>
      <c r="M226" s="25"/>
      <c r="N226" s="25"/>
      <c r="O226" s="25"/>
      <c r="P226" s="25"/>
      <c r="Q226" s="25"/>
      <c r="R226" s="25"/>
      <c r="S226" s="26">
        <f t="shared" si="10"/>
        <v>0</v>
      </c>
      <c r="T226" s="26">
        <f>COUNTIF($V$4:V226,V226)</f>
        <v>215</v>
      </c>
      <c r="U226" s="26" t="str">
        <f>IF(T226=1,COUNTIF($T$4:T226,1),"")</f>
        <v/>
      </c>
      <c r="V226" s="27" t="str">
        <f>'施設状況(要更新)'!$E226&amp;'施設状況(要更新)'!$C226</f>
        <v/>
      </c>
      <c r="W226" s="27">
        <f>'施設状況(要更新)'!$F226</f>
        <v>0</v>
      </c>
      <c r="X226" s="28"/>
      <c r="Y226" s="27"/>
    </row>
    <row r="227" spans="1:25">
      <c r="A227" s="33"/>
      <c r="B227" s="25"/>
      <c r="C227" s="25"/>
      <c r="D227" s="25"/>
      <c r="E227" s="25"/>
      <c r="F227" s="25"/>
      <c r="G227" s="25"/>
      <c r="H227" s="25"/>
      <c r="I227" s="25"/>
      <c r="J227" s="25"/>
      <c r="K227" s="25"/>
      <c r="L227" s="25"/>
      <c r="M227" s="25"/>
      <c r="N227" s="25"/>
      <c r="O227" s="25"/>
      <c r="P227" s="25"/>
      <c r="Q227" s="25"/>
      <c r="R227" s="25"/>
      <c r="S227" s="26">
        <f t="shared" si="10"/>
        <v>0</v>
      </c>
      <c r="T227" s="26">
        <f>COUNTIF($V$4:V227,V227)</f>
        <v>216</v>
      </c>
      <c r="U227" s="26" t="str">
        <f>IF(T227=1,COUNTIF($T$4:T227,1),"")</f>
        <v/>
      </c>
      <c r="V227" s="27" t="str">
        <f>'施設状況(要更新)'!$E227&amp;'施設状況(要更新)'!$C227</f>
        <v/>
      </c>
      <c r="W227" s="27">
        <f>'施設状況(要更新)'!$F227</f>
        <v>0</v>
      </c>
      <c r="X227" s="28"/>
      <c r="Y227" s="27"/>
    </row>
    <row r="228" spans="1:25">
      <c r="A228" s="33"/>
      <c r="B228" s="25"/>
      <c r="C228" s="25"/>
      <c r="D228" s="25"/>
      <c r="E228" s="25"/>
      <c r="F228" s="25"/>
      <c r="G228" s="25"/>
      <c r="H228" s="25"/>
      <c r="I228" s="25"/>
      <c r="J228" s="25"/>
      <c r="K228" s="25"/>
      <c r="L228" s="25"/>
      <c r="M228" s="25"/>
      <c r="N228" s="25"/>
      <c r="O228" s="25"/>
      <c r="P228" s="25"/>
      <c r="Q228" s="25"/>
      <c r="R228" s="25"/>
      <c r="S228" s="26">
        <f t="shared" si="10"/>
        <v>0</v>
      </c>
      <c r="T228" s="26">
        <f>COUNTIF($V$4:V228,V228)</f>
        <v>217</v>
      </c>
      <c r="U228" s="26" t="str">
        <f>IF(T228=1,COUNTIF($T$4:T228,1),"")</f>
        <v/>
      </c>
      <c r="V228" s="27" t="str">
        <f>'施設状況(要更新)'!$E228&amp;'施設状況(要更新)'!$C228</f>
        <v/>
      </c>
      <c r="W228" s="27">
        <f>'施設状況(要更新)'!$F228</f>
        <v>0</v>
      </c>
      <c r="X228" s="28"/>
      <c r="Y228" s="27"/>
    </row>
    <row r="229" spans="1:25">
      <c r="A229" s="33"/>
      <c r="B229" s="25"/>
      <c r="C229" s="25"/>
      <c r="D229" s="25"/>
      <c r="E229" s="25"/>
      <c r="F229" s="25"/>
      <c r="G229" s="25"/>
      <c r="H229" s="25"/>
      <c r="I229" s="25"/>
      <c r="J229" s="25"/>
      <c r="K229" s="25"/>
      <c r="L229" s="25"/>
      <c r="M229" s="25"/>
      <c r="N229" s="25"/>
      <c r="O229" s="25"/>
      <c r="P229" s="25"/>
      <c r="Q229" s="25"/>
      <c r="R229" s="25"/>
      <c r="S229" s="26">
        <f t="shared" si="10"/>
        <v>0</v>
      </c>
      <c r="T229" s="26">
        <f>COUNTIF($V$4:V229,V229)</f>
        <v>218</v>
      </c>
      <c r="U229" s="26" t="str">
        <f>IF(T229=1,COUNTIF($T$4:T229,1),"")</f>
        <v/>
      </c>
      <c r="V229" s="27" t="str">
        <f>'施設状況(要更新)'!$E229&amp;'施設状況(要更新)'!$C229</f>
        <v/>
      </c>
      <c r="W229" s="27">
        <f>'施設状況(要更新)'!$F229</f>
        <v>0</v>
      </c>
      <c r="X229" s="28"/>
      <c r="Y229" s="27"/>
    </row>
    <row r="230" spans="1:25">
      <c r="A230" s="33"/>
      <c r="B230" s="25"/>
      <c r="C230" s="25"/>
      <c r="D230" s="25"/>
      <c r="E230" s="25"/>
      <c r="F230" s="25"/>
      <c r="G230" s="25"/>
      <c r="H230" s="25"/>
      <c r="I230" s="25"/>
      <c r="J230" s="25"/>
      <c r="K230" s="25"/>
      <c r="L230" s="25"/>
      <c r="M230" s="25"/>
      <c r="N230" s="25"/>
      <c r="O230" s="25"/>
      <c r="P230" s="25"/>
      <c r="Q230" s="25"/>
      <c r="R230" s="25"/>
      <c r="S230" s="26">
        <f t="shared" si="10"/>
        <v>0</v>
      </c>
      <c r="T230" s="26">
        <f>COUNTIF($V$4:V230,V230)</f>
        <v>219</v>
      </c>
      <c r="U230" s="26" t="str">
        <f>IF(T230=1,COUNTIF($T$4:T230,1),"")</f>
        <v/>
      </c>
      <c r="V230" s="27" t="str">
        <f>'施設状況(要更新)'!$E230&amp;'施設状況(要更新)'!$C230</f>
        <v/>
      </c>
      <c r="W230" s="27">
        <f>'施設状況(要更新)'!$F230</f>
        <v>0</v>
      </c>
      <c r="X230" s="28"/>
      <c r="Y230" s="27"/>
    </row>
    <row r="231" spans="1:25">
      <c r="A231" s="33"/>
      <c r="B231" s="25"/>
      <c r="C231" s="25"/>
      <c r="D231" s="25"/>
      <c r="E231" s="25"/>
      <c r="F231" s="25"/>
      <c r="G231" s="25"/>
      <c r="H231" s="25"/>
      <c r="I231" s="25"/>
      <c r="J231" s="25"/>
      <c r="K231" s="25"/>
      <c r="L231" s="25"/>
      <c r="M231" s="25"/>
      <c r="N231" s="25"/>
      <c r="O231" s="25"/>
      <c r="P231" s="25"/>
      <c r="Q231" s="25"/>
      <c r="R231" s="25"/>
      <c r="S231" s="26">
        <f t="shared" si="10"/>
        <v>0</v>
      </c>
      <c r="T231" s="26">
        <f>COUNTIF($V$4:V231,V231)</f>
        <v>220</v>
      </c>
      <c r="U231" s="26" t="str">
        <f>IF(T231=1,COUNTIF($T$4:T231,1),"")</f>
        <v/>
      </c>
      <c r="V231" s="27" t="str">
        <f>'施設状況(要更新)'!$E231&amp;'施設状況(要更新)'!$C231</f>
        <v/>
      </c>
      <c r="W231" s="27">
        <f>'施設状況(要更新)'!$F231</f>
        <v>0</v>
      </c>
      <c r="X231" s="28"/>
      <c r="Y231" s="27"/>
    </row>
    <row r="232" spans="1:25">
      <c r="A232" s="33"/>
      <c r="B232" s="25"/>
      <c r="C232" s="25"/>
      <c r="D232" s="25"/>
      <c r="E232" s="25"/>
      <c r="F232" s="25"/>
      <c r="G232" s="25"/>
      <c r="H232" s="25"/>
      <c r="I232" s="25"/>
      <c r="J232" s="25"/>
      <c r="K232" s="25"/>
      <c r="L232" s="25"/>
      <c r="M232" s="25"/>
      <c r="N232" s="25"/>
      <c r="O232" s="25"/>
      <c r="P232" s="25"/>
      <c r="Q232" s="25"/>
      <c r="R232" s="25"/>
      <c r="S232" s="26">
        <f t="shared" si="10"/>
        <v>0</v>
      </c>
      <c r="T232" s="26">
        <f>COUNTIF($V$4:V232,V232)</f>
        <v>221</v>
      </c>
      <c r="U232" s="26" t="str">
        <f>IF(T232=1,COUNTIF($T$4:T232,1),"")</f>
        <v/>
      </c>
      <c r="V232" s="27" t="str">
        <f>'施設状況(要更新)'!$E232&amp;'施設状況(要更新)'!$C232</f>
        <v/>
      </c>
      <c r="W232" s="27">
        <f>'施設状況(要更新)'!$F232</f>
        <v>0</v>
      </c>
      <c r="X232" s="28"/>
      <c r="Y232" s="27"/>
    </row>
    <row r="233" spans="1:25">
      <c r="A233" s="33"/>
      <c r="B233" s="25"/>
      <c r="C233" s="25"/>
      <c r="D233" s="25"/>
      <c r="E233" s="25"/>
      <c r="F233" s="25"/>
      <c r="G233" s="25"/>
      <c r="H233" s="25"/>
      <c r="I233" s="25"/>
      <c r="J233" s="25"/>
      <c r="K233" s="25"/>
      <c r="L233" s="25"/>
      <c r="M233" s="25"/>
      <c r="N233" s="25"/>
      <c r="O233" s="25"/>
      <c r="P233" s="25"/>
      <c r="Q233" s="25"/>
      <c r="R233" s="25"/>
      <c r="S233" s="26">
        <f t="shared" si="10"/>
        <v>0</v>
      </c>
      <c r="T233" s="26">
        <f>COUNTIF($V$4:V233,V233)</f>
        <v>222</v>
      </c>
      <c r="U233" s="26" t="str">
        <f>IF(T233=1,COUNTIF($T$4:T233,1),"")</f>
        <v/>
      </c>
      <c r="V233" s="27" t="str">
        <f>'施設状況(要更新)'!$E233&amp;'施設状況(要更新)'!$C233</f>
        <v/>
      </c>
      <c r="W233" s="27">
        <f>'施設状況(要更新)'!$F233</f>
        <v>0</v>
      </c>
      <c r="X233" s="28"/>
      <c r="Y233" s="27"/>
    </row>
    <row r="234" spans="1:25">
      <c r="A234" s="33"/>
      <c r="B234" s="25"/>
      <c r="C234" s="25"/>
      <c r="D234" s="25"/>
      <c r="E234" s="25"/>
      <c r="F234" s="25"/>
      <c r="G234" s="25"/>
      <c r="H234" s="25"/>
      <c r="I234" s="25"/>
      <c r="J234" s="25"/>
      <c r="K234" s="25"/>
      <c r="L234" s="25"/>
      <c r="M234" s="25"/>
      <c r="N234" s="25"/>
      <c r="O234" s="25"/>
      <c r="P234" s="25"/>
      <c r="Q234" s="25"/>
      <c r="R234" s="25"/>
      <c r="S234" s="26">
        <f t="shared" si="10"/>
        <v>0</v>
      </c>
      <c r="T234" s="26">
        <f>COUNTIF($V$4:V234,V234)</f>
        <v>223</v>
      </c>
      <c r="U234" s="26" t="str">
        <f>IF(T234=1,COUNTIF($T$4:T234,1),"")</f>
        <v/>
      </c>
      <c r="V234" s="27" t="str">
        <f>'施設状況(要更新)'!$E234&amp;'施設状況(要更新)'!$C234</f>
        <v/>
      </c>
      <c r="W234" s="27">
        <f>'施設状況(要更新)'!$F234</f>
        <v>0</v>
      </c>
      <c r="X234" s="28"/>
      <c r="Y234" s="27"/>
    </row>
    <row r="235" spans="1:25">
      <c r="A235" s="33"/>
      <c r="B235" s="25"/>
      <c r="C235" s="25"/>
      <c r="D235" s="25"/>
      <c r="E235" s="25"/>
      <c r="F235" s="25"/>
      <c r="G235" s="25"/>
      <c r="H235" s="25"/>
      <c r="I235" s="25"/>
      <c r="J235" s="25"/>
      <c r="K235" s="25"/>
      <c r="L235" s="25"/>
      <c r="M235" s="25"/>
      <c r="N235" s="25"/>
      <c r="O235" s="25"/>
      <c r="P235" s="25"/>
      <c r="Q235" s="25"/>
      <c r="R235" s="25"/>
      <c r="S235" s="26">
        <f t="shared" si="10"/>
        <v>0</v>
      </c>
      <c r="T235" s="26">
        <f>COUNTIF($V$4:V235,V235)</f>
        <v>224</v>
      </c>
      <c r="U235" s="26" t="str">
        <f>IF(T235=1,COUNTIF($T$4:T235,1),"")</f>
        <v/>
      </c>
      <c r="V235" s="27" t="str">
        <f>'施設状況(要更新)'!$E235&amp;'施設状況(要更新)'!$C235</f>
        <v/>
      </c>
      <c r="W235" s="27">
        <f>'施設状況(要更新)'!$F235</f>
        <v>0</v>
      </c>
      <c r="X235" s="28"/>
      <c r="Y235" s="27"/>
    </row>
    <row r="236" spans="1:25">
      <c r="A236" s="33"/>
      <c r="B236" s="25"/>
      <c r="C236" s="25"/>
      <c r="D236" s="25"/>
      <c r="E236" s="25"/>
      <c r="F236" s="25"/>
      <c r="G236" s="25"/>
      <c r="H236" s="25"/>
      <c r="I236" s="25"/>
      <c r="J236" s="25"/>
      <c r="K236" s="25"/>
      <c r="L236" s="25"/>
      <c r="M236" s="25"/>
      <c r="N236" s="25"/>
      <c r="O236" s="25"/>
      <c r="P236" s="25"/>
      <c r="Q236" s="25"/>
      <c r="R236" s="25"/>
      <c r="S236" s="26">
        <f t="shared" si="10"/>
        <v>0</v>
      </c>
      <c r="T236" s="26">
        <f>COUNTIF($V$4:V236,V236)</f>
        <v>225</v>
      </c>
      <c r="U236" s="26" t="str">
        <f>IF(T236=1,COUNTIF($T$4:T236,1),"")</f>
        <v/>
      </c>
      <c r="V236" s="27" t="str">
        <f>'施設状況(要更新)'!$E236&amp;'施設状況(要更新)'!$C236</f>
        <v/>
      </c>
      <c r="W236" s="27">
        <f>'施設状況(要更新)'!$F236</f>
        <v>0</v>
      </c>
      <c r="X236" s="28"/>
      <c r="Y236" s="27"/>
    </row>
    <row r="237" spans="1:25">
      <c r="A237" s="33"/>
      <c r="B237" s="25"/>
      <c r="C237" s="25"/>
      <c r="D237" s="25"/>
      <c r="E237" s="25"/>
      <c r="F237" s="25"/>
      <c r="G237" s="25"/>
      <c r="H237" s="25"/>
      <c r="I237" s="25"/>
      <c r="J237" s="25"/>
      <c r="K237" s="25"/>
      <c r="L237" s="25"/>
      <c r="M237" s="25"/>
      <c r="N237" s="25"/>
      <c r="O237" s="25"/>
      <c r="P237" s="25"/>
      <c r="Q237" s="25"/>
      <c r="R237" s="25"/>
      <c r="S237" s="26">
        <f t="shared" si="10"/>
        <v>0</v>
      </c>
      <c r="T237" s="26">
        <f>COUNTIF($V$4:V237,V237)</f>
        <v>226</v>
      </c>
      <c r="U237" s="26" t="str">
        <f>IF(T237=1,COUNTIF($T$4:T237,1),"")</f>
        <v/>
      </c>
      <c r="V237" s="27" t="str">
        <f>'施設状況(要更新)'!$E237&amp;'施設状況(要更新)'!$C237</f>
        <v/>
      </c>
      <c r="W237" s="27">
        <f>'施設状況(要更新)'!$F237</f>
        <v>0</v>
      </c>
      <c r="X237" s="28"/>
      <c r="Y237" s="27"/>
    </row>
    <row r="238" spans="1:25">
      <c r="A238" s="33"/>
      <c r="B238" s="25"/>
      <c r="C238" s="25"/>
      <c r="D238" s="25"/>
      <c r="E238" s="25"/>
      <c r="F238" s="25"/>
      <c r="G238" s="25"/>
      <c r="H238" s="25"/>
      <c r="I238" s="25"/>
      <c r="J238" s="25"/>
      <c r="K238" s="25"/>
      <c r="L238" s="25"/>
      <c r="M238" s="25"/>
      <c r="N238" s="25"/>
      <c r="O238" s="25"/>
      <c r="P238" s="25"/>
      <c r="Q238" s="25"/>
      <c r="R238" s="25"/>
      <c r="S238" s="26">
        <f t="shared" si="10"/>
        <v>0</v>
      </c>
      <c r="T238" s="26">
        <f>COUNTIF($V$4:V238,V238)</f>
        <v>227</v>
      </c>
      <c r="U238" s="26" t="str">
        <f>IF(T238=1,COUNTIF($T$4:T238,1),"")</f>
        <v/>
      </c>
      <c r="V238" s="27" t="str">
        <f>'施設状況(要更新)'!$E238&amp;'施設状況(要更新)'!$C238</f>
        <v/>
      </c>
      <c r="W238" s="27">
        <f>'施設状況(要更新)'!$F238</f>
        <v>0</v>
      </c>
      <c r="X238" s="28"/>
      <c r="Y238" s="27"/>
    </row>
    <row r="239" spans="1:25">
      <c r="A239" s="33"/>
      <c r="B239" s="25"/>
      <c r="C239" s="25"/>
      <c r="D239" s="25"/>
      <c r="E239" s="25"/>
      <c r="F239" s="25"/>
      <c r="G239" s="25"/>
      <c r="H239" s="25"/>
      <c r="I239" s="25"/>
      <c r="J239" s="25"/>
      <c r="K239" s="25"/>
      <c r="L239" s="25"/>
      <c r="M239" s="25"/>
      <c r="N239" s="25"/>
      <c r="O239" s="25"/>
      <c r="P239" s="25"/>
      <c r="Q239" s="25"/>
      <c r="R239" s="25"/>
      <c r="S239" s="26">
        <f t="shared" si="10"/>
        <v>0</v>
      </c>
      <c r="T239" s="26">
        <f>COUNTIF($V$4:V239,V239)</f>
        <v>228</v>
      </c>
      <c r="U239" s="26" t="str">
        <f>IF(T239=1,COUNTIF($T$4:T239,1),"")</f>
        <v/>
      </c>
      <c r="V239" s="27" t="str">
        <f>'施設状況(要更新)'!$E239&amp;'施設状況(要更新)'!$C239</f>
        <v/>
      </c>
      <c r="W239" s="27">
        <f>'施設状況(要更新)'!$F239</f>
        <v>0</v>
      </c>
      <c r="X239" s="28"/>
      <c r="Y239" s="27"/>
    </row>
    <row r="240" spans="1:25">
      <c r="A240" s="33"/>
      <c r="B240" s="25"/>
      <c r="C240" s="25"/>
      <c r="D240" s="25"/>
      <c r="E240" s="25"/>
      <c r="F240" s="25"/>
      <c r="G240" s="25"/>
      <c r="H240" s="25"/>
      <c r="I240" s="25"/>
      <c r="J240" s="25"/>
      <c r="K240" s="25"/>
      <c r="L240" s="25"/>
      <c r="M240" s="25"/>
      <c r="N240" s="25"/>
      <c r="O240" s="25"/>
      <c r="P240" s="25"/>
      <c r="Q240" s="25"/>
      <c r="R240" s="25"/>
      <c r="S240" s="26">
        <f t="shared" si="10"/>
        <v>0</v>
      </c>
      <c r="T240" s="26">
        <f>COUNTIF($V$4:V240,V240)</f>
        <v>229</v>
      </c>
      <c r="U240" s="26" t="str">
        <f>IF(T240=1,COUNTIF($T$4:T240,1),"")</f>
        <v/>
      </c>
      <c r="V240" s="27" t="str">
        <f>'施設状況(要更新)'!$E240&amp;'施設状況(要更新)'!$C240</f>
        <v/>
      </c>
      <c r="W240" s="27">
        <f>'施設状況(要更新)'!$F240</f>
        <v>0</v>
      </c>
      <c r="X240" s="28"/>
      <c r="Y240" s="27"/>
    </row>
    <row r="241" spans="1:25">
      <c r="A241" s="33"/>
      <c r="B241" s="25"/>
      <c r="C241" s="25"/>
      <c r="D241" s="25"/>
      <c r="E241" s="25"/>
      <c r="F241" s="25"/>
      <c r="G241" s="25"/>
      <c r="H241" s="25"/>
      <c r="I241" s="25"/>
      <c r="J241" s="25"/>
      <c r="K241" s="25"/>
      <c r="L241" s="25"/>
      <c r="M241" s="25"/>
      <c r="N241" s="25"/>
      <c r="O241" s="25"/>
      <c r="P241" s="25"/>
      <c r="Q241" s="25"/>
      <c r="R241" s="25"/>
      <c r="S241" s="26">
        <f t="shared" si="10"/>
        <v>0</v>
      </c>
      <c r="T241" s="26">
        <f>COUNTIF($V$4:V241,V241)</f>
        <v>230</v>
      </c>
      <c r="U241" s="26" t="str">
        <f>IF(T241=1,COUNTIF($T$4:T241,1),"")</f>
        <v/>
      </c>
      <c r="V241" s="27" t="str">
        <f>'施設状況(要更新)'!$E241&amp;'施設状況(要更新)'!$C241</f>
        <v/>
      </c>
      <c r="W241" s="27">
        <f>'施設状況(要更新)'!$F241</f>
        <v>0</v>
      </c>
      <c r="X241" s="28"/>
      <c r="Y241" s="27"/>
    </row>
    <row r="242" spans="1:25">
      <c r="A242" s="33"/>
      <c r="B242" s="25"/>
      <c r="C242" s="25"/>
      <c r="D242" s="25"/>
      <c r="E242" s="25"/>
      <c r="F242" s="25"/>
      <c r="G242" s="25"/>
      <c r="H242" s="25"/>
      <c r="I242" s="25"/>
      <c r="J242" s="25"/>
      <c r="K242" s="25"/>
      <c r="L242" s="25"/>
      <c r="M242" s="25"/>
      <c r="N242" s="25"/>
      <c r="O242" s="25"/>
      <c r="P242" s="25"/>
      <c r="Q242" s="25"/>
      <c r="R242" s="25"/>
      <c r="S242" s="26">
        <f t="shared" si="10"/>
        <v>0</v>
      </c>
      <c r="T242" s="26">
        <f>COUNTIF($V$4:V242,V242)</f>
        <v>231</v>
      </c>
      <c r="U242" s="26" t="str">
        <f>IF(T242=1,COUNTIF($T$4:T242,1),"")</f>
        <v/>
      </c>
      <c r="V242" s="27" t="str">
        <f>'施設状況(要更新)'!$E242&amp;'施設状況(要更新)'!$C242</f>
        <v/>
      </c>
      <c r="W242" s="27">
        <f>'施設状況(要更新)'!$F242</f>
        <v>0</v>
      </c>
      <c r="X242" s="28"/>
      <c r="Y242" s="27"/>
    </row>
    <row r="243" spans="1:25">
      <c r="A243" s="33"/>
      <c r="B243" s="25"/>
      <c r="C243" s="25"/>
      <c r="D243" s="25"/>
      <c r="E243" s="25"/>
      <c r="F243" s="25"/>
      <c r="G243" s="25"/>
      <c r="H243" s="25"/>
      <c r="I243" s="25"/>
      <c r="J243" s="25"/>
      <c r="K243" s="25"/>
      <c r="L243" s="25"/>
      <c r="M243" s="25"/>
      <c r="N243" s="25"/>
      <c r="O243" s="25"/>
      <c r="P243" s="25"/>
      <c r="Q243" s="25"/>
      <c r="R243" s="25"/>
      <c r="S243" s="26">
        <f t="shared" si="10"/>
        <v>0</v>
      </c>
      <c r="T243" s="26">
        <f>COUNTIF($V$4:V243,V243)</f>
        <v>232</v>
      </c>
      <c r="U243" s="26" t="str">
        <f>IF(T243=1,COUNTIF($T$4:T243,1),"")</f>
        <v/>
      </c>
      <c r="V243" s="27" t="str">
        <f>'施設状況(要更新)'!$E243&amp;'施設状況(要更新)'!$C243</f>
        <v/>
      </c>
      <c r="W243" s="27">
        <f>'施設状況(要更新)'!$F243</f>
        <v>0</v>
      </c>
      <c r="X243" s="28"/>
      <c r="Y243" s="27"/>
    </row>
    <row r="244" spans="1:25">
      <c r="A244" s="33"/>
      <c r="B244" s="25"/>
      <c r="C244" s="25"/>
      <c r="D244" s="25"/>
      <c r="E244" s="25"/>
      <c r="F244" s="25"/>
      <c r="G244" s="25"/>
      <c r="H244" s="25"/>
      <c r="I244" s="25"/>
      <c r="J244" s="25"/>
      <c r="K244" s="25"/>
      <c r="L244" s="25"/>
      <c r="M244" s="25"/>
      <c r="N244" s="25"/>
      <c r="O244" s="25"/>
      <c r="P244" s="25"/>
      <c r="Q244" s="25"/>
      <c r="R244" s="25"/>
      <c r="S244" s="26">
        <f t="shared" si="10"/>
        <v>0</v>
      </c>
      <c r="T244" s="26">
        <f>COUNTIF($V$4:V244,V244)</f>
        <v>233</v>
      </c>
      <c r="U244" s="26" t="str">
        <f>IF(T244=1,COUNTIF($T$4:T244,1),"")</f>
        <v/>
      </c>
      <c r="V244" s="27" t="str">
        <f>'施設状況(要更新)'!$E244&amp;'施設状況(要更新)'!$C244</f>
        <v/>
      </c>
      <c r="W244" s="27">
        <f>'施設状況(要更新)'!$F244</f>
        <v>0</v>
      </c>
      <c r="X244" s="28"/>
      <c r="Y244" s="27"/>
    </row>
    <row r="245" spans="1:25">
      <c r="A245" s="33"/>
      <c r="B245" s="25"/>
      <c r="C245" s="25"/>
      <c r="D245" s="25"/>
      <c r="E245" s="25"/>
      <c r="F245" s="25"/>
      <c r="G245" s="25"/>
      <c r="H245" s="25"/>
      <c r="I245" s="25"/>
      <c r="J245" s="25"/>
      <c r="K245" s="25"/>
      <c r="L245" s="25"/>
      <c r="M245" s="25"/>
      <c r="N245" s="25"/>
      <c r="O245" s="25"/>
      <c r="P245" s="25"/>
      <c r="Q245" s="25"/>
      <c r="R245" s="25"/>
      <c r="S245" s="26">
        <f t="shared" si="10"/>
        <v>0</v>
      </c>
      <c r="T245" s="26">
        <f>COUNTIF($V$4:V245,V245)</f>
        <v>234</v>
      </c>
      <c r="U245" s="26" t="str">
        <f>IF(T245=1,COUNTIF($T$4:T245,1),"")</f>
        <v/>
      </c>
      <c r="V245" s="27" t="str">
        <f>'施設状況(要更新)'!$E245&amp;'施設状況(要更新)'!$C245</f>
        <v/>
      </c>
      <c r="W245" s="27">
        <f>'施設状況(要更新)'!$F245</f>
        <v>0</v>
      </c>
      <c r="X245" s="28"/>
      <c r="Y245" s="27"/>
    </row>
    <row r="246" spans="1:25">
      <c r="A246" s="33"/>
      <c r="B246" s="25"/>
      <c r="C246" s="25"/>
      <c r="D246" s="25"/>
      <c r="E246" s="25"/>
      <c r="F246" s="25"/>
      <c r="G246" s="25"/>
      <c r="H246" s="25"/>
      <c r="I246" s="25"/>
      <c r="J246" s="25"/>
      <c r="K246" s="25"/>
      <c r="L246" s="25"/>
      <c r="M246" s="25"/>
      <c r="N246" s="25"/>
      <c r="O246" s="25"/>
      <c r="P246" s="25"/>
      <c r="Q246" s="25"/>
      <c r="R246" s="25"/>
      <c r="S246" s="26">
        <f t="shared" si="10"/>
        <v>0</v>
      </c>
      <c r="T246" s="26">
        <f>COUNTIF($V$4:V246,V246)</f>
        <v>235</v>
      </c>
      <c r="U246" s="26" t="str">
        <f>IF(T246=1,COUNTIF($T$4:T246,1),"")</f>
        <v/>
      </c>
      <c r="V246" s="27" t="str">
        <f>'施設状況(要更新)'!$E246&amp;'施設状況(要更新)'!$C246</f>
        <v/>
      </c>
      <c r="W246" s="27">
        <f>'施設状況(要更新)'!$F246</f>
        <v>0</v>
      </c>
      <c r="X246" s="28"/>
      <c r="Y246" s="27"/>
    </row>
    <row r="247" spans="1:25">
      <c r="A247" s="33"/>
      <c r="B247" s="25"/>
      <c r="C247" s="25"/>
      <c r="D247" s="25"/>
      <c r="E247" s="25"/>
      <c r="F247" s="25"/>
      <c r="G247" s="25"/>
      <c r="H247" s="25"/>
      <c r="I247" s="25"/>
      <c r="J247" s="25"/>
      <c r="K247" s="25"/>
      <c r="L247" s="25"/>
      <c r="M247" s="25"/>
      <c r="N247" s="25"/>
      <c r="O247" s="25"/>
      <c r="P247" s="25"/>
      <c r="Q247" s="25"/>
      <c r="R247" s="25"/>
      <c r="S247" s="26">
        <f t="shared" si="10"/>
        <v>0</v>
      </c>
      <c r="T247" s="26">
        <f>COUNTIF($V$4:V247,V247)</f>
        <v>236</v>
      </c>
      <c r="U247" s="26" t="str">
        <f>IF(T247=1,COUNTIF($T$4:T247,1),"")</f>
        <v/>
      </c>
      <c r="V247" s="27" t="str">
        <f>'施設状況(要更新)'!$E247&amp;'施設状況(要更新)'!$C247</f>
        <v/>
      </c>
      <c r="W247" s="27">
        <f>'施設状況(要更新)'!$F247</f>
        <v>0</v>
      </c>
      <c r="X247" s="28"/>
      <c r="Y247" s="27"/>
    </row>
    <row r="248" spans="1:25">
      <c r="A248" s="33"/>
      <c r="B248" s="25"/>
      <c r="C248" s="25"/>
      <c r="D248" s="25"/>
      <c r="E248" s="25"/>
      <c r="F248" s="25"/>
      <c r="G248" s="25"/>
      <c r="H248" s="25"/>
      <c r="I248" s="25"/>
      <c r="J248" s="25"/>
      <c r="K248" s="25"/>
      <c r="L248" s="25"/>
      <c r="M248" s="25"/>
      <c r="N248" s="25"/>
      <c r="O248" s="25"/>
      <c r="P248" s="25"/>
      <c r="Q248" s="25"/>
      <c r="R248" s="25"/>
      <c r="S248" s="26">
        <f t="shared" si="10"/>
        <v>0</v>
      </c>
      <c r="T248" s="26">
        <f>COUNTIF($V$4:V248,V248)</f>
        <v>237</v>
      </c>
      <c r="U248" s="26" t="str">
        <f>IF(T248=1,COUNTIF($T$4:T248,1),"")</f>
        <v/>
      </c>
      <c r="V248" s="27" t="str">
        <f>'施設状況(要更新)'!$E248&amp;'施設状況(要更新)'!$C248</f>
        <v/>
      </c>
      <c r="W248" s="27">
        <f>'施設状況(要更新)'!$F248</f>
        <v>0</v>
      </c>
      <c r="X248" s="28"/>
      <c r="Y248" s="27"/>
    </row>
    <row r="249" spans="1:25">
      <c r="A249" s="33"/>
      <c r="B249" s="25"/>
      <c r="C249" s="25"/>
      <c r="D249" s="25"/>
      <c r="E249" s="25"/>
      <c r="F249" s="25"/>
      <c r="G249" s="25"/>
      <c r="H249" s="25"/>
      <c r="I249" s="25"/>
      <c r="J249" s="25"/>
      <c r="K249" s="25"/>
      <c r="L249" s="25"/>
      <c r="M249" s="25"/>
      <c r="N249" s="25"/>
      <c r="O249" s="25"/>
      <c r="P249" s="25"/>
      <c r="Q249" s="25"/>
      <c r="R249" s="25"/>
      <c r="S249" s="26">
        <f t="shared" si="10"/>
        <v>0</v>
      </c>
      <c r="T249" s="26">
        <f>COUNTIF($V$4:V249,V249)</f>
        <v>238</v>
      </c>
      <c r="U249" s="26" t="str">
        <f>IF(T249=1,COUNTIF($T$4:T249,1),"")</f>
        <v/>
      </c>
      <c r="V249" s="27" t="str">
        <f>'施設状況(要更新)'!$E249&amp;'施設状況(要更新)'!$C249</f>
        <v/>
      </c>
      <c r="W249" s="27">
        <f>'施設状況(要更新)'!$F249</f>
        <v>0</v>
      </c>
      <c r="X249" s="28"/>
      <c r="Y249" s="27"/>
    </row>
    <row r="250" spans="1:25">
      <c r="A250" s="33"/>
      <c r="B250" s="25"/>
      <c r="C250" s="25"/>
      <c r="D250" s="25"/>
      <c r="E250" s="25"/>
      <c r="F250" s="25"/>
      <c r="G250" s="25"/>
      <c r="H250" s="25"/>
      <c r="I250" s="25"/>
      <c r="J250" s="25"/>
      <c r="K250" s="25"/>
      <c r="L250" s="25"/>
      <c r="M250" s="25"/>
      <c r="N250" s="25"/>
      <c r="O250" s="25"/>
      <c r="P250" s="25"/>
      <c r="Q250" s="25"/>
      <c r="R250" s="25"/>
      <c r="S250" s="26">
        <f t="shared" si="10"/>
        <v>0</v>
      </c>
      <c r="T250" s="26">
        <f>COUNTIF($V$4:V250,V250)</f>
        <v>239</v>
      </c>
      <c r="U250" s="26" t="str">
        <f>IF(T250=1,COUNTIF($T$4:T250,1),"")</f>
        <v/>
      </c>
      <c r="V250" s="27" t="str">
        <f>'施設状況(要更新)'!$E250&amp;'施設状況(要更新)'!$C250</f>
        <v/>
      </c>
      <c r="W250" s="27">
        <f>'施設状況(要更新)'!$F250</f>
        <v>0</v>
      </c>
      <c r="X250" s="28"/>
      <c r="Y250" s="27"/>
    </row>
    <row r="251" spans="1:25">
      <c r="A251" s="33"/>
      <c r="B251" s="25"/>
      <c r="C251" s="25"/>
      <c r="D251" s="25"/>
      <c r="E251" s="25"/>
      <c r="F251" s="25"/>
      <c r="G251" s="25"/>
      <c r="H251" s="25"/>
      <c r="I251" s="25"/>
      <c r="J251" s="25"/>
      <c r="K251" s="25"/>
      <c r="L251" s="25"/>
      <c r="M251" s="25"/>
      <c r="N251" s="25"/>
      <c r="O251" s="25"/>
      <c r="P251" s="25"/>
      <c r="Q251" s="25"/>
      <c r="R251" s="25"/>
      <c r="S251" s="26">
        <f t="shared" si="10"/>
        <v>0</v>
      </c>
      <c r="T251" s="26">
        <f>COUNTIF($V$4:V251,V251)</f>
        <v>240</v>
      </c>
      <c r="U251" s="26" t="str">
        <f>IF(T251=1,COUNTIF($T$4:T251,1),"")</f>
        <v/>
      </c>
      <c r="V251" s="27" t="str">
        <f>'施設状況(要更新)'!$E251&amp;'施設状況(要更新)'!$C251</f>
        <v/>
      </c>
      <c r="W251" s="27">
        <f>'施設状況(要更新)'!$F251</f>
        <v>0</v>
      </c>
      <c r="X251" s="28"/>
      <c r="Y251" s="27"/>
    </row>
    <row r="252" spans="1:25">
      <c r="A252" s="33"/>
      <c r="B252" s="25"/>
      <c r="C252" s="25"/>
      <c r="D252" s="25"/>
      <c r="E252" s="25"/>
      <c r="F252" s="25"/>
      <c r="G252" s="25"/>
      <c r="H252" s="25"/>
      <c r="I252" s="25"/>
      <c r="J252" s="25"/>
      <c r="K252" s="25"/>
      <c r="L252" s="25"/>
      <c r="M252" s="25"/>
      <c r="N252" s="25"/>
      <c r="O252" s="25"/>
      <c r="P252" s="25"/>
      <c r="Q252" s="25"/>
      <c r="R252" s="25"/>
      <c r="S252" s="26">
        <f t="shared" si="10"/>
        <v>0</v>
      </c>
      <c r="T252" s="26">
        <f>COUNTIF($V$4:V252,V252)</f>
        <v>241</v>
      </c>
      <c r="U252" s="26" t="str">
        <f>IF(T252=1,COUNTIF($T$4:T252,1),"")</f>
        <v/>
      </c>
      <c r="V252" s="27" t="str">
        <f>'施設状況(要更新)'!$E252&amp;'施設状況(要更新)'!$C252</f>
        <v/>
      </c>
      <c r="W252" s="27">
        <f>'施設状況(要更新)'!$F252</f>
        <v>0</v>
      </c>
      <c r="X252" s="28"/>
      <c r="Y252" s="27"/>
    </row>
    <row r="253" spans="1:25">
      <c r="A253" s="33"/>
      <c r="B253" s="25"/>
      <c r="C253" s="25"/>
      <c r="D253" s="25"/>
      <c r="E253" s="25"/>
      <c r="F253" s="25"/>
      <c r="G253" s="25"/>
      <c r="H253" s="25"/>
      <c r="I253" s="25"/>
      <c r="J253" s="25"/>
      <c r="K253" s="25"/>
      <c r="L253" s="25"/>
      <c r="M253" s="25"/>
      <c r="N253" s="25"/>
      <c r="O253" s="25"/>
      <c r="P253" s="25"/>
      <c r="Q253" s="25"/>
      <c r="R253" s="25"/>
      <c r="S253" s="26">
        <f t="shared" si="10"/>
        <v>0</v>
      </c>
      <c r="T253" s="26">
        <f>COUNTIF($V$4:V253,V253)</f>
        <v>242</v>
      </c>
      <c r="U253" s="26" t="str">
        <f>IF(T253=1,COUNTIF($T$4:T253,1),"")</f>
        <v/>
      </c>
      <c r="V253" s="27" t="str">
        <f>'施設状況(要更新)'!$E253&amp;'施設状況(要更新)'!$C253</f>
        <v/>
      </c>
      <c r="W253" s="27">
        <f>'施設状況(要更新)'!$F253</f>
        <v>0</v>
      </c>
      <c r="X253" s="28"/>
      <c r="Y253" s="27"/>
    </row>
    <row r="254" spans="1:25">
      <c r="A254" s="33"/>
      <c r="B254" s="25"/>
      <c r="C254" s="25"/>
      <c r="D254" s="25"/>
      <c r="E254" s="25"/>
      <c r="F254" s="25"/>
      <c r="G254" s="25"/>
      <c r="H254" s="25"/>
      <c r="I254" s="25"/>
      <c r="J254" s="25"/>
      <c r="K254" s="25"/>
      <c r="L254" s="25"/>
      <c r="M254" s="25"/>
      <c r="N254" s="25"/>
      <c r="O254" s="25"/>
      <c r="P254" s="25"/>
      <c r="Q254" s="25"/>
      <c r="R254" s="25"/>
      <c r="S254" s="26">
        <f t="shared" si="10"/>
        <v>0</v>
      </c>
      <c r="T254" s="26">
        <f>COUNTIF($V$4:V254,V254)</f>
        <v>243</v>
      </c>
      <c r="U254" s="26" t="str">
        <f>IF(T254=1,COUNTIF($T$4:T254,1),"")</f>
        <v/>
      </c>
      <c r="V254" s="27" t="str">
        <f>'施設状況(要更新)'!$E254&amp;'施設状況(要更新)'!$C254</f>
        <v/>
      </c>
      <c r="W254" s="27">
        <f>'施設状況(要更新)'!$F254</f>
        <v>0</v>
      </c>
      <c r="X254" s="28"/>
      <c r="Y254" s="27"/>
    </row>
    <row r="255" spans="1:25">
      <c r="A255" s="33"/>
      <c r="B255" s="25"/>
      <c r="C255" s="25"/>
      <c r="D255" s="25"/>
      <c r="E255" s="25"/>
      <c r="F255" s="25"/>
      <c r="G255" s="25"/>
      <c r="H255" s="25"/>
      <c r="I255" s="25"/>
      <c r="J255" s="25"/>
      <c r="K255" s="25"/>
      <c r="L255" s="25"/>
      <c r="M255" s="25"/>
      <c r="N255" s="25"/>
      <c r="O255" s="25"/>
      <c r="P255" s="25"/>
      <c r="Q255" s="25"/>
      <c r="R255" s="25"/>
      <c r="S255" s="26">
        <f t="shared" si="10"/>
        <v>0</v>
      </c>
      <c r="T255" s="26">
        <f>COUNTIF($V$4:V255,V255)</f>
        <v>244</v>
      </c>
      <c r="U255" s="26" t="str">
        <f>IF(T255=1,COUNTIF($T$4:T255,1),"")</f>
        <v/>
      </c>
      <c r="V255" s="27" t="str">
        <f>'施設状況(要更新)'!$E255&amp;'施設状況(要更新)'!$C255</f>
        <v/>
      </c>
      <c r="W255" s="27">
        <f>'施設状況(要更新)'!$F255</f>
        <v>0</v>
      </c>
      <c r="X255" s="28"/>
      <c r="Y255" s="27"/>
    </row>
    <row r="256" spans="1:25">
      <c r="A256" s="33"/>
      <c r="B256" s="25"/>
      <c r="C256" s="25"/>
      <c r="D256" s="25"/>
      <c r="E256" s="25"/>
      <c r="F256" s="25"/>
      <c r="G256" s="25"/>
      <c r="H256" s="25"/>
      <c r="I256" s="25"/>
      <c r="J256" s="25"/>
      <c r="K256" s="25"/>
      <c r="L256" s="25"/>
      <c r="M256" s="25"/>
      <c r="N256" s="25"/>
      <c r="O256" s="25"/>
      <c r="P256" s="25"/>
      <c r="Q256" s="25"/>
      <c r="R256" s="25"/>
      <c r="S256" s="26">
        <f t="shared" si="10"/>
        <v>0</v>
      </c>
      <c r="T256" s="26">
        <f>COUNTIF($V$4:V256,V256)</f>
        <v>245</v>
      </c>
      <c r="U256" s="26" t="str">
        <f>IF(T256=1,COUNTIF($T$4:T256,1),"")</f>
        <v/>
      </c>
      <c r="V256" s="27" t="str">
        <f>'施設状況(要更新)'!$E256&amp;'施設状況(要更新)'!$C256</f>
        <v/>
      </c>
      <c r="W256" s="27">
        <f>'施設状況(要更新)'!$F256</f>
        <v>0</v>
      </c>
      <c r="X256" s="28"/>
      <c r="Y256" s="27"/>
    </row>
    <row r="257" spans="1:25">
      <c r="A257" s="33"/>
      <c r="B257" s="25"/>
      <c r="C257" s="25"/>
      <c r="D257" s="25"/>
      <c r="E257" s="25"/>
      <c r="F257" s="25"/>
      <c r="G257" s="25"/>
      <c r="H257" s="25"/>
      <c r="I257" s="25"/>
      <c r="J257" s="25"/>
      <c r="K257" s="25"/>
      <c r="L257" s="25"/>
      <c r="M257" s="25"/>
      <c r="N257" s="25"/>
      <c r="O257" s="25"/>
      <c r="P257" s="25"/>
      <c r="Q257" s="25"/>
      <c r="R257" s="25"/>
      <c r="S257" s="26">
        <f t="shared" si="10"/>
        <v>0</v>
      </c>
      <c r="T257" s="26">
        <f>COUNTIF($V$4:V257,V257)</f>
        <v>246</v>
      </c>
      <c r="U257" s="26" t="str">
        <f>IF(T257=1,COUNTIF($T$4:T257,1),"")</f>
        <v/>
      </c>
      <c r="V257" s="27" t="str">
        <f>'施設状況(要更新)'!$E257&amp;'施設状況(要更新)'!$C257</f>
        <v/>
      </c>
      <c r="W257" s="27">
        <f>'施設状況(要更新)'!$F257</f>
        <v>0</v>
      </c>
      <c r="X257" s="28"/>
      <c r="Y257" s="27"/>
    </row>
    <row r="258" spans="1:25">
      <c r="A258" s="33"/>
      <c r="B258" s="25"/>
      <c r="C258" s="25"/>
      <c r="D258" s="25"/>
      <c r="E258" s="25"/>
      <c r="F258" s="25"/>
      <c r="G258" s="25"/>
      <c r="H258" s="25"/>
      <c r="I258" s="25"/>
      <c r="J258" s="25"/>
      <c r="K258" s="25"/>
      <c r="L258" s="25"/>
      <c r="M258" s="25"/>
      <c r="N258" s="25"/>
      <c r="O258" s="25"/>
      <c r="P258" s="25"/>
      <c r="Q258" s="25"/>
      <c r="R258" s="25"/>
      <c r="S258" s="26">
        <f t="shared" si="10"/>
        <v>0</v>
      </c>
      <c r="T258" s="26">
        <f>COUNTIF($V$4:V258,V258)</f>
        <v>247</v>
      </c>
      <c r="U258" s="26" t="str">
        <f>IF(T258=1,COUNTIF($T$4:T258,1),"")</f>
        <v/>
      </c>
      <c r="V258" s="27" t="str">
        <f>'施設状況(要更新)'!$E258&amp;'施設状況(要更新)'!$C258</f>
        <v/>
      </c>
      <c r="W258" s="27">
        <f>'施設状況(要更新)'!$F258</f>
        <v>0</v>
      </c>
      <c r="X258" s="28"/>
      <c r="Y258" s="27"/>
    </row>
    <row r="259" spans="1:25">
      <c r="A259" s="33"/>
      <c r="B259" s="25"/>
      <c r="C259" s="25"/>
      <c r="D259" s="25"/>
      <c r="E259" s="25"/>
      <c r="F259" s="25"/>
      <c r="G259" s="25"/>
      <c r="H259" s="25"/>
      <c r="I259" s="25"/>
      <c r="J259" s="25"/>
      <c r="K259" s="25"/>
      <c r="L259" s="25"/>
      <c r="M259" s="25"/>
      <c r="N259" s="25"/>
      <c r="O259" s="25"/>
      <c r="P259" s="25"/>
      <c r="Q259" s="25"/>
      <c r="R259" s="25"/>
      <c r="S259" s="26">
        <f t="shared" si="10"/>
        <v>0</v>
      </c>
      <c r="T259" s="26">
        <f>COUNTIF($V$4:V259,V259)</f>
        <v>248</v>
      </c>
      <c r="U259" s="26" t="str">
        <f>IF(T259=1,COUNTIF($T$4:T259,1),"")</f>
        <v/>
      </c>
      <c r="V259" s="27" t="str">
        <f>'施設状況(要更新)'!$E259&amp;'施設状況(要更新)'!$C259</f>
        <v/>
      </c>
      <c r="W259" s="27">
        <f>'施設状況(要更新)'!$F259</f>
        <v>0</v>
      </c>
      <c r="X259" s="28"/>
      <c r="Y259" s="27"/>
    </row>
    <row r="260" spans="1:25">
      <c r="A260" s="33"/>
      <c r="B260" s="25"/>
      <c r="C260" s="25"/>
      <c r="D260" s="25"/>
      <c r="E260" s="25"/>
      <c r="F260" s="25"/>
      <c r="G260" s="25"/>
      <c r="H260" s="25"/>
      <c r="I260" s="25"/>
      <c r="J260" s="25"/>
      <c r="K260" s="25"/>
      <c r="L260" s="25"/>
      <c r="M260" s="25"/>
      <c r="N260" s="25"/>
      <c r="O260" s="25"/>
      <c r="P260" s="25"/>
      <c r="Q260" s="25"/>
      <c r="R260" s="25"/>
      <c r="S260" s="26">
        <f t="shared" si="10"/>
        <v>0</v>
      </c>
      <c r="T260" s="26">
        <f>COUNTIF($V$4:V260,V260)</f>
        <v>249</v>
      </c>
      <c r="U260" s="26" t="str">
        <f>IF(T260=1,COUNTIF($T$4:T260,1),"")</f>
        <v/>
      </c>
      <c r="V260" s="27" t="str">
        <f>'施設状況(要更新)'!$E260&amp;'施設状況(要更新)'!$C260</f>
        <v/>
      </c>
      <c r="W260" s="27">
        <f>'施設状況(要更新)'!$F260</f>
        <v>0</v>
      </c>
      <c r="X260" s="28"/>
      <c r="Y260" s="27"/>
    </row>
    <row r="261" spans="1:25">
      <c r="A261" s="33"/>
      <c r="B261" s="25"/>
      <c r="C261" s="25"/>
      <c r="D261" s="25"/>
      <c r="E261" s="25"/>
      <c r="F261" s="25"/>
      <c r="G261" s="25"/>
      <c r="H261" s="25"/>
      <c r="I261" s="25"/>
      <c r="J261" s="25"/>
      <c r="K261" s="25"/>
      <c r="L261" s="25"/>
      <c r="M261" s="25"/>
      <c r="N261" s="25"/>
      <c r="O261" s="25"/>
      <c r="P261" s="25"/>
      <c r="Q261" s="25"/>
      <c r="R261" s="25"/>
      <c r="S261" s="26">
        <f t="shared" ref="S261:S324" si="11">A261</f>
        <v>0</v>
      </c>
      <c r="T261" s="26">
        <f>COUNTIF($V$4:V261,V261)</f>
        <v>250</v>
      </c>
      <c r="U261" s="26" t="str">
        <f>IF(T261=1,COUNTIF($T$4:T261,1),"")</f>
        <v/>
      </c>
      <c r="V261" s="27" t="str">
        <f>'施設状況(要更新)'!$E261&amp;'施設状況(要更新)'!$C261</f>
        <v/>
      </c>
      <c r="W261" s="27">
        <f>'施設状況(要更新)'!$F261</f>
        <v>0</v>
      </c>
      <c r="X261" s="28"/>
      <c r="Y261" s="27"/>
    </row>
    <row r="262" spans="1:25">
      <c r="A262" s="33"/>
      <c r="B262" s="25"/>
      <c r="C262" s="25"/>
      <c r="D262" s="25"/>
      <c r="E262" s="25"/>
      <c r="F262" s="25"/>
      <c r="G262" s="25"/>
      <c r="H262" s="25"/>
      <c r="I262" s="25"/>
      <c r="J262" s="25"/>
      <c r="K262" s="25"/>
      <c r="L262" s="25"/>
      <c r="M262" s="25"/>
      <c r="N262" s="25"/>
      <c r="O262" s="25"/>
      <c r="P262" s="25"/>
      <c r="Q262" s="25"/>
      <c r="R262" s="25"/>
      <c r="S262" s="26">
        <f t="shared" si="11"/>
        <v>0</v>
      </c>
      <c r="T262" s="26">
        <f>COUNTIF($V$4:V262,V262)</f>
        <v>251</v>
      </c>
      <c r="U262" s="26" t="str">
        <f>IF(T262=1,COUNTIF($T$4:T262,1),"")</f>
        <v/>
      </c>
      <c r="V262" s="27" t="str">
        <f>'施設状況(要更新)'!$E262&amp;'施設状況(要更新)'!$C262</f>
        <v/>
      </c>
      <c r="W262" s="27">
        <f>'施設状況(要更新)'!$F262</f>
        <v>0</v>
      </c>
      <c r="X262" s="28"/>
      <c r="Y262" s="27"/>
    </row>
    <row r="263" spans="1:25">
      <c r="A263" s="33"/>
      <c r="B263" s="25"/>
      <c r="C263" s="25"/>
      <c r="D263" s="25"/>
      <c r="E263" s="25"/>
      <c r="F263" s="25"/>
      <c r="G263" s="25"/>
      <c r="H263" s="25"/>
      <c r="I263" s="25"/>
      <c r="J263" s="25"/>
      <c r="K263" s="25"/>
      <c r="L263" s="25"/>
      <c r="M263" s="25"/>
      <c r="N263" s="25"/>
      <c r="O263" s="25"/>
      <c r="P263" s="25"/>
      <c r="Q263" s="25"/>
      <c r="R263" s="25"/>
      <c r="S263" s="26">
        <f t="shared" si="11"/>
        <v>0</v>
      </c>
      <c r="T263" s="26">
        <f>COUNTIF($V$4:V263,V263)</f>
        <v>252</v>
      </c>
      <c r="U263" s="26" t="str">
        <f>IF(T263=1,COUNTIF($T$4:T263,1),"")</f>
        <v/>
      </c>
      <c r="V263" s="27" t="str">
        <f>'施設状況(要更新)'!$E263&amp;'施設状況(要更新)'!$C263</f>
        <v/>
      </c>
      <c r="W263" s="27">
        <f>'施設状況(要更新)'!$F263</f>
        <v>0</v>
      </c>
      <c r="X263" s="28"/>
      <c r="Y263" s="27"/>
    </row>
    <row r="264" spans="1:25">
      <c r="A264" s="33"/>
      <c r="B264" s="25"/>
      <c r="C264" s="25"/>
      <c r="D264" s="25"/>
      <c r="E264" s="25"/>
      <c r="F264" s="25"/>
      <c r="G264" s="25"/>
      <c r="H264" s="25"/>
      <c r="I264" s="25"/>
      <c r="J264" s="25"/>
      <c r="K264" s="25"/>
      <c r="L264" s="25"/>
      <c r="M264" s="25"/>
      <c r="N264" s="25"/>
      <c r="O264" s="25"/>
      <c r="P264" s="25"/>
      <c r="Q264" s="25"/>
      <c r="R264" s="25"/>
      <c r="S264" s="26">
        <f t="shared" si="11"/>
        <v>0</v>
      </c>
      <c r="T264" s="26">
        <f>COUNTIF($V$4:V264,V264)</f>
        <v>253</v>
      </c>
      <c r="U264" s="26" t="str">
        <f>IF(T264=1,COUNTIF($T$4:T264,1),"")</f>
        <v/>
      </c>
      <c r="V264" s="27" t="str">
        <f>'施設状況(要更新)'!$E264&amp;'施設状況(要更新)'!$C264</f>
        <v/>
      </c>
      <c r="W264" s="27">
        <f>'施設状況(要更新)'!$F264</f>
        <v>0</v>
      </c>
      <c r="X264" s="28"/>
      <c r="Y264" s="27"/>
    </row>
    <row r="265" spans="1:25">
      <c r="A265" s="33"/>
      <c r="B265" s="25"/>
      <c r="C265" s="25"/>
      <c r="D265" s="25"/>
      <c r="E265" s="25"/>
      <c r="F265" s="25"/>
      <c r="G265" s="25"/>
      <c r="H265" s="25"/>
      <c r="I265" s="25"/>
      <c r="J265" s="25"/>
      <c r="K265" s="25"/>
      <c r="L265" s="25"/>
      <c r="M265" s="25"/>
      <c r="N265" s="25"/>
      <c r="O265" s="25"/>
      <c r="P265" s="25"/>
      <c r="Q265" s="25"/>
      <c r="R265" s="25"/>
      <c r="S265" s="26">
        <f t="shared" si="11"/>
        <v>0</v>
      </c>
      <c r="T265" s="26">
        <f>COUNTIF($V$4:V265,V265)</f>
        <v>254</v>
      </c>
      <c r="U265" s="26" t="str">
        <f>IF(T265=1,COUNTIF($T$4:T265,1),"")</f>
        <v/>
      </c>
      <c r="V265" s="27" t="str">
        <f>'施設状況(要更新)'!$E265&amp;'施設状況(要更新)'!$C265</f>
        <v/>
      </c>
      <c r="W265" s="27">
        <f>'施設状況(要更新)'!$F265</f>
        <v>0</v>
      </c>
      <c r="X265" s="28"/>
      <c r="Y265" s="27"/>
    </row>
    <row r="266" spans="1:25">
      <c r="A266" s="33"/>
      <c r="B266" s="25"/>
      <c r="C266" s="25"/>
      <c r="D266" s="25"/>
      <c r="E266" s="25"/>
      <c r="F266" s="25"/>
      <c r="G266" s="25"/>
      <c r="H266" s="25"/>
      <c r="I266" s="25"/>
      <c r="J266" s="25"/>
      <c r="K266" s="25"/>
      <c r="L266" s="25"/>
      <c r="M266" s="25"/>
      <c r="N266" s="25"/>
      <c r="O266" s="25"/>
      <c r="P266" s="25"/>
      <c r="Q266" s="25"/>
      <c r="R266" s="25"/>
      <c r="S266" s="26">
        <f t="shared" si="11"/>
        <v>0</v>
      </c>
      <c r="T266" s="26">
        <f>COUNTIF($V$4:V266,V266)</f>
        <v>255</v>
      </c>
      <c r="U266" s="26" t="str">
        <f>IF(T266=1,COUNTIF($T$4:T266,1),"")</f>
        <v/>
      </c>
      <c r="V266" s="27" t="str">
        <f>'施設状況(要更新)'!$E266&amp;'施設状況(要更新)'!$C266</f>
        <v/>
      </c>
      <c r="W266" s="27">
        <f>'施設状況(要更新)'!$F266</f>
        <v>0</v>
      </c>
      <c r="X266" s="28"/>
      <c r="Y266" s="27"/>
    </row>
    <row r="267" spans="1:25">
      <c r="A267" s="33"/>
      <c r="B267" s="25"/>
      <c r="C267" s="25"/>
      <c r="D267" s="25"/>
      <c r="E267" s="25"/>
      <c r="F267" s="25"/>
      <c r="G267" s="25"/>
      <c r="H267" s="25"/>
      <c r="I267" s="25"/>
      <c r="J267" s="25"/>
      <c r="K267" s="25"/>
      <c r="L267" s="25"/>
      <c r="M267" s="25"/>
      <c r="N267" s="25"/>
      <c r="O267" s="25"/>
      <c r="P267" s="25"/>
      <c r="Q267" s="25"/>
      <c r="R267" s="25"/>
      <c r="S267" s="26">
        <f t="shared" si="11"/>
        <v>0</v>
      </c>
      <c r="T267" s="26">
        <f>COUNTIF($V$4:V267,V267)</f>
        <v>256</v>
      </c>
      <c r="U267" s="26" t="str">
        <f>IF(T267=1,COUNTIF($T$4:T267,1),"")</f>
        <v/>
      </c>
      <c r="V267" s="27" t="str">
        <f>'施設状況(要更新)'!$E267&amp;'施設状況(要更新)'!$C267</f>
        <v/>
      </c>
      <c r="W267" s="27">
        <f>'施設状況(要更新)'!$F267</f>
        <v>0</v>
      </c>
      <c r="X267" s="28"/>
      <c r="Y267" s="27"/>
    </row>
    <row r="268" spans="1:25">
      <c r="A268" s="33"/>
      <c r="B268" s="25"/>
      <c r="C268" s="25"/>
      <c r="D268" s="25"/>
      <c r="E268" s="25"/>
      <c r="F268" s="25"/>
      <c r="G268" s="25"/>
      <c r="H268" s="25"/>
      <c r="I268" s="25"/>
      <c r="J268" s="25"/>
      <c r="K268" s="25"/>
      <c r="L268" s="25"/>
      <c r="M268" s="25"/>
      <c r="N268" s="25"/>
      <c r="O268" s="25"/>
      <c r="P268" s="25"/>
      <c r="Q268" s="25"/>
      <c r="R268" s="25"/>
      <c r="S268" s="26">
        <f t="shared" si="11"/>
        <v>0</v>
      </c>
      <c r="T268" s="26">
        <f>COUNTIF($V$4:V268,V268)</f>
        <v>257</v>
      </c>
      <c r="U268" s="26" t="str">
        <f>IF(T268=1,COUNTIF($T$4:T268,1),"")</f>
        <v/>
      </c>
      <c r="V268" s="27" t="str">
        <f>'施設状況(要更新)'!$E268&amp;'施設状況(要更新)'!$C268</f>
        <v/>
      </c>
      <c r="W268" s="27">
        <f>'施設状況(要更新)'!$F268</f>
        <v>0</v>
      </c>
      <c r="X268" s="28"/>
      <c r="Y268" s="27"/>
    </row>
    <row r="269" spans="1:25">
      <c r="A269" s="33"/>
      <c r="B269" s="25"/>
      <c r="C269" s="25"/>
      <c r="D269" s="25"/>
      <c r="E269" s="25"/>
      <c r="F269" s="25"/>
      <c r="G269" s="25"/>
      <c r="H269" s="25"/>
      <c r="I269" s="25"/>
      <c r="J269" s="25"/>
      <c r="K269" s="25"/>
      <c r="L269" s="25"/>
      <c r="M269" s="25"/>
      <c r="N269" s="25"/>
      <c r="O269" s="25"/>
      <c r="P269" s="25"/>
      <c r="Q269" s="25"/>
      <c r="R269" s="25"/>
      <c r="S269" s="26">
        <f t="shared" si="11"/>
        <v>0</v>
      </c>
      <c r="T269" s="26">
        <f>COUNTIF($V$4:V269,V269)</f>
        <v>258</v>
      </c>
      <c r="U269" s="26" t="str">
        <f>IF(T269=1,COUNTIF($T$4:T269,1),"")</f>
        <v/>
      </c>
      <c r="V269" s="27" t="str">
        <f>'施設状況(要更新)'!$E269&amp;'施設状況(要更新)'!$C269</f>
        <v/>
      </c>
      <c r="W269" s="27">
        <f>'施設状況(要更新)'!$F269</f>
        <v>0</v>
      </c>
      <c r="X269" s="28"/>
      <c r="Y269" s="27"/>
    </row>
    <row r="270" spans="1:25">
      <c r="A270" s="33"/>
      <c r="B270" s="25"/>
      <c r="C270" s="25"/>
      <c r="D270" s="25"/>
      <c r="E270" s="25"/>
      <c r="F270" s="25"/>
      <c r="G270" s="25"/>
      <c r="H270" s="25"/>
      <c r="I270" s="25"/>
      <c r="J270" s="25"/>
      <c r="K270" s="25"/>
      <c r="L270" s="25"/>
      <c r="M270" s="25"/>
      <c r="N270" s="25"/>
      <c r="O270" s="25"/>
      <c r="P270" s="25"/>
      <c r="Q270" s="25"/>
      <c r="R270" s="25"/>
      <c r="S270" s="26">
        <f t="shared" si="11"/>
        <v>0</v>
      </c>
      <c r="T270" s="26">
        <f>COUNTIF($V$4:V270,V270)</f>
        <v>259</v>
      </c>
      <c r="U270" s="26" t="str">
        <f>IF(T270=1,COUNTIF($T$4:T270,1),"")</f>
        <v/>
      </c>
      <c r="V270" s="27" t="str">
        <f>'施設状況(要更新)'!$E270&amp;'施設状況(要更新)'!$C270</f>
        <v/>
      </c>
      <c r="W270" s="27">
        <f>'施設状況(要更新)'!$F270</f>
        <v>0</v>
      </c>
      <c r="X270" s="28"/>
      <c r="Y270" s="27"/>
    </row>
    <row r="271" spans="1:25">
      <c r="A271" s="33"/>
      <c r="B271" s="25"/>
      <c r="C271" s="25"/>
      <c r="D271" s="25"/>
      <c r="E271" s="25"/>
      <c r="F271" s="25"/>
      <c r="G271" s="25"/>
      <c r="H271" s="25"/>
      <c r="I271" s="25"/>
      <c r="J271" s="25"/>
      <c r="K271" s="25"/>
      <c r="L271" s="25"/>
      <c r="M271" s="25"/>
      <c r="N271" s="25"/>
      <c r="O271" s="25"/>
      <c r="P271" s="25"/>
      <c r="Q271" s="25"/>
      <c r="R271" s="25"/>
      <c r="S271" s="26">
        <f t="shared" si="11"/>
        <v>0</v>
      </c>
      <c r="T271" s="26">
        <f>COUNTIF($V$4:V271,V271)</f>
        <v>260</v>
      </c>
      <c r="U271" s="26" t="str">
        <f>IF(T271=1,COUNTIF($T$4:T271,1),"")</f>
        <v/>
      </c>
      <c r="V271" s="27" t="str">
        <f>'施設状況(要更新)'!$E271&amp;'施設状況(要更新)'!$C271</f>
        <v/>
      </c>
      <c r="W271" s="27">
        <f>'施設状況(要更新)'!$F271</f>
        <v>0</v>
      </c>
      <c r="X271" s="28"/>
      <c r="Y271" s="27"/>
    </row>
    <row r="272" spans="1:25">
      <c r="A272" s="33"/>
      <c r="B272" s="25"/>
      <c r="C272" s="25"/>
      <c r="D272" s="25"/>
      <c r="E272" s="25"/>
      <c r="F272" s="25"/>
      <c r="G272" s="25"/>
      <c r="H272" s="25"/>
      <c r="I272" s="25"/>
      <c r="J272" s="25"/>
      <c r="K272" s="25"/>
      <c r="L272" s="25"/>
      <c r="M272" s="25"/>
      <c r="N272" s="25"/>
      <c r="O272" s="25"/>
      <c r="P272" s="25"/>
      <c r="Q272" s="25"/>
      <c r="R272" s="25"/>
      <c r="S272" s="26">
        <f t="shared" si="11"/>
        <v>0</v>
      </c>
      <c r="T272" s="26">
        <f>COUNTIF($V$4:V272,V272)</f>
        <v>261</v>
      </c>
      <c r="U272" s="26" t="str">
        <f>IF(T272=1,COUNTIF($T$4:T272,1),"")</f>
        <v/>
      </c>
      <c r="V272" s="27" t="str">
        <f>'施設状況(要更新)'!$E272&amp;'施設状況(要更新)'!$C272</f>
        <v/>
      </c>
      <c r="W272" s="27">
        <f>'施設状況(要更新)'!$F272</f>
        <v>0</v>
      </c>
      <c r="X272" s="28"/>
      <c r="Y272" s="27"/>
    </row>
    <row r="273" spans="1:25">
      <c r="A273" s="33"/>
      <c r="B273" s="25"/>
      <c r="C273" s="25"/>
      <c r="D273" s="25"/>
      <c r="E273" s="25"/>
      <c r="F273" s="25"/>
      <c r="G273" s="25"/>
      <c r="H273" s="25"/>
      <c r="I273" s="25"/>
      <c r="J273" s="25"/>
      <c r="K273" s="25"/>
      <c r="L273" s="25"/>
      <c r="M273" s="25"/>
      <c r="N273" s="25"/>
      <c r="O273" s="25"/>
      <c r="P273" s="25"/>
      <c r="Q273" s="25"/>
      <c r="R273" s="25"/>
      <c r="S273" s="26">
        <f t="shared" si="11"/>
        <v>0</v>
      </c>
      <c r="T273" s="26">
        <f>COUNTIF($V$4:V273,V273)</f>
        <v>262</v>
      </c>
      <c r="U273" s="26" t="str">
        <f>IF(T273=1,COUNTIF($T$4:T273,1),"")</f>
        <v/>
      </c>
      <c r="V273" s="27" t="str">
        <f>'施設状況(要更新)'!$E273&amp;'施設状況(要更新)'!$C273</f>
        <v/>
      </c>
      <c r="W273" s="27">
        <f>'施設状況(要更新)'!$F273</f>
        <v>0</v>
      </c>
      <c r="X273" s="28"/>
      <c r="Y273" s="27"/>
    </row>
    <row r="274" spans="1:25">
      <c r="A274" s="33"/>
      <c r="B274" s="25"/>
      <c r="C274" s="25"/>
      <c r="D274" s="25"/>
      <c r="E274" s="25"/>
      <c r="F274" s="25"/>
      <c r="G274" s="25"/>
      <c r="H274" s="25"/>
      <c r="I274" s="25"/>
      <c r="J274" s="25"/>
      <c r="K274" s="25"/>
      <c r="L274" s="25"/>
      <c r="M274" s="25"/>
      <c r="N274" s="25"/>
      <c r="O274" s="25"/>
      <c r="P274" s="25"/>
      <c r="Q274" s="25"/>
      <c r="R274" s="25"/>
      <c r="S274" s="26">
        <f t="shared" si="11"/>
        <v>0</v>
      </c>
      <c r="T274" s="26">
        <f>COUNTIF($V$4:V274,V274)</f>
        <v>263</v>
      </c>
      <c r="U274" s="26" t="str">
        <f>IF(T274=1,COUNTIF($T$4:T274,1),"")</f>
        <v/>
      </c>
      <c r="V274" s="27" t="str">
        <f>'施設状況(要更新)'!$E274&amp;'施設状況(要更新)'!$C274</f>
        <v/>
      </c>
      <c r="W274" s="27">
        <f>'施設状況(要更新)'!$F274</f>
        <v>0</v>
      </c>
      <c r="X274" s="28"/>
      <c r="Y274" s="27"/>
    </row>
    <row r="275" spans="1:25">
      <c r="A275" s="33"/>
      <c r="B275" s="25"/>
      <c r="C275" s="25"/>
      <c r="D275" s="25"/>
      <c r="E275" s="25"/>
      <c r="F275" s="25"/>
      <c r="G275" s="25"/>
      <c r="H275" s="25"/>
      <c r="I275" s="25"/>
      <c r="J275" s="25"/>
      <c r="K275" s="25"/>
      <c r="L275" s="25"/>
      <c r="M275" s="25"/>
      <c r="N275" s="25"/>
      <c r="O275" s="25"/>
      <c r="P275" s="25"/>
      <c r="Q275" s="25"/>
      <c r="R275" s="25"/>
      <c r="S275" s="26">
        <f t="shared" si="11"/>
        <v>0</v>
      </c>
      <c r="T275" s="26">
        <f>COUNTIF($V$4:V275,V275)</f>
        <v>264</v>
      </c>
      <c r="U275" s="26" t="str">
        <f>IF(T275=1,COUNTIF($T$4:T275,1),"")</f>
        <v/>
      </c>
      <c r="V275" s="27" t="str">
        <f>'施設状況(要更新)'!$E275&amp;'施設状況(要更新)'!$C275</f>
        <v/>
      </c>
      <c r="W275" s="27">
        <f>'施設状況(要更新)'!$F275</f>
        <v>0</v>
      </c>
      <c r="X275" s="28"/>
      <c r="Y275" s="27"/>
    </row>
    <row r="276" spans="1:25">
      <c r="A276" s="33"/>
      <c r="B276" s="25"/>
      <c r="C276" s="25"/>
      <c r="D276" s="25"/>
      <c r="E276" s="25"/>
      <c r="F276" s="25"/>
      <c r="G276" s="25"/>
      <c r="H276" s="25"/>
      <c r="I276" s="25"/>
      <c r="J276" s="25"/>
      <c r="K276" s="25"/>
      <c r="L276" s="25"/>
      <c r="M276" s="25"/>
      <c r="N276" s="25"/>
      <c r="O276" s="25"/>
      <c r="P276" s="25"/>
      <c r="Q276" s="25"/>
      <c r="R276" s="25"/>
      <c r="S276" s="26">
        <f t="shared" si="11"/>
        <v>0</v>
      </c>
      <c r="T276" s="26">
        <f>COUNTIF($V$4:V276,V276)</f>
        <v>265</v>
      </c>
      <c r="U276" s="26" t="str">
        <f>IF(T276=1,COUNTIF($T$4:T276,1),"")</f>
        <v/>
      </c>
      <c r="V276" s="27" t="str">
        <f>'施設状況(要更新)'!$E276&amp;'施設状況(要更新)'!$C276</f>
        <v/>
      </c>
      <c r="W276" s="27">
        <f>'施設状況(要更新)'!$F276</f>
        <v>0</v>
      </c>
      <c r="X276" s="28"/>
      <c r="Y276" s="27"/>
    </row>
    <row r="277" spans="1:25">
      <c r="A277" s="33"/>
      <c r="B277" s="25"/>
      <c r="C277" s="25"/>
      <c r="D277" s="25"/>
      <c r="E277" s="25"/>
      <c r="F277" s="25"/>
      <c r="G277" s="25"/>
      <c r="H277" s="25"/>
      <c r="I277" s="25"/>
      <c r="J277" s="25"/>
      <c r="K277" s="25"/>
      <c r="L277" s="25"/>
      <c r="M277" s="25"/>
      <c r="N277" s="25"/>
      <c r="O277" s="25"/>
      <c r="P277" s="25"/>
      <c r="Q277" s="25"/>
      <c r="R277" s="25"/>
      <c r="S277" s="26">
        <f t="shared" si="11"/>
        <v>0</v>
      </c>
      <c r="T277" s="26">
        <f>COUNTIF($V$4:V277,V277)</f>
        <v>266</v>
      </c>
      <c r="U277" s="26" t="str">
        <f>IF(T277=1,COUNTIF($T$4:T277,1),"")</f>
        <v/>
      </c>
      <c r="V277" s="27" t="str">
        <f>'施設状況(要更新)'!$E277&amp;'施設状況(要更新)'!$C277</f>
        <v/>
      </c>
      <c r="W277" s="27">
        <f>'施設状況(要更新)'!$F277</f>
        <v>0</v>
      </c>
      <c r="X277" s="28"/>
      <c r="Y277" s="27"/>
    </row>
    <row r="278" spans="1:25">
      <c r="A278" s="33"/>
      <c r="B278" s="25"/>
      <c r="C278" s="25"/>
      <c r="D278" s="25"/>
      <c r="E278" s="25"/>
      <c r="F278" s="25"/>
      <c r="G278" s="25"/>
      <c r="H278" s="25"/>
      <c r="I278" s="25"/>
      <c r="J278" s="25"/>
      <c r="K278" s="25"/>
      <c r="L278" s="25"/>
      <c r="M278" s="25"/>
      <c r="N278" s="25"/>
      <c r="O278" s="25"/>
      <c r="P278" s="25"/>
      <c r="Q278" s="25"/>
      <c r="R278" s="25"/>
      <c r="S278" s="26">
        <f t="shared" si="11"/>
        <v>0</v>
      </c>
      <c r="T278" s="26">
        <f>COUNTIF($V$4:V278,V278)</f>
        <v>267</v>
      </c>
      <c r="U278" s="26" t="str">
        <f>IF(T278=1,COUNTIF($T$4:T278,1),"")</f>
        <v/>
      </c>
      <c r="V278" s="27" t="str">
        <f>'施設状況(要更新)'!$E278&amp;'施設状況(要更新)'!$C278</f>
        <v/>
      </c>
      <c r="W278" s="27">
        <f>'施設状況(要更新)'!$F278</f>
        <v>0</v>
      </c>
      <c r="X278" s="28"/>
      <c r="Y278" s="27"/>
    </row>
    <row r="279" spans="1:25">
      <c r="A279" s="33"/>
      <c r="B279" s="25"/>
      <c r="C279" s="25"/>
      <c r="D279" s="25"/>
      <c r="E279" s="25"/>
      <c r="F279" s="25"/>
      <c r="G279" s="25"/>
      <c r="H279" s="25"/>
      <c r="I279" s="25"/>
      <c r="J279" s="25"/>
      <c r="K279" s="25"/>
      <c r="L279" s="25"/>
      <c r="M279" s="25"/>
      <c r="N279" s="25"/>
      <c r="O279" s="25"/>
      <c r="P279" s="25"/>
      <c r="Q279" s="25"/>
      <c r="R279" s="25"/>
      <c r="S279" s="26">
        <f t="shared" si="11"/>
        <v>0</v>
      </c>
      <c r="T279" s="26">
        <f>COUNTIF($V$4:V279,V279)</f>
        <v>268</v>
      </c>
      <c r="U279" s="26" t="str">
        <f>IF(T279=1,COUNTIF($T$4:T279,1),"")</f>
        <v/>
      </c>
      <c r="V279" s="27" t="str">
        <f>'施設状況(要更新)'!$E279&amp;'施設状況(要更新)'!$C279</f>
        <v/>
      </c>
      <c r="W279" s="27">
        <f>'施設状況(要更新)'!$F279</f>
        <v>0</v>
      </c>
      <c r="X279" s="28"/>
      <c r="Y279" s="27"/>
    </row>
    <row r="280" spans="1:25">
      <c r="A280" s="33"/>
      <c r="B280" s="25"/>
      <c r="C280" s="25"/>
      <c r="D280" s="25"/>
      <c r="E280" s="25"/>
      <c r="F280" s="25"/>
      <c r="G280" s="25"/>
      <c r="H280" s="25"/>
      <c r="I280" s="25"/>
      <c r="J280" s="25"/>
      <c r="K280" s="25"/>
      <c r="L280" s="25"/>
      <c r="M280" s="25"/>
      <c r="N280" s="25"/>
      <c r="O280" s="25"/>
      <c r="P280" s="25"/>
      <c r="Q280" s="25"/>
      <c r="R280" s="25"/>
      <c r="S280" s="26">
        <f t="shared" si="11"/>
        <v>0</v>
      </c>
      <c r="T280" s="26">
        <f>COUNTIF($V$4:V280,V280)</f>
        <v>269</v>
      </c>
      <c r="U280" s="26" t="str">
        <f>IF(T280=1,COUNTIF($T$4:T280,1),"")</f>
        <v/>
      </c>
      <c r="V280" s="27" t="str">
        <f>'施設状況(要更新)'!$E280&amp;'施設状況(要更新)'!$C280</f>
        <v/>
      </c>
      <c r="W280" s="27">
        <f>'施設状況(要更新)'!$F280</f>
        <v>0</v>
      </c>
      <c r="X280" s="28"/>
      <c r="Y280" s="27"/>
    </row>
    <row r="281" spans="1:25">
      <c r="A281" s="33"/>
      <c r="B281" s="25"/>
      <c r="C281" s="25"/>
      <c r="D281" s="25"/>
      <c r="E281" s="25"/>
      <c r="F281" s="25"/>
      <c r="G281" s="25"/>
      <c r="H281" s="25"/>
      <c r="I281" s="25"/>
      <c r="J281" s="25"/>
      <c r="K281" s="25"/>
      <c r="L281" s="25"/>
      <c r="M281" s="25"/>
      <c r="N281" s="25"/>
      <c r="O281" s="25"/>
      <c r="P281" s="25"/>
      <c r="Q281" s="25"/>
      <c r="R281" s="25"/>
      <c r="S281" s="26">
        <f t="shared" si="11"/>
        <v>0</v>
      </c>
      <c r="T281" s="26">
        <f>COUNTIF($V$4:V281,V281)</f>
        <v>270</v>
      </c>
      <c r="U281" s="26" t="str">
        <f>IF(T281=1,COUNTIF($T$4:T281,1),"")</f>
        <v/>
      </c>
      <c r="V281" s="27" t="str">
        <f>'施設状況(要更新)'!$E281&amp;'施設状況(要更新)'!$C281</f>
        <v/>
      </c>
      <c r="W281" s="27">
        <f>'施設状況(要更新)'!$F281</f>
        <v>0</v>
      </c>
      <c r="X281" s="28"/>
      <c r="Y281" s="27"/>
    </row>
    <row r="282" spans="1:25">
      <c r="A282" s="33"/>
      <c r="B282" s="25"/>
      <c r="C282" s="25"/>
      <c r="D282" s="25"/>
      <c r="E282" s="25"/>
      <c r="F282" s="25"/>
      <c r="G282" s="25"/>
      <c r="H282" s="25"/>
      <c r="I282" s="25"/>
      <c r="J282" s="25"/>
      <c r="K282" s="25"/>
      <c r="L282" s="25"/>
      <c r="M282" s="25"/>
      <c r="N282" s="25"/>
      <c r="O282" s="25"/>
      <c r="P282" s="25"/>
      <c r="Q282" s="25"/>
      <c r="R282" s="25"/>
      <c r="S282" s="26">
        <f t="shared" si="11"/>
        <v>0</v>
      </c>
      <c r="T282" s="26">
        <f>COUNTIF($V$4:V282,V282)</f>
        <v>271</v>
      </c>
      <c r="U282" s="26" t="str">
        <f>IF(T282=1,COUNTIF($T$4:T282,1),"")</f>
        <v/>
      </c>
      <c r="V282" s="27" t="str">
        <f>'施設状況(要更新)'!$E282&amp;'施設状況(要更新)'!$C282</f>
        <v/>
      </c>
      <c r="W282" s="27">
        <f>'施設状況(要更新)'!$F282</f>
        <v>0</v>
      </c>
      <c r="X282" s="28"/>
      <c r="Y282" s="27"/>
    </row>
    <row r="283" spans="1:25">
      <c r="A283" s="33"/>
      <c r="B283" s="25"/>
      <c r="C283" s="45"/>
      <c r="D283" s="25"/>
      <c r="E283" s="25"/>
      <c r="F283" s="25"/>
      <c r="G283" s="25"/>
      <c r="H283" s="25"/>
      <c r="I283" s="25"/>
      <c r="J283" s="25"/>
      <c r="K283" s="25"/>
      <c r="L283" s="25"/>
      <c r="M283" s="25"/>
      <c r="N283" s="25"/>
      <c r="O283" s="25"/>
      <c r="P283" s="25"/>
      <c r="Q283" s="25"/>
      <c r="R283" s="25"/>
      <c r="S283" s="26">
        <f t="shared" si="11"/>
        <v>0</v>
      </c>
      <c r="T283" s="26">
        <f>COUNTIF($V$4:V283,V283)</f>
        <v>272</v>
      </c>
      <c r="U283" s="26" t="str">
        <f>IF(T283=1,COUNTIF($T$4:T283,1),"")</f>
        <v/>
      </c>
      <c r="V283" s="27" t="str">
        <f>'施設状況(要更新)'!$E283&amp;'施設状況(要更新)'!$C283</f>
        <v/>
      </c>
      <c r="W283" s="27">
        <f>'施設状況(要更新)'!$F283</f>
        <v>0</v>
      </c>
      <c r="X283" s="28"/>
      <c r="Y283" s="27"/>
    </row>
    <row r="284" spans="1:25">
      <c r="A284" s="33"/>
      <c r="B284" s="25"/>
      <c r="C284" s="45"/>
      <c r="D284" s="25"/>
      <c r="E284" s="25"/>
      <c r="F284" s="25"/>
      <c r="G284" s="25"/>
      <c r="H284" s="25"/>
      <c r="I284" s="25"/>
      <c r="J284" s="25"/>
      <c r="K284" s="25"/>
      <c r="L284" s="25"/>
      <c r="M284" s="25"/>
      <c r="N284" s="25"/>
      <c r="O284" s="25"/>
      <c r="P284" s="25"/>
      <c r="Q284" s="25"/>
      <c r="R284" s="25"/>
      <c r="S284" s="26">
        <f t="shared" si="11"/>
        <v>0</v>
      </c>
      <c r="T284" s="26">
        <f>COUNTIF($V$4:V284,V284)</f>
        <v>273</v>
      </c>
      <c r="U284" s="26" t="str">
        <f>IF(T284=1,COUNTIF($T$4:T284,1),"")</f>
        <v/>
      </c>
      <c r="V284" s="27" t="str">
        <f>'施設状況(要更新)'!$E284&amp;'施設状況(要更新)'!$C284</f>
        <v/>
      </c>
      <c r="W284" s="27">
        <f>'施設状況(要更新)'!$F284</f>
        <v>0</v>
      </c>
      <c r="X284" s="28"/>
      <c r="Y284" s="27"/>
    </row>
    <row r="285" spans="1:25">
      <c r="A285" s="33"/>
      <c r="B285" s="25"/>
      <c r="C285" s="45"/>
      <c r="D285" s="25"/>
      <c r="E285" s="25"/>
      <c r="F285" s="25"/>
      <c r="G285" s="25"/>
      <c r="H285" s="25"/>
      <c r="I285" s="25"/>
      <c r="J285" s="25"/>
      <c r="K285" s="25"/>
      <c r="L285" s="25"/>
      <c r="M285" s="25"/>
      <c r="N285" s="25"/>
      <c r="O285" s="25"/>
      <c r="P285" s="25"/>
      <c r="Q285" s="25"/>
      <c r="R285" s="25"/>
      <c r="S285" s="26">
        <f t="shared" si="11"/>
        <v>0</v>
      </c>
      <c r="T285" s="26">
        <f>COUNTIF($V$4:V285,V285)</f>
        <v>274</v>
      </c>
      <c r="U285" s="26" t="str">
        <f>IF(T285=1,COUNTIF($T$4:T285,1),"")</f>
        <v/>
      </c>
      <c r="V285" s="27" t="str">
        <f>'施設状況(要更新)'!$E285&amp;'施設状況(要更新)'!$C285</f>
        <v/>
      </c>
      <c r="W285" s="27">
        <f>'施設状況(要更新)'!$F285</f>
        <v>0</v>
      </c>
      <c r="X285" s="28"/>
      <c r="Y285" s="27"/>
    </row>
    <row r="286" spans="1:25">
      <c r="A286" s="33"/>
      <c r="B286" s="25"/>
      <c r="C286" s="45"/>
      <c r="D286" s="25"/>
      <c r="E286" s="25"/>
      <c r="F286" s="25"/>
      <c r="G286" s="25"/>
      <c r="H286" s="25"/>
      <c r="I286" s="25"/>
      <c r="J286" s="25"/>
      <c r="K286" s="25"/>
      <c r="L286" s="25"/>
      <c r="M286" s="25"/>
      <c r="N286" s="25"/>
      <c r="O286" s="25"/>
      <c r="P286" s="25"/>
      <c r="Q286" s="25"/>
      <c r="R286" s="25"/>
      <c r="S286" s="26">
        <f t="shared" si="11"/>
        <v>0</v>
      </c>
      <c r="T286" s="26">
        <f>COUNTIF($V$4:V286,V286)</f>
        <v>275</v>
      </c>
      <c r="U286" s="26" t="str">
        <f>IF(T286=1,COUNTIF($T$4:T286,1),"")</f>
        <v/>
      </c>
      <c r="V286" s="27" t="str">
        <f>'施設状況(要更新)'!$E286&amp;'施設状況(要更新)'!$C286</f>
        <v/>
      </c>
      <c r="W286" s="27">
        <f>'施設状況(要更新)'!$F286</f>
        <v>0</v>
      </c>
      <c r="X286" s="28"/>
      <c r="Y286" s="27"/>
    </row>
    <row r="287" spans="1:25">
      <c r="A287" s="33"/>
      <c r="B287" s="25"/>
      <c r="C287" s="45"/>
      <c r="D287" s="25"/>
      <c r="E287" s="25"/>
      <c r="F287" s="25"/>
      <c r="G287" s="25"/>
      <c r="H287" s="25"/>
      <c r="I287" s="25"/>
      <c r="J287" s="25"/>
      <c r="K287" s="25"/>
      <c r="L287" s="25"/>
      <c r="M287" s="25"/>
      <c r="N287" s="25"/>
      <c r="O287" s="25"/>
      <c r="P287" s="25"/>
      <c r="Q287" s="25"/>
      <c r="R287" s="25"/>
      <c r="S287" s="26">
        <f t="shared" si="11"/>
        <v>0</v>
      </c>
      <c r="T287" s="26">
        <f>COUNTIF($V$4:V287,V287)</f>
        <v>276</v>
      </c>
      <c r="U287" s="26" t="str">
        <f>IF(T287=1,COUNTIF($T$4:T287,1),"")</f>
        <v/>
      </c>
      <c r="V287" s="27" t="str">
        <f>'施設状況(要更新)'!$E287&amp;'施設状況(要更新)'!$C287</f>
        <v/>
      </c>
      <c r="W287" s="27">
        <f>'施設状況(要更新)'!$F287</f>
        <v>0</v>
      </c>
      <c r="X287" s="28"/>
      <c r="Y287" s="27"/>
    </row>
    <row r="288" spans="1:25">
      <c r="A288" s="33"/>
      <c r="B288" s="25"/>
      <c r="C288" s="45"/>
      <c r="D288" s="25"/>
      <c r="E288" s="25"/>
      <c r="F288" s="25"/>
      <c r="G288" s="25"/>
      <c r="H288" s="25"/>
      <c r="I288" s="25"/>
      <c r="J288" s="25"/>
      <c r="K288" s="25"/>
      <c r="L288" s="25"/>
      <c r="M288" s="25"/>
      <c r="N288" s="25"/>
      <c r="O288" s="25"/>
      <c r="P288" s="25"/>
      <c r="Q288" s="25"/>
      <c r="R288" s="25"/>
      <c r="S288" s="26">
        <f t="shared" si="11"/>
        <v>0</v>
      </c>
      <c r="T288" s="26">
        <f>COUNTIF($V$4:V288,V288)</f>
        <v>277</v>
      </c>
      <c r="U288" s="26" t="str">
        <f>IF(T288=1,COUNTIF($T$4:T288,1),"")</f>
        <v/>
      </c>
      <c r="V288" s="27" t="str">
        <f>'施設状況(要更新)'!$E288&amp;'施設状況(要更新)'!$C288</f>
        <v/>
      </c>
      <c r="W288" s="27">
        <f>'施設状況(要更新)'!$F288</f>
        <v>0</v>
      </c>
      <c r="X288" s="28"/>
      <c r="Y288" s="27"/>
    </row>
    <row r="289" spans="1:25">
      <c r="A289" s="33"/>
      <c r="B289" s="25"/>
      <c r="C289" s="45"/>
      <c r="D289" s="25"/>
      <c r="E289" s="25"/>
      <c r="F289" s="25"/>
      <c r="G289" s="25"/>
      <c r="H289" s="25"/>
      <c r="I289" s="25"/>
      <c r="J289" s="25"/>
      <c r="K289" s="25"/>
      <c r="L289" s="25"/>
      <c r="M289" s="25"/>
      <c r="N289" s="25"/>
      <c r="O289" s="25"/>
      <c r="P289" s="25"/>
      <c r="Q289" s="25"/>
      <c r="R289" s="25"/>
      <c r="S289" s="26">
        <f t="shared" si="11"/>
        <v>0</v>
      </c>
      <c r="T289" s="26">
        <f>COUNTIF($V$4:V289,V289)</f>
        <v>278</v>
      </c>
      <c r="U289" s="26" t="str">
        <f>IF(T289=1,COUNTIF($T$4:T289,1),"")</f>
        <v/>
      </c>
      <c r="V289" s="27" t="str">
        <f>'施設状況(要更新)'!$E289&amp;'施設状況(要更新)'!$C289</f>
        <v/>
      </c>
      <c r="W289" s="27">
        <f>'施設状況(要更新)'!$F289</f>
        <v>0</v>
      </c>
      <c r="X289" s="28"/>
      <c r="Y289" s="27"/>
    </row>
    <row r="290" spans="1:25">
      <c r="A290" s="33"/>
      <c r="B290" s="25"/>
      <c r="C290" s="45"/>
      <c r="D290" s="25"/>
      <c r="E290" s="25"/>
      <c r="F290" s="25"/>
      <c r="G290" s="25"/>
      <c r="H290" s="25"/>
      <c r="I290" s="25"/>
      <c r="J290" s="25"/>
      <c r="K290" s="25"/>
      <c r="L290" s="25"/>
      <c r="M290" s="25"/>
      <c r="N290" s="25"/>
      <c r="O290" s="25"/>
      <c r="P290" s="25"/>
      <c r="Q290" s="25"/>
      <c r="R290" s="25"/>
      <c r="S290" s="26">
        <f t="shared" si="11"/>
        <v>0</v>
      </c>
      <c r="T290" s="26">
        <f>COUNTIF($V$4:V290,V290)</f>
        <v>279</v>
      </c>
      <c r="U290" s="26" t="str">
        <f>IF(T290=1,COUNTIF($T$4:T290,1),"")</f>
        <v/>
      </c>
      <c r="V290" s="27" t="str">
        <f>'施設状況(要更新)'!$E290&amp;'施設状況(要更新)'!$C290</f>
        <v/>
      </c>
      <c r="W290" s="27">
        <f>'施設状況(要更新)'!$F290</f>
        <v>0</v>
      </c>
      <c r="X290" s="28"/>
      <c r="Y290" s="27"/>
    </row>
    <row r="291" spans="1:25">
      <c r="A291" s="33"/>
      <c r="B291" s="25"/>
      <c r="C291" s="45"/>
      <c r="D291" s="25"/>
      <c r="E291" s="25"/>
      <c r="F291" s="25"/>
      <c r="G291" s="25"/>
      <c r="H291" s="25"/>
      <c r="I291" s="25"/>
      <c r="J291" s="25"/>
      <c r="K291" s="25"/>
      <c r="L291" s="25"/>
      <c r="M291" s="25"/>
      <c r="N291" s="25"/>
      <c r="O291" s="25"/>
      <c r="P291" s="25"/>
      <c r="Q291" s="25"/>
      <c r="R291" s="25"/>
      <c r="S291" s="26">
        <f t="shared" si="11"/>
        <v>0</v>
      </c>
      <c r="T291" s="26">
        <f>COUNTIF($V$4:V291,V291)</f>
        <v>280</v>
      </c>
      <c r="U291" s="26" t="str">
        <f>IF(T291=1,COUNTIF($T$4:T291,1),"")</f>
        <v/>
      </c>
      <c r="V291" s="27" t="str">
        <f>'施設状況(要更新)'!$E291&amp;'施設状況(要更新)'!$C291</f>
        <v/>
      </c>
      <c r="W291" s="27">
        <f>'施設状況(要更新)'!$F291</f>
        <v>0</v>
      </c>
      <c r="X291" s="28"/>
      <c r="Y291" s="27"/>
    </row>
    <row r="292" spans="1:25">
      <c r="A292" s="33"/>
      <c r="B292" s="25"/>
      <c r="C292" s="45"/>
      <c r="D292" s="25"/>
      <c r="E292" s="25"/>
      <c r="F292" s="25"/>
      <c r="G292" s="25"/>
      <c r="H292" s="25"/>
      <c r="I292" s="25"/>
      <c r="J292" s="25"/>
      <c r="K292" s="25"/>
      <c r="L292" s="25"/>
      <c r="M292" s="25"/>
      <c r="N292" s="25"/>
      <c r="O292" s="25"/>
      <c r="P292" s="25"/>
      <c r="Q292" s="25"/>
      <c r="R292" s="25"/>
      <c r="S292" s="26">
        <f t="shared" si="11"/>
        <v>0</v>
      </c>
      <c r="T292" s="26">
        <f>COUNTIF($V$4:V292,V292)</f>
        <v>281</v>
      </c>
      <c r="U292" s="26" t="str">
        <f>IF(T292=1,COUNTIF($T$4:T292,1),"")</f>
        <v/>
      </c>
      <c r="V292" s="27" t="str">
        <f>'施設状況(要更新)'!$E292&amp;'施設状況(要更新)'!$C292</f>
        <v/>
      </c>
      <c r="W292" s="27">
        <f>'施設状況(要更新)'!$F292</f>
        <v>0</v>
      </c>
      <c r="X292" s="28"/>
      <c r="Y292" s="27"/>
    </row>
    <row r="293" spans="1:25">
      <c r="A293" s="33"/>
      <c r="B293" s="25"/>
      <c r="C293" s="45"/>
      <c r="D293" s="25"/>
      <c r="E293" s="25"/>
      <c r="F293" s="25"/>
      <c r="G293" s="25"/>
      <c r="H293" s="25"/>
      <c r="I293" s="25"/>
      <c r="J293" s="25"/>
      <c r="K293" s="25"/>
      <c r="L293" s="25"/>
      <c r="M293" s="25"/>
      <c r="N293" s="25"/>
      <c r="O293" s="25"/>
      <c r="P293" s="25"/>
      <c r="Q293" s="25"/>
      <c r="R293" s="25"/>
      <c r="S293" s="26">
        <f t="shared" si="11"/>
        <v>0</v>
      </c>
      <c r="T293" s="26">
        <f>COUNTIF($V$4:V293,V293)</f>
        <v>282</v>
      </c>
      <c r="U293" s="26" t="str">
        <f>IF(T293=1,COUNTIF($T$4:T293,1),"")</f>
        <v/>
      </c>
      <c r="V293" s="27" t="str">
        <f>'施設状況(要更新)'!$E293&amp;'施設状況(要更新)'!$C293</f>
        <v/>
      </c>
      <c r="W293" s="27">
        <f>'施設状況(要更新)'!$F293</f>
        <v>0</v>
      </c>
      <c r="X293" s="28"/>
      <c r="Y293" s="27"/>
    </row>
    <row r="294" spans="1:25">
      <c r="A294" s="33"/>
      <c r="B294" s="25"/>
      <c r="C294" s="25"/>
      <c r="D294" s="25"/>
      <c r="E294" s="25"/>
      <c r="F294" s="25"/>
      <c r="G294" s="25"/>
      <c r="H294" s="25"/>
      <c r="I294" s="25"/>
      <c r="J294" s="25"/>
      <c r="K294" s="25"/>
      <c r="L294" s="25"/>
      <c r="M294" s="25"/>
      <c r="N294" s="25"/>
      <c r="O294" s="25"/>
      <c r="P294" s="25"/>
      <c r="Q294" s="25"/>
      <c r="R294" s="25"/>
      <c r="S294" s="26">
        <f t="shared" si="11"/>
        <v>0</v>
      </c>
      <c r="T294" s="26">
        <f>COUNTIF($V$4:V294,V294)</f>
        <v>283</v>
      </c>
      <c r="U294" s="26" t="str">
        <f>IF(T294=1,COUNTIF($T$4:T294,1),"")</f>
        <v/>
      </c>
      <c r="V294" s="27" t="str">
        <f>'施設状況(要更新)'!$E294&amp;'施設状況(要更新)'!$C294</f>
        <v/>
      </c>
      <c r="W294" s="27">
        <f>'施設状況(要更新)'!$F294</f>
        <v>0</v>
      </c>
      <c r="X294" s="28"/>
      <c r="Y294" s="27"/>
    </row>
    <row r="295" spans="1:25">
      <c r="A295" s="33"/>
      <c r="B295" s="25"/>
      <c r="C295" s="25"/>
      <c r="D295" s="25"/>
      <c r="E295" s="25"/>
      <c r="F295" s="25"/>
      <c r="G295" s="25"/>
      <c r="H295" s="25"/>
      <c r="I295" s="25"/>
      <c r="J295" s="25"/>
      <c r="K295" s="25"/>
      <c r="L295" s="25"/>
      <c r="M295" s="25"/>
      <c r="N295" s="25"/>
      <c r="O295" s="25"/>
      <c r="P295" s="25"/>
      <c r="Q295" s="25"/>
      <c r="R295" s="25"/>
      <c r="S295" s="26">
        <f t="shared" si="11"/>
        <v>0</v>
      </c>
      <c r="T295" s="26">
        <f>COUNTIF($V$4:V295,V295)</f>
        <v>284</v>
      </c>
      <c r="U295" s="26" t="str">
        <f>IF(T295=1,COUNTIF($T$4:T295,1),"")</f>
        <v/>
      </c>
      <c r="V295" s="27" t="str">
        <f>'施設状況(要更新)'!$E295&amp;'施設状況(要更新)'!$C295</f>
        <v/>
      </c>
      <c r="W295" s="27">
        <f>'施設状況(要更新)'!$F295</f>
        <v>0</v>
      </c>
      <c r="X295" s="28"/>
      <c r="Y295" s="27"/>
    </row>
    <row r="296" spans="1:25">
      <c r="A296" s="33"/>
      <c r="B296" s="25"/>
      <c r="C296" s="25"/>
      <c r="D296" s="25"/>
      <c r="E296" s="25"/>
      <c r="F296" s="25"/>
      <c r="G296" s="25"/>
      <c r="H296" s="25"/>
      <c r="I296" s="25"/>
      <c r="J296" s="25"/>
      <c r="K296" s="25"/>
      <c r="L296" s="25"/>
      <c r="M296" s="25"/>
      <c r="N296" s="25"/>
      <c r="O296" s="25"/>
      <c r="P296" s="25"/>
      <c r="Q296" s="25"/>
      <c r="R296" s="25"/>
      <c r="S296" s="26">
        <f t="shared" si="11"/>
        <v>0</v>
      </c>
      <c r="T296" s="26">
        <f>COUNTIF($V$4:V296,V296)</f>
        <v>285</v>
      </c>
      <c r="U296" s="26" t="str">
        <f>IF(T296=1,COUNTIF($T$4:T296,1),"")</f>
        <v/>
      </c>
      <c r="V296" s="27" t="str">
        <f>'施設状況(要更新)'!$E296&amp;'施設状況(要更新)'!$C296</f>
        <v/>
      </c>
      <c r="W296" s="27">
        <f>'施設状況(要更新)'!$F296</f>
        <v>0</v>
      </c>
      <c r="X296" s="28"/>
      <c r="Y296" s="27"/>
    </row>
    <row r="297" spans="1:25">
      <c r="A297" s="33"/>
      <c r="B297" s="25"/>
      <c r="C297" s="25"/>
      <c r="D297" s="25"/>
      <c r="E297" s="25"/>
      <c r="F297" s="25"/>
      <c r="G297" s="25"/>
      <c r="H297" s="25"/>
      <c r="I297" s="25"/>
      <c r="J297" s="25"/>
      <c r="K297" s="25"/>
      <c r="L297" s="25"/>
      <c r="M297" s="25"/>
      <c r="N297" s="25"/>
      <c r="O297" s="25"/>
      <c r="P297" s="25"/>
      <c r="Q297" s="25"/>
      <c r="R297" s="25"/>
      <c r="S297" s="26">
        <f t="shared" si="11"/>
        <v>0</v>
      </c>
      <c r="T297" s="26">
        <f>COUNTIF($V$4:V297,V297)</f>
        <v>286</v>
      </c>
      <c r="U297" s="26" t="str">
        <f>IF(T297=1,COUNTIF($T$4:T297,1),"")</f>
        <v/>
      </c>
      <c r="V297" s="27" t="str">
        <f>'施設状況(要更新)'!$E297&amp;'施設状況(要更新)'!$C297</f>
        <v/>
      </c>
      <c r="W297" s="27">
        <f>'施設状況(要更新)'!$F297</f>
        <v>0</v>
      </c>
      <c r="X297" s="28"/>
      <c r="Y297" s="27"/>
    </row>
    <row r="298" spans="1:25">
      <c r="A298" s="33"/>
      <c r="B298" s="25"/>
      <c r="C298" s="45"/>
      <c r="D298" s="25"/>
      <c r="E298" s="25"/>
      <c r="F298" s="25"/>
      <c r="G298" s="25"/>
      <c r="H298" s="25"/>
      <c r="I298" s="25"/>
      <c r="J298" s="25"/>
      <c r="K298" s="25"/>
      <c r="L298" s="25"/>
      <c r="M298" s="25"/>
      <c r="N298" s="25"/>
      <c r="O298" s="25"/>
      <c r="P298" s="25"/>
      <c r="Q298" s="25"/>
      <c r="R298" s="25"/>
      <c r="S298" s="26">
        <f t="shared" si="11"/>
        <v>0</v>
      </c>
      <c r="T298" s="26">
        <f>COUNTIF($V$4:V298,V298)</f>
        <v>287</v>
      </c>
      <c r="U298" s="26" t="str">
        <f>IF(T298=1,COUNTIF($T$4:T298,1),"")</f>
        <v/>
      </c>
      <c r="V298" s="27" t="str">
        <f>'施設状況(要更新)'!$E298&amp;'施設状況(要更新)'!$C298</f>
        <v/>
      </c>
      <c r="W298" s="27">
        <f>'施設状況(要更新)'!$F298</f>
        <v>0</v>
      </c>
      <c r="X298" s="28"/>
      <c r="Y298" s="27"/>
    </row>
    <row r="299" spans="1:25">
      <c r="A299" s="33"/>
      <c r="B299" s="25"/>
      <c r="C299" s="45"/>
      <c r="D299" s="25"/>
      <c r="E299" s="25"/>
      <c r="F299" s="25"/>
      <c r="G299" s="25"/>
      <c r="H299" s="25"/>
      <c r="I299" s="25"/>
      <c r="J299" s="25"/>
      <c r="K299" s="25"/>
      <c r="L299" s="25"/>
      <c r="M299" s="25"/>
      <c r="N299" s="25"/>
      <c r="O299" s="25"/>
      <c r="P299" s="25"/>
      <c r="Q299" s="25"/>
      <c r="R299" s="25"/>
      <c r="S299" s="26">
        <f t="shared" si="11"/>
        <v>0</v>
      </c>
      <c r="T299" s="26">
        <f>COUNTIF($V$4:V299,V299)</f>
        <v>288</v>
      </c>
      <c r="U299" s="26" t="str">
        <f>IF(T299=1,COUNTIF($T$4:T299,1),"")</f>
        <v/>
      </c>
      <c r="V299" s="27" t="str">
        <f>'施設状況(要更新)'!$E299&amp;'施設状況(要更新)'!$C299</f>
        <v/>
      </c>
      <c r="W299" s="27">
        <f>'施設状況(要更新)'!$F299</f>
        <v>0</v>
      </c>
      <c r="X299" s="28"/>
      <c r="Y299" s="27"/>
    </row>
    <row r="300" spans="1:25">
      <c r="A300" s="33"/>
      <c r="B300" s="25"/>
      <c r="C300" s="45"/>
      <c r="D300" s="25"/>
      <c r="E300" s="25"/>
      <c r="F300" s="25"/>
      <c r="G300" s="25"/>
      <c r="H300" s="25"/>
      <c r="I300" s="25"/>
      <c r="J300" s="25"/>
      <c r="K300" s="25"/>
      <c r="L300" s="25"/>
      <c r="M300" s="25"/>
      <c r="N300" s="25"/>
      <c r="O300" s="25"/>
      <c r="P300" s="25"/>
      <c r="Q300" s="25"/>
      <c r="R300" s="25"/>
      <c r="S300" s="26">
        <f t="shared" si="11"/>
        <v>0</v>
      </c>
      <c r="T300" s="26">
        <f>COUNTIF($V$4:V300,V300)</f>
        <v>289</v>
      </c>
      <c r="U300" s="26" t="str">
        <f>IF(T300=1,COUNTIF($T$4:T300,1),"")</f>
        <v/>
      </c>
      <c r="V300" s="27" t="str">
        <f>'施設状況(要更新)'!$E300&amp;'施設状況(要更新)'!$C300</f>
        <v/>
      </c>
      <c r="W300" s="27">
        <f>'施設状況(要更新)'!$F300</f>
        <v>0</v>
      </c>
      <c r="X300" s="28"/>
      <c r="Y300" s="27"/>
    </row>
    <row r="301" spans="1:25">
      <c r="A301" s="33"/>
      <c r="B301" s="25"/>
      <c r="C301" s="45"/>
      <c r="D301" s="25"/>
      <c r="E301" s="25"/>
      <c r="F301" s="25"/>
      <c r="G301" s="25"/>
      <c r="H301" s="25"/>
      <c r="I301" s="25"/>
      <c r="J301" s="25"/>
      <c r="K301" s="25"/>
      <c r="L301" s="25"/>
      <c r="M301" s="25"/>
      <c r="N301" s="25"/>
      <c r="O301" s="25"/>
      <c r="P301" s="25"/>
      <c r="Q301" s="25"/>
      <c r="R301" s="25"/>
      <c r="S301" s="26">
        <f t="shared" si="11"/>
        <v>0</v>
      </c>
      <c r="T301" s="26">
        <f>COUNTIF($V$4:V301,V301)</f>
        <v>290</v>
      </c>
      <c r="U301" s="26" t="str">
        <f>IF(T301=1,COUNTIF($T$4:T301,1),"")</f>
        <v/>
      </c>
      <c r="V301" s="27" t="str">
        <f>'施設状況(要更新)'!$E301&amp;'施設状況(要更新)'!$C301</f>
        <v/>
      </c>
      <c r="W301" s="27">
        <f>'施設状況(要更新)'!$F301</f>
        <v>0</v>
      </c>
      <c r="X301" s="28"/>
      <c r="Y301" s="27"/>
    </row>
    <row r="302" spans="1:25">
      <c r="A302" s="33"/>
      <c r="B302" s="25"/>
      <c r="C302" s="45"/>
      <c r="D302" s="25"/>
      <c r="E302" s="25"/>
      <c r="F302" s="25"/>
      <c r="G302" s="25"/>
      <c r="H302" s="25"/>
      <c r="I302" s="25"/>
      <c r="J302" s="25"/>
      <c r="K302" s="25"/>
      <c r="L302" s="25"/>
      <c r="M302" s="25"/>
      <c r="N302" s="25"/>
      <c r="O302" s="25"/>
      <c r="P302" s="25"/>
      <c r="Q302" s="25"/>
      <c r="R302" s="25"/>
      <c r="S302" s="26">
        <f t="shared" si="11"/>
        <v>0</v>
      </c>
      <c r="T302" s="26">
        <f>COUNTIF($V$4:V302,V302)</f>
        <v>291</v>
      </c>
      <c r="U302" s="26" t="str">
        <f>IF(T302=1,COUNTIF($T$4:T302,1),"")</f>
        <v/>
      </c>
      <c r="V302" s="27" t="str">
        <f>'施設状況(要更新)'!$E302&amp;'施設状況(要更新)'!$C302</f>
        <v/>
      </c>
      <c r="W302" s="27">
        <f>'施設状況(要更新)'!$F302</f>
        <v>0</v>
      </c>
      <c r="X302" s="28"/>
      <c r="Y302" s="27"/>
    </row>
    <row r="303" spans="1:25">
      <c r="A303" s="33"/>
      <c r="B303" s="25"/>
      <c r="C303" s="45"/>
      <c r="D303" s="25"/>
      <c r="E303" s="25"/>
      <c r="F303" s="25"/>
      <c r="G303" s="25"/>
      <c r="H303" s="25"/>
      <c r="I303" s="25"/>
      <c r="J303" s="25"/>
      <c r="K303" s="25"/>
      <c r="L303" s="25"/>
      <c r="M303" s="25"/>
      <c r="N303" s="25"/>
      <c r="O303" s="25"/>
      <c r="P303" s="25"/>
      <c r="Q303" s="25"/>
      <c r="R303" s="25"/>
      <c r="S303" s="26">
        <f t="shared" si="11"/>
        <v>0</v>
      </c>
      <c r="T303" s="26">
        <f>COUNTIF($V$4:V303,V303)</f>
        <v>292</v>
      </c>
      <c r="U303" s="26" t="str">
        <f>IF(T303=1,COUNTIF($T$4:T303,1),"")</f>
        <v/>
      </c>
      <c r="V303" s="27" t="str">
        <f>'施設状況(要更新)'!$E303&amp;'施設状況(要更新)'!$C303</f>
        <v/>
      </c>
      <c r="W303" s="27">
        <f>'施設状況(要更新)'!$F303</f>
        <v>0</v>
      </c>
      <c r="X303" s="28"/>
      <c r="Y303" s="27"/>
    </row>
    <row r="304" spans="1:25">
      <c r="A304" s="33"/>
      <c r="B304" s="25"/>
      <c r="C304" s="45"/>
      <c r="D304" s="25"/>
      <c r="E304" s="25"/>
      <c r="F304" s="25"/>
      <c r="G304" s="25"/>
      <c r="H304" s="25"/>
      <c r="I304" s="25"/>
      <c r="J304" s="25"/>
      <c r="K304" s="25"/>
      <c r="L304" s="25"/>
      <c r="M304" s="25"/>
      <c r="N304" s="25"/>
      <c r="O304" s="25"/>
      <c r="P304" s="25"/>
      <c r="Q304" s="25"/>
      <c r="R304" s="25"/>
      <c r="S304" s="26">
        <f t="shared" si="11"/>
        <v>0</v>
      </c>
      <c r="T304" s="26">
        <f>COUNTIF($V$4:V304,V304)</f>
        <v>293</v>
      </c>
      <c r="U304" s="26" t="str">
        <f>IF(T304=1,COUNTIF($T$4:T304,1),"")</f>
        <v/>
      </c>
      <c r="V304" s="27" t="str">
        <f>'施設状況(要更新)'!$E304&amp;'施設状況(要更新)'!$C304</f>
        <v/>
      </c>
      <c r="W304" s="27">
        <f>'施設状況(要更新)'!$F304</f>
        <v>0</v>
      </c>
      <c r="X304" s="28"/>
      <c r="Y304" s="27"/>
    </row>
    <row r="305" spans="1:25">
      <c r="A305" s="33"/>
      <c r="B305" s="25"/>
      <c r="C305" s="45"/>
      <c r="D305" s="25"/>
      <c r="E305" s="25"/>
      <c r="F305" s="25"/>
      <c r="G305" s="25"/>
      <c r="H305" s="25"/>
      <c r="I305" s="25"/>
      <c r="J305" s="25"/>
      <c r="K305" s="25"/>
      <c r="L305" s="25"/>
      <c r="M305" s="25"/>
      <c r="N305" s="25"/>
      <c r="O305" s="25"/>
      <c r="P305" s="25"/>
      <c r="Q305" s="25"/>
      <c r="R305" s="25"/>
      <c r="S305" s="26">
        <f t="shared" si="11"/>
        <v>0</v>
      </c>
      <c r="T305" s="26">
        <f>COUNTIF($V$4:V305,V305)</f>
        <v>294</v>
      </c>
      <c r="U305" s="26" t="str">
        <f>IF(T305=1,COUNTIF($T$4:T305,1),"")</f>
        <v/>
      </c>
      <c r="V305" s="27" t="str">
        <f>'施設状況(要更新)'!$E305&amp;'施設状況(要更新)'!$C305</f>
        <v/>
      </c>
      <c r="W305" s="27">
        <f>'施設状況(要更新)'!$F305</f>
        <v>0</v>
      </c>
      <c r="X305" s="28"/>
      <c r="Y305" s="27"/>
    </row>
    <row r="306" spans="1:25">
      <c r="A306" s="33"/>
      <c r="B306" s="25"/>
      <c r="C306" s="45"/>
      <c r="D306" s="25"/>
      <c r="E306" s="25"/>
      <c r="F306" s="25"/>
      <c r="G306" s="25"/>
      <c r="H306" s="25"/>
      <c r="I306" s="25"/>
      <c r="J306" s="25"/>
      <c r="K306" s="25"/>
      <c r="L306" s="25"/>
      <c r="M306" s="25"/>
      <c r="N306" s="25"/>
      <c r="O306" s="25"/>
      <c r="P306" s="25"/>
      <c r="Q306" s="25"/>
      <c r="R306" s="25"/>
      <c r="S306" s="26">
        <f t="shared" si="11"/>
        <v>0</v>
      </c>
      <c r="T306" s="26">
        <f>COUNTIF($V$4:V306,V306)</f>
        <v>295</v>
      </c>
      <c r="U306" s="26" t="str">
        <f>IF(T306=1,COUNTIF($T$4:T306,1),"")</f>
        <v/>
      </c>
      <c r="V306" s="27" t="str">
        <f>'施設状況(要更新)'!$E306&amp;'施設状況(要更新)'!$C306</f>
        <v/>
      </c>
      <c r="W306" s="27">
        <f>'施設状況(要更新)'!$F306</f>
        <v>0</v>
      </c>
      <c r="X306" s="28"/>
      <c r="Y306" s="27"/>
    </row>
    <row r="307" spans="1:25">
      <c r="A307" s="33"/>
      <c r="B307" s="25"/>
      <c r="C307" s="45"/>
      <c r="D307" s="25"/>
      <c r="E307" s="25"/>
      <c r="F307" s="25"/>
      <c r="G307" s="25"/>
      <c r="H307" s="25"/>
      <c r="I307" s="25"/>
      <c r="J307" s="25"/>
      <c r="K307" s="25"/>
      <c r="L307" s="25"/>
      <c r="M307" s="25"/>
      <c r="N307" s="25"/>
      <c r="O307" s="25"/>
      <c r="P307" s="25"/>
      <c r="Q307" s="25"/>
      <c r="R307" s="25"/>
      <c r="S307" s="26">
        <f t="shared" si="11"/>
        <v>0</v>
      </c>
      <c r="T307" s="26">
        <f>COUNTIF($V$4:V307,V307)</f>
        <v>296</v>
      </c>
      <c r="U307" s="26" t="str">
        <f>IF(T307=1,COUNTIF($T$4:T307,1),"")</f>
        <v/>
      </c>
      <c r="V307" s="27" t="str">
        <f>'施設状況(要更新)'!$E307&amp;'施設状況(要更新)'!$C307</f>
        <v/>
      </c>
      <c r="W307" s="27">
        <f>'施設状況(要更新)'!$F307</f>
        <v>0</v>
      </c>
      <c r="X307" s="28"/>
      <c r="Y307" s="27"/>
    </row>
    <row r="308" spans="1:25">
      <c r="A308" s="33"/>
      <c r="B308" s="25"/>
      <c r="C308" s="45"/>
      <c r="D308" s="25"/>
      <c r="E308" s="25"/>
      <c r="F308" s="25"/>
      <c r="G308" s="25"/>
      <c r="H308" s="25"/>
      <c r="I308" s="25"/>
      <c r="J308" s="25"/>
      <c r="K308" s="25"/>
      <c r="L308" s="25"/>
      <c r="M308" s="25"/>
      <c r="N308" s="25"/>
      <c r="O308" s="25"/>
      <c r="P308" s="25"/>
      <c r="Q308" s="25"/>
      <c r="R308" s="25"/>
      <c r="S308" s="26">
        <f t="shared" si="11"/>
        <v>0</v>
      </c>
      <c r="T308" s="26">
        <f>COUNTIF($V$4:V308,V308)</f>
        <v>297</v>
      </c>
      <c r="U308" s="26" t="str">
        <f>IF(T308=1,COUNTIF($T$4:T308,1),"")</f>
        <v/>
      </c>
      <c r="V308" s="27" t="str">
        <f>'施設状況(要更新)'!$E308&amp;'施設状況(要更新)'!$C308</f>
        <v/>
      </c>
      <c r="W308" s="27">
        <f>'施設状況(要更新)'!$F308</f>
        <v>0</v>
      </c>
      <c r="X308" s="28"/>
      <c r="Y308" s="27"/>
    </row>
    <row r="309" spans="1:25">
      <c r="A309" s="33"/>
      <c r="B309" s="25"/>
      <c r="C309" s="45"/>
      <c r="D309" s="25"/>
      <c r="E309" s="25"/>
      <c r="F309" s="25"/>
      <c r="G309" s="25"/>
      <c r="H309" s="25"/>
      <c r="I309" s="25"/>
      <c r="J309" s="25"/>
      <c r="K309" s="25"/>
      <c r="L309" s="25"/>
      <c r="M309" s="25"/>
      <c r="N309" s="25"/>
      <c r="O309" s="25"/>
      <c r="P309" s="25"/>
      <c r="Q309" s="25"/>
      <c r="R309" s="25"/>
      <c r="S309" s="26">
        <f t="shared" si="11"/>
        <v>0</v>
      </c>
      <c r="T309" s="26">
        <f>COUNTIF($V$4:V309,V309)</f>
        <v>298</v>
      </c>
      <c r="U309" s="26" t="str">
        <f>IF(T309=1,COUNTIF($T$4:T309,1),"")</f>
        <v/>
      </c>
      <c r="V309" s="27" t="str">
        <f>'施設状況(要更新)'!$E309&amp;'施設状況(要更新)'!$C309</f>
        <v/>
      </c>
      <c r="W309" s="27">
        <f>'施設状況(要更新)'!$F309</f>
        <v>0</v>
      </c>
      <c r="X309" s="28"/>
      <c r="Y309" s="27"/>
    </row>
    <row r="310" spans="1:25">
      <c r="A310" s="33"/>
      <c r="B310" s="25"/>
      <c r="C310" s="45"/>
      <c r="D310" s="25"/>
      <c r="E310" s="25"/>
      <c r="F310" s="25"/>
      <c r="G310" s="25"/>
      <c r="H310" s="25"/>
      <c r="I310" s="25"/>
      <c r="J310" s="25"/>
      <c r="K310" s="25"/>
      <c r="L310" s="25"/>
      <c r="M310" s="25"/>
      <c r="N310" s="25"/>
      <c r="O310" s="25"/>
      <c r="P310" s="25"/>
      <c r="Q310" s="25"/>
      <c r="R310" s="25"/>
      <c r="S310" s="26">
        <f t="shared" si="11"/>
        <v>0</v>
      </c>
      <c r="T310" s="26">
        <f>COUNTIF($V$4:V310,V310)</f>
        <v>299</v>
      </c>
      <c r="U310" s="26" t="str">
        <f>IF(T310=1,COUNTIF($T$4:T310,1),"")</f>
        <v/>
      </c>
      <c r="V310" s="27" t="str">
        <f>'施設状況(要更新)'!$E310&amp;'施設状況(要更新)'!$C310</f>
        <v/>
      </c>
      <c r="W310" s="27">
        <f>'施設状況(要更新)'!$F310</f>
        <v>0</v>
      </c>
      <c r="X310" s="28"/>
      <c r="Y310" s="27"/>
    </row>
    <row r="311" spans="1:25">
      <c r="A311" s="33"/>
      <c r="B311" s="25"/>
      <c r="C311" s="45"/>
      <c r="D311" s="25"/>
      <c r="E311" s="25"/>
      <c r="F311" s="25"/>
      <c r="G311" s="25"/>
      <c r="H311" s="25"/>
      <c r="I311" s="25"/>
      <c r="J311" s="25"/>
      <c r="K311" s="25"/>
      <c r="L311" s="25"/>
      <c r="M311" s="25"/>
      <c r="N311" s="25"/>
      <c r="O311" s="25"/>
      <c r="P311" s="25"/>
      <c r="Q311" s="25"/>
      <c r="R311" s="25"/>
      <c r="S311" s="26">
        <f t="shared" si="11"/>
        <v>0</v>
      </c>
      <c r="T311" s="26">
        <f>COUNTIF($V$4:V311,V311)</f>
        <v>300</v>
      </c>
      <c r="U311" s="26" t="str">
        <f>IF(T311=1,COUNTIF($T$4:T311,1),"")</f>
        <v/>
      </c>
      <c r="V311" s="27" t="str">
        <f>'施設状況(要更新)'!$E311&amp;'施設状況(要更新)'!$C311</f>
        <v/>
      </c>
      <c r="W311" s="27">
        <f>'施設状況(要更新)'!$F311</f>
        <v>0</v>
      </c>
      <c r="X311" s="28"/>
      <c r="Y311" s="27"/>
    </row>
    <row r="312" spans="1:25">
      <c r="A312" s="33"/>
      <c r="B312" s="25"/>
      <c r="C312" s="45"/>
      <c r="D312" s="25"/>
      <c r="E312" s="25"/>
      <c r="F312" s="25"/>
      <c r="G312" s="25"/>
      <c r="H312" s="25"/>
      <c r="I312" s="25"/>
      <c r="J312" s="25"/>
      <c r="K312" s="25"/>
      <c r="L312" s="25"/>
      <c r="M312" s="25"/>
      <c r="N312" s="25"/>
      <c r="O312" s="25"/>
      <c r="P312" s="25"/>
      <c r="Q312" s="25"/>
      <c r="R312" s="25"/>
      <c r="S312" s="26">
        <f t="shared" si="11"/>
        <v>0</v>
      </c>
      <c r="T312" s="26">
        <f>COUNTIF($V$4:V312,V312)</f>
        <v>301</v>
      </c>
      <c r="U312" s="26" t="str">
        <f>IF(T312=1,COUNTIF($T$4:T312,1),"")</f>
        <v/>
      </c>
      <c r="V312" s="27" t="str">
        <f>'施設状況(要更新)'!$E312&amp;'施設状況(要更新)'!$C312</f>
        <v/>
      </c>
      <c r="W312" s="27">
        <f>'施設状況(要更新)'!$F312</f>
        <v>0</v>
      </c>
      <c r="X312" s="28"/>
      <c r="Y312" s="27"/>
    </row>
    <row r="313" spans="1:25">
      <c r="A313" s="33"/>
      <c r="B313" s="25"/>
      <c r="C313" s="45"/>
      <c r="D313" s="25"/>
      <c r="E313" s="25"/>
      <c r="F313" s="25"/>
      <c r="G313" s="25"/>
      <c r="H313" s="25"/>
      <c r="I313" s="25"/>
      <c r="J313" s="25"/>
      <c r="K313" s="25"/>
      <c r="L313" s="25"/>
      <c r="M313" s="25"/>
      <c r="N313" s="25"/>
      <c r="O313" s="25"/>
      <c r="P313" s="25"/>
      <c r="Q313" s="25"/>
      <c r="R313" s="25"/>
      <c r="S313" s="26">
        <f t="shared" si="11"/>
        <v>0</v>
      </c>
      <c r="T313" s="26">
        <f>COUNTIF($V$4:V313,V313)</f>
        <v>302</v>
      </c>
      <c r="U313" s="26" t="str">
        <f>IF(T313=1,COUNTIF($T$4:T313,1),"")</f>
        <v/>
      </c>
      <c r="V313" s="27" t="str">
        <f>'施設状況(要更新)'!$E313&amp;'施設状況(要更新)'!$C313</f>
        <v/>
      </c>
      <c r="W313" s="27">
        <f>'施設状況(要更新)'!$F313</f>
        <v>0</v>
      </c>
      <c r="X313" s="28"/>
      <c r="Y313" s="27"/>
    </row>
    <row r="314" spans="1:25">
      <c r="A314" s="33"/>
      <c r="B314" s="25"/>
      <c r="C314" s="45"/>
      <c r="D314" s="25"/>
      <c r="E314" s="25"/>
      <c r="F314" s="25"/>
      <c r="G314" s="25"/>
      <c r="H314" s="25"/>
      <c r="I314" s="25"/>
      <c r="J314" s="25"/>
      <c r="K314" s="25"/>
      <c r="L314" s="25"/>
      <c r="M314" s="25"/>
      <c r="N314" s="25"/>
      <c r="O314" s="25"/>
      <c r="P314" s="25"/>
      <c r="Q314" s="25"/>
      <c r="R314" s="25"/>
      <c r="S314" s="26">
        <f t="shared" si="11"/>
        <v>0</v>
      </c>
      <c r="T314" s="26">
        <f>COUNTIF($V$4:V314,V314)</f>
        <v>303</v>
      </c>
      <c r="U314" s="26" t="str">
        <f>IF(T314=1,COUNTIF($T$4:T314,1),"")</f>
        <v/>
      </c>
      <c r="V314" s="27" t="str">
        <f>'施設状況(要更新)'!$E314&amp;'施設状況(要更新)'!$C314</f>
        <v/>
      </c>
      <c r="W314" s="27">
        <f>'施設状況(要更新)'!$F314</f>
        <v>0</v>
      </c>
      <c r="X314" s="28"/>
      <c r="Y314" s="27"/>
    </row>
    <row r="315" spans="1:25">
      <c r="A315" s="33"/>
      <c r="B315" s="25"/>
      <c r="C315" s="45"/>
      <c r="D315" s="25"/>
      <c r="E315" s="25"/>
      <c r="F315" s="25"/>
      <c r="G315" s="25"/>
      <c r="H315" s="25"/>
      <c r="I315" s="25"/>
      <c r="J315" s="25"/>
      <c r="K315" s="25"/>
      <c r="L315" s="25"/>
      <c r="M315" s="25"/>
      <c r="N315" s="25"/>
      <c r="O315" s="25"/>
      <c r="P315" s="25"/>
      <c r="Q315" s="25"/>
      <c r="R315" s="25"/>
      <c r="S315" s="26">
        <f t="shared" si="11"/>
        <v>0</v>
      </c>
      <c r="T315" s="26">
        <f>COUNTIF($V$4:V315,V315)</f>
        <v>304</v>
      </c>
      <c r="U315" s="26" t="str">
        <f>IF(T315=1,COUNTIF($T$4:T315,1),"")</f>
        <v/>
      </c>
      <c r="V315" s="27" t="str">
        <f>'施設状況(要更新)'!$E315&amp;'施設状況(要更新)'!$C315</f>
        <v/>
      </c>
      <c r="W315" s="27">
        <f>'施設状況(要更新)'!$F315</f>
        <v>0</v>
      </c>
      <c r="X315" s="28"/>
      <c r="Y315" s="27"/>
    </row>
    <row r="316" spans="1:25">
      <c r="A316" s="33"/>
      <c r="B316" s="25"/>
      <c r="C316" s="45"/>
      <c r="D316" s="25"/>
      <c r="E316" s="25"/>
      <c r="F316" s="25"/>
      <c r="G316" s="25"/>
      <c r="H316" s="25"/>
      <c r="I316" s="25"/>
      <c r="J316" s="25"/>
      <c r="K316" s="25"/>
      <c r="L316" s="25"/>
      <c r="M316" s="25"/>
      <c r="N316" s="25"/>
      <c r="O316" s="25"/>
      <c r="P316" s="25"/>
      <c r="Q316" s="25"/>
      <c r="R316" s="25"/>
      <c r="S316" s="26">
        <f t="shared" si="11"/>
        <v>0</v>
      </c>
      <c r="T316" s="26">
        <f>COUNTIF($V$4:V316,V316)</f>
        <v>305</v>
      </c>
      <c r="U316" s="26" t="str">
        <f>IF(T316=1,COUNTIF($T$4:T316,1),"")</f>
        <v/>
      </c>
      <c r="V316" s="27" t="str">
        <f>'施設状況(要更新)'!$E316&amp;'施設状況(要更新)'!$C316</f>
        <v/>
      </c>
      <c r="W316" s="27">
        <f>'施設状況(要更新)'!$F316</f>
        <v>0</v>
      </c>
      <c r="X316" s="28"/>
      <c r="Y316" s="27"/>
    </row>
    <row r="317" spans="1:25">
      <c r="A317" s="33"/>
      <c r="B317" s="25"/>
      <c r="C317" s="45"/>
      <c r="D317" s="25"/>
      <c r="E317" s="25"/>
      <c r="F317" s="25"/>
      <c r="G317" s="25"/>
      <c r="H317" s="25"/>
      <c r="I317" s="25"/>
      <c r="J317" s="25"/>
      <c r="K317" s="25"/>
      <c r="L317" s="25"/>
      <c r="M317" s="25"/>
      <c r="N317" s="25"/>
      <c r="O317" s="25"/>
      <c r="P317" s="25"/>
      <c r="Q317" s="25"/>
      <c r="R317" s="25"/>
      <c r="S317" s="26">
        <f t="shared" si="11"/>
        <v>0</v>
      </c>
      <c r="T317" s="26">
        <f>COUNTIF($V$4:V317,V317)</f>
        <v>306</v>
      </c>
      <c r="U317" s="26" t="str">
        <f>IF(T317=1,COUNTIF($T$4:T317,1),"")</f>
        <v/>
      </c>
      <c r="V317" s="27" t="str">
        <f>'施設状況(要更新)'!$E317&amp;'施設状況(要更新)'!$C317</f>
        <v/>
      </c>
      <c r="W317" s="27">
        <f>'施設状況(要更新)'!$F317</f>
        <v>0</v>
      </c>
      <c r="X317" s="28"/>
      <c r="Y317" s="27"/>
    </row>
    <row r="318" spans="1:25">
      <c r="A318" s="33"/>
      <c r="B318" s="25"/>
      <c r="C318" s="45"/>
      <c r="D318" s="25"/>
      <c r="E318" s="25"/>
      <c r="F318" s="25"/>
      <c r="G318" s="25"/>
      <c r="H318" s="25"/>
      <c r="I318" s="25"/>
      <c r="J318" s="25"/>
      <c r="K318" s="25"/>
      <c r="L318" s="25"/>
      <c r="M318" s="25"/>
      <c r="N318" s="25"/>
      <c r="O318" s="25"/>
      <c r="P318" s="25"/>
      <c r="Q318" s="25"/>
      <c r="R318" s="25"/>
      <c r="S318" s="26">
        <f t="shared" si="11"/>
        <v>0</v>
      </c>
      <c r="T318" s="26">
        <f>COUNTIF($V$4:V318,V318)</f>
        <v>307</v>
      </c>
      <c r="U318" s="26" t="str">
        <f>IF(T318=1,COUNTIF($T$4:T318,1),"")</f>
        <v/>
      </c>
      <c r="V318" s="27" t="str">
        <f>'施設状況(要更新)'!$E318&amp;'施設状況(要更新)'!$C318</f>
        <v/>
      </c>
      <c r="W318" s="27">
        <f>'施設状況(要更新)'!$F318</f>
        <v>0</v>
      </c>
      <c r="X318" s="28"/>
      <c r="Y318" s="27"/>
    </row>
    <row r="319" spans="1:25">
      <c r="A319" s="33"/>
      <c r="B319" s="25"/>
      <c r="C319" s="45"/>
      <c r="D319" s="25"/>
      <c r="E319" s="25"/>
      <c r="F319" s="25"/>
      <c r="G319" s="25"/>
      <c r="H319" s="25"/>
      <c r="I319" s="25"/>
      <c r="J319" s="25"/>
      <c r="K319" s="25"/>
      <c r="L319" s="25"/>
      <c r="M319" s="25"/>
      <c r="N319" s="25"/>
      <c r="O319" s="25"/>
      <c r="P319" s="25"/>
      <c r="Q319" s="25"/>
      <c r="R319" s="25"/>
      <c r="S319" s="26">
        <f t="shared" si="11"/>
        <v>0</v>
      </c>
      <c r="T319" s="26">
        <f>COUNTIF($V$4:V319,V319)</f>
        <v>308</v>
      </c>
      <c r="U319" s="26" t="str">
        <f>IF(T319=1,COUNTIF($T$4:T319,1),"")</f>
        <v/>
      </c>
      <c r="V319" s="27" t="str">
        <f>'施設状況(要更新)'!$E319&amp;'施設状況(要更新)'!$C319</f>
        <v/>
      </c>
      <c r="W319" s="27">
        <f>'施設状況(要更新)'!$F319</f>
        <v>0</v>
      </c>
      <c r="X319" s="28"/>
      <c r="Y319" s="27"/>
    </row>
    <row r="320" spans="1:25">
      <c r="A320" s="33"/>
      <c r="B320" s="25"/>
      <c r="C320" s="45"/>
      <c r="D320" s="25"/>
      <c r="E320" s="25"/>
      <c r="F320" s="25"/>
      <c r="G320" s="25"/>
      <c r="H320" s="25"/>
      <c r="I320" s="25"/>
      <c r="J320" s="25"/>
      <c r="K320" s="25"/>
      <c r="L320" s="25"/>
      <c r="M320" s="25"/>
      <c r="N320" s="25"/>
      <c r="O320" s="25"/>
      <c r="P320" s="25"/>
      <c r="Q320" s="25"/>
      <c r="R320" s="25"/>
      <c r="S320" s="26">
        <f t="shared" si="11"/>
        <v>0</v>
      </c>
      <c r="T320" s="26">
        <f>COUNTIF($V$4:V320,V320)</f>
        <v>309</v>
      </c>
      <c r="U320" s="26" t="str">
        <f>IF(T320=1,COUNTIF($T$4:T320,1),"")</f>
        <v/>
      </c>
      <c r="V320" s="27" t="str">
        <f>'施設状況(要更新)'!$E320&amp;'施設状況(要更新)'!$C320</f>
        <v/>
      </c>
      <c r="W320" s="27">
        <f>'施設状況(要更新)'!$F320</f>
        <v>0</v>
      </c>
      <c r="X320" s="28"/>
      <c r="Y320" s="27"/>
    </row>
    <row r="321" spans="1:33">
      <c r="A321" s="33"/>
      <c r="B321" s="25"/>
      <c r="C321" s="45"/>
      <c r="D321" s="25"/>
      <c r="E321" s="25"/>
      <c r="F321" s="25"/>
      <c r="G321" s="25"/>
      <c r="H321" s="25"/>
      <c r="I321" s="25"/>
      <c r="J321" s="25"/>
      <c r="K321" s="25"/>
      <c r="L321" s="25"/>
      <c r="M321" s="25"/>
      <c r="N321" s="25"/>
      <c r="O321" s="25"/>
      <c r="P321" s="25"/>
      <c r="Q321" s="25"/>
      <c r="R321" s="25"/>
      <c r="S321" s="26">
        <f t="shared" si="11"/>
        <v>0</v>
      </c>
      <c r="T321" s="26">
        <f>COUNTIF($V$4:V321,V321)</f>
        <v>310</v>
      </c>
      <c r="U321" s="26" t="str">
        <f>IF(T321=1,COUNTIF($T$4:T321,1),"")</f>
        <v/>
      </c>
      <c r="V321" s="27" t="str">
        <f>'施設状況(要更新)'!$E321&amp;'施設状況(要更新)'!$C321</f>
        <v/>
      </c>
      <c r="W321" s="27">
        <f>'施設状況(要更新)'!$F321</f>
        <v>0</v>
      </c>
      <c r="X321" s="28"/>
      <c r="Y321" s="27"/>
    </row>
    <row r="322" spans="1:33">
      <c r="A322" s="33"/>
      <c r="B322" s="25"/>
      <c r="C322" s="45"/>
      <c r="D322" s="25"/>
      <c r="E322" s="25"/>
      <c r="F322" s="25"/>
      <c r="G322" s="25"/>
      <c r="H322" s="25"/>
      <c r="I322" s="25"/>
      <c r="J322" s="25"/>
      <c r="K322" s="25"/>
      <c r="L322" s="25"/>
      <c r="M322" s="25"/>
      <c r="N322" s="25"/>
      <c r="O322" s="25"/>
      <c r="P322" s="25"/>
      <c r="Q322" s="25"/>
      <c r="R322" s="25"/>
      <c r="S322" s="26">
        <f t="shared" si="11"/>
        <v>0</v>
      </c>
      <c r="T322" s="26">
        <f>COUNTIF($V$4:V322,V322)</f>
        <v>311</v>
      </c>
      <c r="U322" s="26" t="str">
        <f>IF(T322=1,COUNTIF($T$4:T322,1),"")</f>
        <v/>
      </c>
      <c r="V322" s="27" t="str">
        <f>'施設状況(要更新)'!$E322&amp;'施設状況(要更新)'!$C322</f>
        <v/>
      </c>
      <c r="W322" s="27">
        <f>'施設状況(要更新)'!$F322</f>
        <v>0</v>
      </c>
      <c r="X322" s="28"/>
      <c r="Y322" s="27"/>
      <c r="Z322" s="27"/>
      <c r="AA322" s="27"/>
      <c r="AB322" s="27"/>
      <c r="AC322" s="27"/>
      <c r="AD322" s="27"/>
      <c r="AE322" s="27"/>
      <c r="AF322" s="27"/>
      <c r="AG322" s="27"/>
    </row>
    <row r="323" spans="1:33">
      <c r="A323" s="33"/>
      <c r="B323" s="25"/>
      <c r="C323" s="45"/>
      <c r="D323" s="25"/>
      <c r="E323" s="25"/>
      <c r="F323" s="25"/>
      <c r="G323" s="25"/>
      <c r="H323" s="25"/>
      <c r="I323" s="25"/>
      <c r="J323" s="25"/>
      <c r="K323" s="25"/>
      <c r="L323" s="25"/>
      <c r="M323" s="25"/>
      <c r="N323" s="25"/>
      <c r="O323" s="25"/>
      <c r="P323" s="25"/>
      <c r="Q323" s="25"/>
      <c r="R323" s="25"/>
      <c r="S323" s="26">
        <f t="shared" si="11"/>
        <v>0</v>
      </c>
      <c r="T323" s="26">
        <f>COUNTIF($V$4:V323,V323)</f>
        <v>312</v>
      </c>
      <c r="U323" s="26" t="str">
        <f>IF(T323=1,COUNTIF($T$4:T323,1),"")</f>
        <v/>
      </c>
      <c r="V323" s="27" t="str">
        <f>'施設状況(要更新)'!$E323&amp;'施設状況(要更新)'!$C323</f>
        <v/>
      </c>
      <c r="W323" s="27">
        <f>'施設状況(要更新)'!$F323</f>
        <v>0</v>
      </c>
      <c r="X323" s="28"/>
      <c r="Y323" s="27"/>
    </row>
    <row r="324" spans="1:33">
      <c r="A324" s="33"/>
      <c r="B324" s="25"/>
      <c r="C324" s="45"/>
      <c r="D324" s="25"/>
      <c r="E324" s="25"/>
      <c r="F324" s="25"/>
      <c r="G324" s="25"/>
      <c r="H324" s="25"/>
      <c r="I324" s="25"/>
      <c r="J324" s="25"/>
      <c r="K324" s="25"/>
      <c r="L324" s="25"/>
      <c r="M324" s="25"/>
      <c r="N324" s="25"/>
      <c r="O324" s="25"/>
      <c r="P324" s="25"/>
      <c r="Q324" s="25"/>
      <c r="R324" s="25"/>
      <c r="S324" s="26">
        <f t="shared" si="11"/>
        <v>0</v>
      </c>
      <c r="T324" s="26">
        <f>COUNTIF($V$4:V324,V324)</f>
        <v>313</v>
      </c>
      <c r="U324" s="26" t="str">
        <f>IF(T324=1,COUNTIF($T$4:T324,1),"")</f>
        <v/>
      </c>
      <c r="V324" s="27" t="str">
        <f>'施設状況(要更新)'!$E324&amp;'施設状況(要更新)'!$C324</f>
        <v/>
      </c>
      <c r="W324" s="27">
        <f>'施設状況(要更新)'!$F324</f>
        <v>0</v>
      </c>
      <c r="X324" s="28"/>
      <c r="Y324" s="27"/>
    </row>
    <row r="325" spans="1:33">
      <c r="A325" s="33"/>
      <c r="B325" s="25"/>
      <c r="C325" s="45"/>
      <c r="D325" s="25"/>
      <c r="E325" s="25"/>
      <c r="F325" s="25"/>
      <c r="G325" s="25"/>
      <c r="H325" s="25"/>
      <c r="I325" s="25"/>
      <c r="J325" s="25"/>
      <c r="K325" s="25"/>
      <c r="L325" s="25"/>
      <c r="M325" s="25"/>
      <c r="N325" s="25"/>
      <c r="O325" s="25"/>
      <c r="P325" s="25"/>
      <c r="Q325" s="25"/>
      <c r="R325" s="25"/>
      <c r="S325" s="26">
        <f t="shared" ref="S325:S388" si="12">A325</f>
        <v>0</v>
      </c>
      <c r="T325" s="26">
        <f>COUNTIF($V$4:V325,V325)</f>
        <v>314</v>
      </c>
      <c r="U325" s="26" t="str">
        <f>IF(T325=1,COUNTIF($T$4:T325,1),"")</f>
        <v/>
      </c>
      <c r="V325" s="27" t="str">
        <f>'施設状況(要更新)'!$E325&amp;'施設状況(要更新)'!$C325</f>
        <v/>
      </c>
      <c r="W325" s="27">
        <f>'施設状況(要更新)'!$F325</f>
        <v>0</v>
      </c>
      <c r="X325" s="28"/>
      <c r="Y325" s="27"/>
    </row>
    <row r="326" spans="1:33">
      <c r="A326" s="33"/>
      <c r="B326" s="25"/>
      <c r="C326" s="45"/>
      <c r="D326" s="25"/>
      <c r="E326" s="25"/>
      <c r="F326" s="25"/>
      <c r="G326" s="25"/>
      <c r="H326" s="25"/>
      <c r="I326" s="25"/>
      <c r="J326" s="25"/>
      <c r="K326" s="25"/>
      <c r="L326" s="25"/>
      <c r="M326" s="25"/>
      <c r="N326" s="25"/>
      <c r="O326" s="25"/>
      <c r="P326" s="25"/>
      <c r="Q326" s="25"/>
      <c r="R326" s="25"/>
      <c r="S326" s="26">
        <f t="shared" si="12"/>
        <v>0</v>
      </c>
      <c r="T326" s="26">
        <f>COUNTIF($V$4:V326,V326)</f>
        <v>315</v>
      </c>
      <c r="U326" s="26" t="str">
        <f>IF(T326=1,COUNTIF($T$4:T326,1),"")</f>
        <v/>
      </c>
      <c r="V326" s="27" t="str">
        <f>'施設状況(要更新)'!$E326&amp;'施設状況(要更新)'!$C326</f>
        <v/>
      </c>
      <c r="W326" s="27">
        <f>'施設状況(要更新)'!$F326</f>
        <v>0</v>
      </c>
      <c r="X326" s="28"/>
      <c r="Y326" s="27"/>
    </row>
    <row r="327" spans="1:33">
      <c r="A327" s="33"/>
      <c r="B327" s="25"/>
      <c r="C327" s="45"/>
      <c r="D327" s="25"/>
      <c r="E327" s="25"/>
      <c r="F327" s="25"/>
      <c r="G327" s="25"/>
      <c r="H327" s="25"/>
      <c r="I327" s="25"/>
      <c r="J327" s="25"/>
      <c r="K327" s="25"/>
      <c r="L327" s="25"/>
      <c r="M327" s="25"/>
      <c r="N327" s="25"/>
      <c r="O327" s="25"/>
      <c r="P327" s="25"/>
      <c r="Q327" s="25"/>
      <c r="R327" s="25"/>
      <c r="S327" s="26">
        <f t="shared" si="12"/>
        <v>0</v>
      </c>
      <c r="T327" s="26">
        <f>COUNTIF($V$4:V327,V327)</f>
        <v>316</v>
      </c>
      <c r="U327" s="26" t="str">
        <f>IF(T327=1,COUNTIF($T$4:T327,1),"")</f>
        <v/>
      </c>
      <c r="V327" s="27" t="str">
        <f>'施設状況(要更新)'!$E327&amp;'施設状況(要更新)'!$C327</f>
        <v/>
      </c>
      <c r="W327" s="27">
        <f>'施設状況(要更新)'!$F327</f>
        <v>0</v>
      </c>
      <c r="X327" s="28"/>
      <c r="Y327" s="27"/>
    </row>
    <row r="328" spans="1:33">
      <c r="A328" s="33"/>
      <c r="B328" s="25"/>
      <c r="C328" s="45"/>
      <c r="D328" s="25"/>
      <c r="E328" s="25"/>
      <c r="F328" s="25"/>
      <c r="G328" s="25"/>
      <c r="H328" s="25"/>
      <c r="I328" s="25"/>
      <c r="J328" s="25"/>
      <c r="K328" s="25"/>
      <c r="L328" s="25"/>
      <c r="M328" s="25"/>
      <c r="N328" s="25"/>
      <c r="O328" s="25"/>
      <c r="P328" s="25"/>
      <c r="Q328" s="25"/>
      <c r="R328" s="25"/>
      <c r="S328" s="26">
        <f t="shared" si="12"/>
        <v>0</v>
      </c>
      <c r="T328" s="26">
        <f>COUNTIF($V$4:V328,V328)</f>
        <v>317</v>
      </c>
      <c r="U328" s="26" t="str">
        <f>IF(T328=1,COUNTIF($T$4:T328,1),"")</f>
        <v/>
      </c>
      <c r="V328" s="27" t="str">
        <f>'施設状況(要更新)'!$E328&amp;'施設状況(要更新)'!$C328</f>
        <v/>
      </c>
      <c r="W328" s="27">
        <f>'施設状況(要更新)'!$F328</f>
        <v>0</v>
      </c>
      <c r="X328" s="28"/>
      <c r="Y328" s="27"/>
    </row>
    <row r="329" spans="1:33">
      <c r="A329" s="33"/>
      <c r="B329" s="25"/>
      <c r="C329" s="45"/>
      <c r="D329" s="25"/>
      <c r="E329" s="25"/>
      <c r="F329" s="25"/>
      <c r="G329" s="25"/>
      <c r="H329" s="25"/>
      <c r="I329" s="25"/>
      <c r="J329" s="25"/>
      <c r="K329" s="25"/>
      <c r="L329" s="25"/>
      <c r="M329" s="25"/>
      <c r="N329" s="25"/>
      <c r="O329" s="25"/>
      <c r="P329" s="25"/>
      <c r="Q329" s="25"/>
      <c r="R329" s="25"/>
      <c r="S329" s="26">
        <f t="shared" si="12"/>
        <v>0</v>
      </c>
      <c r="T329" s="26">
        <f>COUNTIF($V$4:V329,V329)</f>
        <v>318</v>
      </c>
      <c r="U329" s="26" t="str">
        <f>IF(T329=1,COUNTIF($T$4:T329,1),"")</f>
        <v/>
      </c>
      <c r="V329" s="27" t="str">
        <f>'施設状況(要更新)'!$E329&amp;'施設状況(要更新)'!$C329</f>
        <v/>
      </c>
      <c r="W329" s="27">
        <f>'施設状況(要更新)'!$F329</f>
        <v>0</v>
      </c>
      <c r="X329" s="28"/>
      <c r="Y329" s="27"/>
    </row>
    <row r="330" spans="1:33">
      <c r="A330" s="33"/>
      <c r="B330" s="25"/>
      <c r="C330" s="45"/>
      <c r="D330" s="25"/>
      <c r="E330" s="25"/>
      <c r="F330" s="25"/>
      <c r="G330" s="25"/>
      <c r="H330" s="25"/>
      <c r="I330" s="25"/>
      <c r="J330" s="25"/>
      <c r="K330" s="25"/>
      <c r="L330" s="25"/>
      <c r="M330" s="25"/>
      <c r="N330" s="25"/>
      <c r="O330" s="25"/>
      <c r="P330" s="25"/>
      <c r="Q330" s="25"/>
      <c r="R330" s="25"/>
      <c r="S330" s="26">
        <f t="shared" si="12"/>
        <v>0</v>
      </c>
      <c r="T330" s="26">
        <f>COUNTIF($V$4:V330,V330)</f>
        <v>319</v>
      </c>
      <c r="U330" s="26" t="str">
        <f>IF(T330=1,COUNTIF($T$4:T330,1),"")</f>
        <v/>
      </c>
      <c r="V330" s="27" t="str">
        <f>'施設状況(要更新)'!$E330&amp;'施設状況(要更新)'!$C330</f>
        <v/>
      </c>
      <c r="W330" s="27">
        <f>'施設状況(要更新)'!$F330</f>
        <v>0</v>
      </c>
      <c r="X330" s="28"/>
      <c r="Y330" s="27"/>
    </row>
    <row r="331" spans="1:33">
      <c r="A331" s="33"/>
      <c r="B331" s="25"/>
      <c r="C331" s="45"/>
      <c r="D331" s="25"/>
      <c r="E331" s="25"/>
      <c r="F331" s="25"/>
      <c r="G331" s="25"/>
      <c r="H331" s="25"/>
      <c r="I331" s="25"/>
      <c r="J331" s="25"/>
      <c r="K331" s="25"/>
      <c r="L331" s="25"/>
      <c r="M331" s="25"/>
      <c r="N331" s="25"/>
      <c r="O331" s="25"/>
      <c r="P331" s="25"/>
      <c r="Q331" s="25"/>
      <c r="R331" s="25"/>
      <c r="S331" s="26">
        <f t="shared" si="12"/>
        <v>0</v>
      </c>
      <c r="T331" s="26">
        <f>COUNTIF($V$4:V331,V331)</f>
        <v>320</v>
      </c>
      <c r="U331" s="26" t="str">
        <f>IF(T331=1,COUNTIF($T$4:T331,1),"")</f>
        <v/>
      </c>
      <c r="V331" s="27" t="str">
        <f>'施設状況(要更新)'!$E331&amp;'施設状況(要更新)'!$C331</f>
        <v/>
      </c>
      <c r="W331" s="27">
        <f>'施設状況(要更新)'!$F331</f>
        <v>0</v>
      </c>
      <c r="X331" s="28"/>
      <c r="Y331" s="27"/>
    </row>
    <row r="332" spans="1:33">
      <c r="A332" s="33"/>
      <c r="B332" s="25"/>
      <c r="C332" s="45"/>
      <c r="D332" s="25"/>
      <c r="E332" s="25"/>
      <c r="F332" s="25"/>
      <c r="G332" s="25"/>
      <c r="H332" s="25"/>
      <c r="I332" s="25"/>
      <c r="J332" s="25"/>
      <c r="K332" s="25"/>
      <c r="L332" s="25"/>
      <c r="M332" s="25"/>
      <c r="N332" s="25"/>
      <c r="O332" s="25"/>
      <c r="P332" s="25"/>
      <c r="Q332" s="25"/>
      <c r="R332" s="25"/>
      <c r="S332" s="26">
        <f t="shared" si="12"/>
        <v>0</v>
      </c>
      <c r="T332" s="26">
        <f>COUNTIF($V$4:V332,V332)</f>
        <v>321</v>
      </c>
      <c r="U332" s="26" t="str">
        <f>IF(T332=1,COUNTIF($T$4:T332,1),"")</f>
        <v/>
      </c>
      <c r="V332" s="27" t="str">
        <f>'施設状況(要更新)'!$E332&amp;'施設状況(要更新)'!$C332</f>
        <v/>
      </c>
      <c r="W332" s="27">
        <f>'施設状況(要更新)'!$F332</f>
        <v>0</v>
      </c>
      <c r="X332" s="28"/>
      <c r="Y332" s="27"/>
    </row>
    <row r="333" spans="1:33">
      <c r="A333" s="33"/>
      <c r="B333" s="25"/>
      <c r="C333" s="45"/>
      <c r="D333" s="25"/>
      <c r="E333" s="25"/>
      <c r="F333" s="25"/>
      <c r="G333" s="25"/>
      <c r="H333" s="25"/>
      <c r="I333" s="25"/>
      <c r="J333" s="25"/>
      <c r="K333" s="25"/>
      <c r="L333" s="25"/>
      <c r="M333" s="25"/>
      <c r="N333" s="25"/>
      <c r="O333" s="25"/>
      <c r="P333" s="25"/>
      <c r="Q333" s="25"/>
      <c r="R333" s="25"/>
      <c r="S333" s="26">
        <f t="shared" si="12"/>
        <v>0</v>
      </c>
      <c r="T333" s="26">
        <f>COUNTIF($V$4:V333,V333)</f>
        <v>322</v>
      </c>
      <c r="U333" s="26" t="str">
        <f>IF(T333=1,COUNTIF($T$4:T333,1),"")</f>
        <v/>
      </c>
      <c r="V333" s="27" t="str">
        <f>'施設状況(要更新)'!$E333&amp;'施設状況(要更新)'!$C333</f>
        <v/>
      </c>
      <c r="W333" s="27">
        <f>'施設状況(要更新)'!$F333</f>
        <v>0</v>
      </c>
      <c r="X333" s="28"/>
      <c r="Y333" s="27"/>
    </row>
    <row r="334" spans="1:33">
      <c r="A334" s="33"/>
      <c r="B334" s="25"/>
      <c r="C334" s="45"/>
      <c r="D334" s="25"/>
      <c r="E334" s="25"/>
      <c r="F334" s="25"/>
      <c r="G334" s="25"/>
      <c r="H334" s="25"/>
      <c r="I334" s="25"/>
      <c r="J334" s="25"/>
      <c r="K334" s="25"/>
      <c r="L334" s="25"/>
      <c r="M334" s="25"/>
      <c r="N334" s="25"/>
      <c r="O334" s="25"/>
      <c r="P334" s="25"/>
      <c r="Q334" s="25"/>
      <c r="R334" s="25"/>
      <c r="S334" s="26">
        <f t="shared" si="12"/>
        <v>0</v>
      </c>
      <c r="T334" s="26">
        <f>COUNTIF($V$4:V334,V334)</f>
        <v>323</v>
      </c>
      <c r="U334" s="26" t="str">
        <f>IF(T334=1,COUNTIF($T$4:T334,1),"")</f>
        <v/>
      </c>
      <c r="V334" s="27" t="str">
        <f>'施設状況(要更新)'!$E334&amp;'施設状況(要更新)'!$C334</f>
        <v/>
      </c>
      <c r="W334" s="27">
        <f>'施設状況(要更新)'!$F334</f>
        <v>0</v>
      </c>
      <c r="X334" s="28"/>
      <c r="Y334" s="27"/>
    </row>
    <row r="335" spans="1:33">
      <c r="A335" s="33"/>
      <c r="B335" s="25"/>
      <c r="C335" s="25"/>
      <c r="D335" s="25"/>
      <c r="E335" s="25"/>
      <c r="F335" s="25"/>
      <c r="G335" s="25"/>
      <c r="H335" s="25"/>
      <c r="I335" s="25"/>
      <c r="J335" s="25"/>
      <c r="K335" s="25"/>
      <c r="L335" s="25"/>
      <c r="M335" s="25"/>
      <c r="N335" s="25"/>
      <c r="O335" s="25"/>
      <c r="P335" s="25"/>
      <c r="Q335" s="25"/>
      <c r="R335" s="25"/>
      <c r="S335" s="26">
        <f t="shared" si="12"/>
        <v>0</v>
      </c>
      <c r="T335" s="26">
        <f>COUNTIF($V$4:V335,V335)</f>
        <v>324</v>
      </c>
      <c r="U335" s="26" t="str">
        <f>IF(T335=1,COUNTIF($T$4:T335,1),"")</f>
        <v/>
      </c>
      <c r="V335" s="27" t="str">
        <f>'施設状況(要更新)'!$E335&amp;'施設状況(要更新)'!$C335</f>
        <v/>
      </c>
      <c r="W335" s="27">
        <f>'施設状況(要更新)'!$F335</f>
        <v>0</v>
      </c>
      <c r="X335" s="28"/>
      <c r="Y335" s="27"/>
    </row>
    <row r="336" spans="1:33">
      <c r="A336" s="33"/>
      <c r="B336" s="25"/>
      <c r="C336" s="25"/>
      <c r="D336" s="25"/>
      <c r="E336" s="25"/>
      <c r="F336" s="25"/>
      <c r="G336" s="25"/>
      <c r="H336" s="25"/>
      <c r="I336" s="25"/>
      <c r="J336" s="25"/>
      <c r="K336" s="25"/>
      <c r="L336" s="25"/>
      <c r="M336" s="25"/>
      <c r="N336" s="25"/>
      <c r="O336" s="25"/>
      <c r="P336" s="25"/>
      <c r="Q336" s="25"/>
      <c r="R336" s="25"/>
      <c r="S336" s="26">
        <f t="shared" si="12"/>
        <v>0</v>
      </c>
      <c r="T336" s="26">
        <f>COUNTIF($V$4:V336,V336)</f>
        <v>325</v>
      </c>
      <c r="U336" s="26" t="str">
        <f>IF(T336=1,COUNTIF($T$4:T336,1),"")</f>
        <v/>
      </c>
      <c r="V336" s="27" t="str">
        <f>'施設状況(要更新)'!$E336&amp;'施設状況(要更新)'!$C336</f>
        <v/>
      </c>
      <c r="W336" s="27">
        <f>'施設状況(要更新)'!$F336</f>
        <v>0</v>
      </c>
      <c r="X336" s="28"/>
      <c r="Y336" s="27"/>
    </row>
    <row r="337" spans="1:33">
      <c r="A337" s="33"/>
      <c r="B337" s="25"/>
      <c r="C337" s="25"/>
      <c r="D337" s="25"/>
      <c r="E337" s="25"/>
      <c r="F337" s="25"/>
      <c r="G337" s="25"/>
      <c r="H337" s="25"/>
      <c r="I337" s="25"/>
      <c r="J337" s="25"/>
      <c r="K337" s="25"/>
      <c r="L337" s="25"/>
      <c r="M337" s="25"/>
      <c r="N337" s="25"/>
      <c r="O337" s="25"/>
      <c r="P337" s="25"/>
      <c r="Q337" s="25"/>
      <c r="R337" s="25"/>
      <c r="S337" s="26">
        <f t="shared" si="12"/>
        <v>0</v>
      </c>
      <c r="T337" s="26">
        <f>COUNTIF($V$4:V337,V337)</f>
        <v>326</v>
      </c>
      <c r="U337" s="26" t="str">
        <f>IF(T337=1,COUNTIF($T$4:T337,1),"")</f>
        <v/>
      </c>
      <c r="V337" s="27" t="str">
        <f>'施設状況(要更新)'!$E337&amp;'施設状況(要更新)'!$C337</f>
        <v/>
      </c>
      <c r="W337" s="27">
        <f>'施設状況(要更新)'!$F337</f>
        <v>0</v>
      </c>
      <c r="X337" s="28"/>
      <c r="Y337" s="27"/>
    </row>
    <row r="338" spans="1:33">
      <c r="A338" s="33"/>
      <c r="B338" s="25"/>
      <c r="C338" s="25"/>
      <c r="D338" s="25"/>
      <c r="E338" s="25"/>
      <c r="F338" s="25"/>
      <c r="G338" s="25"/>
      <c r="H338" s="25"/>
      <c r="I338" s="25"/>
      <c r="J338" s="25"/>
      <c r="K338" s="25"/>
      <c r="L338" s="25"/>
      <c r="M338" s="25"/>
      <c r="N338" s="25"/>
      <c r="O338" s="25"/>
      <c r="P338" s="25"/>
      <c r="Q338" s="25"/>
      <c r="R338" s="25"/>
      <c r="S338" s="26">
        <f t="shared" si="12"/>
        <v>0</v>
      </c>
      <c r="T338" s="26">
        <f>COUNTIF($V$4:V338,V338)</f>
        <v>327</v>
      </c>
      <c r="U338" s="26" t="str">
        <f>IF(T338=1,COUNTIF($T$4:T338,1),"")</f>
        <v/>
      </c>
      <c r="V338" s="27" t="str">
        <f>'施設状況(要更新)'!$E338&amp;'施設状況(要更新)'!$C338</f>
        <v/>
      </c>
      <c r="W338" s="27">
        <f>'施設状況(要更新)'!$F338</f>
        <v>0</v>
      </c>
      <c r="X338" s="28"/>
      <c r="Y338" s="27"/>
    </row>
    <row r="339" spans="1:33">
      <c r="A339" s="33"/>
      <c r="B339" s="25"/>
      <c r="C339" s="25"/>
      <c r="D339" s="25"/>
      <c r="E339" s="25"/>
      <c r="F339" s="25"/>
      <c r="G339" s="25"/>
      <c r="H339" s="25"/>
      <c r="I339" s="25"/>
      <c r="J339" s="25"/>
      <c r="K339" s="25"/>
      <c r="L339" s="25"/>
      <c r="M339" s="25"/>
      <c r="N339" s="25"/>
      <c r="O339" s="25"/>
      <c r="P339" s="25"/>
      <c r="Q339" s="25"/>
      <c r="R339" s="25"/>
      <c r="S339" s="26">
        <f t="shared" si="12"/>
        <v>0</v>
      </c>
      <c r="T339" s="26">
        <f>COUNTIF($V$4:V339,V339)</f>
        <v>328</v>
      </c>
      <c r="U339" s="26" t="str">
        <f>IF(T339=1,COUNTIF($T$4:T339,1),"")</f>
        <v/>
      </c>
      <c r="V339" s="27" t="str">
        <f>'施設状況(要更新)'!$E339&amp;'施設状況(要更新)'!$C339</f>
        <v/>
      </c>
      <c r="W339" s="27">
        <f>'施設状況(要更新)'!$F339</f>
        <v>0</v>
      </c>
      <c r="X339" s="28"/>
      <c r="Y339" s="27"/>
    </row>
    <row r="340" spans="1:33">
      <c r="A340" s="33"/>
      <c r="B340" s="25"/>
      <c r="C340" s="25"/>
      <c r="D340" s="25"/>
      <c r="E340" s="25"/>
      <c r="F340" s="25"/>
      <c r="G340" s="25"/>
      <c r="H340" s="25"/>
      <c r="I340" s="25"/>
      <c r="J340" s="25"/>
      <c r="K340" s="25"/>
      <c r="L340" s="25"/>
      <c r="M340" s="25"/>
      <c r="N340" s="25"/>
      <c r="O340" s="25"/>
      <c r="P340" s="25"/>
      <c r="Q340" s="25"/>
      <c r="R340" s="25"/>
      <c r="S340" s="26">
        <f t="shared" si="12"/>
        <v>0</v>
      </c>
      <c r="T340" s="26">
        <f>COUNTIF($V$4:V340,V340)</f>
        <v>329</v>
      </c>
      <c r="U340" s="26" t="str">
        <f>IF(T340=1,COUNTIF($T$4:T340,1),"")</f>
        <v/>
      </c>
      <c r="V340" s="27" t="str">
        <f>'施設状況(要更新)'!$E340&amp;'施設状況(要更新)'!$C340</f>
        <v/>
      </c>
      <c r="W340" s="27">
        <f>'施設状況(要更新)'!$F340</f>
        <v>0</v>
      </c>
      <c r="X340" s="28"/>
      <c r="Y340" s="27"/>
    </row>
    <row r="341" spans="1:33">
      <c r="A341" s="33"/>
      <c r="B341" s="25"/>
      <c r="C341" s="25"/>
      <c r="D341" s="25"/>
      <c r="E341" s="25"/>
      <c r="F341" s="25"/>
      <c r="G341" s="25"/>
      <c r="H341" s="25"/>
      <c r="I341" s="25"/>
      <c r="J341" s="25"/>
      <c r="K341" s="25"/>
      <c r="L341" s="25"/>
      <c r="M341" s="25"/>
      <c r="N341" s="25"/>
      <c r="O341" s="25"/>
      <c r="P341" s="25"/>
      <c r="Q341" s="25"/>
      <c r="R341" s="25"/>
      <c r="S341" s="26">
        <f t="shared" si="12"/>
        <v>0</v>
      </c>
      <c r="T341" s="26">
        <f>COUNTIF($V$4:V341,V341)</f>
        <v>330</v>
      </c>
      <c r="U341" s="26" t="str">
        <f>IF(T341=1,COUNTIF($T$4:T341,1),"")</f>
        <v/>
      </c>
      <c r="V341" s="27" t="str">
        <f>'施設状況(要更新)'!$E341&amp;'施設状況(要更新)'!$C341</f>
        <v/>
      </c>
      <c r="W341" s="27">
        <f>'施設状況(要更新)'!$F341</f>
        <v>0</v>
      </c>
      <c r="X341" s="28"/>
      <c r="Y341" s="27"/>
    </row>
    <row r="342" spans="1:33">
      <c r="A342" s="33"/>
      <c r="B342" s="25"/>
      <c r="C342" s="25"/>
      <c r="D342" s="25"/>
      <c r="E342" s="25"/>
      <c r="F342" s="25"/>
      <c r="G342" s="25"/>
      <c r="H342" s="25"/>
      <c r="I342" s="25"/>
      <c r="J342" s="25"/>
      <c r="K342" s="25"/>
      <c r="L342" s="25"/>
      <c r="M342" s="25"/>
      <c r="N342" s="25"/>
      <c r="O342" s="25"/>
      <c r="P342" s="25"/>
      <c r="Q342" s="25"/>
      <c r="R342" s="25"/>
      <c r="S342" s="26">
        <f t="shared" si="12"/>
        <v>0</v>
      </c>
      <c r="T342" s="26">
        <f>COUNTIF($V$4:V342,V342)</f>
        <v>331</v>
      </c>
      <c r="U342" s="26" t="str">
        <f>IF(T342=1,COUNTIF($T$4:T342,1),"")</f>
        <v/>
      </c>
      <c r="V342" s="27" t="str">
        <f>'施設状況(要更新)'!$E342&amp;'施設状況(要更新)'!$C342</f>
        <v/>
      </c>
      <c r="W342" s="27">
        <f>'施設状況(要更新)'!$F342</f>
        <v>0</v>
      </c>
      <c r="X342" s="28"/>
      <c r="Y342" s="27"/>
    </row>
    <row r="343" spans="1:33">
      <c r="A343" s="33"/>
      <c r="B343" s="25"/>
      <c r="C343" s="25"/>
      <c r="D343" s="25"/>
      <c r="E343" s="25"/>
      <c r="F343" s="25"/>
      <c r="G343" s="25"/>
      <c r="H343" s="25"/>
      <c r="I343" s="25"/>
      <c r="J343" s="25"/>
      <c r="K343" s="25"/>
      <c r="L343" s="25"/>
      <c r="M343" s="25"/>
      <c r="N343" s="25"/>
      <c r="O343" s="25"/>
      <c r="P343" s="25"/>
      <c r="Q343" s="25"/>
      <c r="R343" s="25"/>
      <c r="S343" s="26">
        <f t="shared" si="12"/>
        <v>0</v>
      </c>
      <c r="T343" s="26">
        <f>COUNTIF($V$4:V343,V343)</f>
        <v>332</v>
      </c>
      <c r="U343" s="26" t="str">
        <f>IF(T343=1,COUNTIF($T$4:T343,1),"")</f>
        <v/>
      </c>
      <c r="V343" s="27" t="str">
        <f>'施設状況(要更新)'!$E343&amp;'施設状況(要更新)'!$C343</f>
        <v/>
      </c>
      <c r="W343" s="27">
        <f>'施設状況(要更新)'!$F343</f>
        <v>0</v>
      </c>
      <c r="X343" s="28"/>
      <c r="Y343" s="27"/>
    </row>
    <row r="344" spans="1:33">
      <c r="A344" s="33"/>
      <c r="B344" s="25"/>
      <c r="C344" s="25"/>
      <c r="D344" s="25"/>
      <c r="E344" s="25"/>
      <c r="F344" s="25"/>
      <c r="G344" s="25"/>
      <c r="H344" s="25"/>
      <c r="I344" s="25"/>
      <c r="J344" s="25"/>
      <c r="K344" s="25"/>
      <c r="L344" s="25"/>
      <c r="M344" s="25"/>
      <c r="N344" s="25"/>
      <c r="O344" s="25"/>
      <c r="P344" s="25"/>
      <c r="Q344" s="25"/>
      <c r="R344" s="25"/>
      <c r="S344" s="26">
        <f t="shared" si="12"/>
        <v>0</v>
      </c>
      <c r="T344" s="26">
        <f>COUNTIF($V$4:V344,V344)</f>
        <v>333</v>
      </c>
      <c r="U344" s="26" t="str">
        <f>IF(T344=1,COUNTIF($T$4:T344,1),"")</f>
        <v/>
      </c>
      <c r="V344" s="27" t="str">
        <f>'施設状況(要更新)'!$E344&amp;'施設状況(要更新)'!$C344</f>
        <v/>
      </c>
      <c r="W344" s="27">
        <f>'施設状況(要更新)'!$F344</f>
        <v>0</v>
      </c>
      <c r="X344" s="28"/>
      <c r="Y344" s="27"/>
    </row>
    <row r="345" spans="1:33">
      <c r="A345" s="33"/>
      <c r="B345" s="25"/>
      <c r="C345" s="25"/>
      <c r="D345" s="25"/>
      <c r="E345" s="25"/>
      <c r="F345" s="25"/>
      <c r="G345" s="25"/>
      <c r="H345" s="25"/>
      <c r="I345" s="25"/>
      <c r="J345" s="25"/>
      <c r="K345" s="25"/>
      <c r="L345" s="25"/>
      <c r="M345" s="25"/>
      <c r="N345" s="25"/>
      <c r="O345" s="25"/>
      <c r="P345" s="25"/>
      <c r="Q345" s="25"/>
      <c r="R345" s="25"/>
      <c r="S345" s="26">
        <f t="shared" si="12"/>
        <v>0</v>
      </c>
      <c r="T345" s="26">
        <f>COUNTIF($V$4:V345,V345)</f>
        <v>334</v>
      </c>
      <c r="U345" s="26" t="str">
        <f>IF(T345=1,COUNTIF($T$4:T345,1),"")</f>
        <v/>
      </c>
      <c r="V345" s="27" t="str">
        <f>'施設状況(要更新)'!$E345&amp;'施設状況(要更新)'!$C345</f>
        <v/>
      </c>
      <c r="W345" s="27">
        <f>'施設状況(要更新)'!$F345</f>
        <v>0</v>
      </c>
      <c r="X345" s="28"/>
      <c r="Y345" s="27"/>
    </row>
    <row r="346" spans="1:33">
      <c r="A346" s="33"/>
      <c r="B346" s="25"/>
      <c r="C346" s="25"/>
      <c r="D346" s="25"/>
      <c r="E346" s="25"/>
      <c r="F346" s="25"/>
      <c r="G346" s="25"/>
      <c r="H346" s="25"/>
      <c r="I346" s="25"/>
      <c r="J346" s="25"/>
      <c r="K346" s="25"/>
      <c r="L346" s="25"/>
      <c r="M346" s="25"/>
      <c r="N346" s="25"/>
      <c r="O346" s="25"/>
      <c r="P346" s="25"/>
      <c r="Q346" s="25"/>
      <c r="R346" s="25"/>
      <c r="S346" s="26">
        <f t="shared" si="12"/>
        <v>0</v>
      </c>
      <c r="T346" s="26">
        <f>COUNTIF($V$4:V346,V346)</f>
        <v>335</v>
      </c>
      <c r="U346" s="26" t="str">
        <f>IF(T346=1,COUNTIF($T$4:T346,1),"")</f>
        <v/>
      </c>
      <c r="V346" s="27" t="str">
        <f>'施設状況(要更新)'!$E346&amp;'施設状況(要更新)'!$C346</f>
        <v/>
      </c>
      <c r="W346" s="27">
        <f>'施設状況(要更新)'!$F346</f>
        <v>0</v>
      </c>
      <c r="X346" s="28"/>
      <c r="Y346" s="27"/>
    </row>
    <row r="347" spans="1:33">
      <c r="A347" s="33"/>
      <c r="B347" s="25"/>
      <c r="C347" s="25"/>
      <c r="D347" s="25"/>
      <c r="E347" s="25"/>
      <c r="F347" s="25"/>
      <c r="G347" s="25"/>
      <c r="H347" s="25"/>
      <c r="I347" s="25"/>
      <c r="J347" s="25"/>
      <c r="K347" s="25"/>
      <c r="L347" s="25"/>
      <c r="M347" s="25"/>
      <c r="N347" s="25"/>
      <c r="O347" s="25"/>
      <c r="P347" s="25"/>
      <c r="Q347" s="25"/>
      <c r="R347" s="25"/>
      <c r="S347" s="26">
        <f t="shared" si="12"/>
        <v>0</v>
      </c>
      <c r="T347" s="26">
        <f>COUNTIF($V$4:V347,V347)</f>
        <v>336</v>
      </c>
      <c r="U347" s="26" t="str">
        <f>IF(T347=1,COUNTIF($T$4:T347,1),"")</f>
        <v/>
      </c>
      <c r="V347" s="27" t="str">
        <f>'施設状況(要更新)'!$E347&amp;'施設状況(要更新)'!$C347</f>
        <v/>
      </c>
      <c r="W347" s="27">
        <f>'施設状況(要更新)'!$F347</f>
        <v>0</v>
      </c>
      <c r="X347" s="28"/>
      <c r="Y347" s="27"/>
      <c r="Z347" s="27"/>
      <c r="AA347" s="27"/>
      <c r="AB347" s="27"/>
      <c r="AC347" s="27"/>
      <c r="AD347" s="27"/>
      <c r="AE347" s="27"/>
      <c r="AF347" s="27"/>
      <c r="AG347" s="27"/>
    </row>
    <row r="348" spans="1:33">
      <c r="A348" s="33"/>
      <c r="B348" s="25"/>
      <c r="C348" s="25"/>
      <c r="D348" s="25"/>
      <c r="E348" s="25"/>
      <c r="F348" s="25"/>
      <c r="G348" s="25"/>
      <c r="H348" s="25"/>
      <c r="I348" s="25"/>
      <c r="J348" s="25"/>
      <c r="K348" s="25"/>
      <c r="L348" s="25"/>
      <c r="M348" s="25"/>
      <c r="N348" s="25"/>
      <c r="O348" s="25"/>
      <c r="P348" s="25"/>
      <c r="Q348" s="25"/>
      <c r="R348" s="25"/>
      <c r="S348" s="26">
        <f t="shared" si="12"/>
        <v>0</v>
      </c>
      <c r="T348" s="26">
        <f>COUNTIF($V$4:V348,V348)</f>
        <v>337</v>
      </c>
      <c r="U348" s="26" t="str">
        <f>IF(T348=1,COUNTIF($T$4:T348,1),"")</f>
        <v/>
      </c>
      <c r="V348" s="27" t="str">
        <f>'施設状況(要更新)'!$E348&amp;'施設状況(要更新)'!$C348</f>
        <v/>
      </c>
      <c r="W348" s="27">
        <f>'施設状況(要更新)'!$F348</f>
        <v>0</v>
      </c>
      <c r="X348" s="28"/>
      <c r="Y348" s="27"/>
    </row>
    <row r="349" spans="1:33">
      <c r="A349" s="33"/>
      <c r="B349" s="25"/>
      <c r="C349" s="25"/>
      <c r="D349" s="25"/>
      <c r="E349" s="25"/>
      <c r="F349" s="25"/>
      <c r="G349" s="25"/>
      <c r="H349" s="25"/>
      <c r="I349" s="25"/>
      <c r="J349" s="25"/>
      <c r="K349" s="25"/>
      <c r="L349" s="25"/>
      <c r="M349" s="25"/>
      <c r="N349" s="25"/>
      <c r="O349" s="25"/>
      <c r="P349" s="25"/>
      <c r="Q349" s="25"/>
      <c r="R349" s="25"/>
      <c r="S349" s="26">
        <f t="shared" si="12"/>
        <v>0</v>
      </c>
      <c r="T349" s="26">
        <f>COUNTIF($V$4:V349,V349)</f>
        <v>338</v>
      </c>
      <c r="U349" s="26" t="str">
        <f>IF(T349=1,COUNTIF($T$4:T349,1),"")</f>
        <v/>
      </c>
      <c r="V349" s="27" t="str">
        <f>'施設状況(要更新)'!$E349&amp;'施設状況(要更新)'!$C349</f>
        <v/>
      </c>
      <c r="W349" s="27">
        <f>'施設状況(要更新)'!$F349</f>
        <v>0</v>
      </c>
      <c r="X349" s="28"/>
      <c r="Y349" s="27"/>
    </row>
    <row r="350" spans="1:33">
      <c r="A350" s="33"/>
      <c r="B350" s="25"/>
      <c r="C350" s="25"/>
      <c r="D350" s="25"/>
      <c r="E350" s="25"/>
      <c r="F350" s="25"/>
      <c r="G350" s="25"/>
      <c r="H350" s="25"/>
      <c r="I350" s="25"/>
      <c r="J350" s="25"/>
      <c r="K350" s="25"/>
      <c r="L350" s="25"/>
      <c r="M350" s="25"/>
      <c r="N350" s="25"/>
      <c r="O350" s="25"/>
      <c r="P350" s="25"/>
      <c r="Q350" s="25"/>
      <c r="R350" s="25"/>
      <c r="S350" s="26">
        <f t="shared" si="12"/>
        <v>0</v>
      </c>
      <c r="T350" s="26">
        <f>COUNTIF($V$4:V350,V350)</f>
        <v>339</v>
      </c>
      <c r="U350" s="26" t="str">
        <f>IF(T350=1,COUNTIF($T$4:T350,1),"")</f>
        <v/>
      </c>
      <c r="V350" s="27" t="str">
        <f>'施設状況(要更新)'!$E350&amp;'施設状況(要更新)'!$C350</f>
        <v/>
      </c>
      <c r="W350" s="27">
        <f>'施設状況(要更新)'!$F350</f>
        <v>0</v>
      </c>
      <c r="X350" s="28"/>
      <c r="Y350" s="27"/>
      <c r="Z350" s="27"/>
      <c r="AA350" s="27"/>
      <c r="AB350" s="27"/>
      <c r="AC350" s="27"/>
      <c r="AD350" s="27"/>
      <c r="AE350" s="27"/>
      <c r="AF350" s="27"/>
      <c r="AG350" s="27"/>
    </row>
    <row r="351" spans="1:33">
      <c r="A351" s="33"/>
      <c r="B351" s="25"/>
      <c r="C351" s="25"/>
      <c r="D351" s="25"/>
      <c r="E351" s="25"/>
      <c r="F351" s="25"/>
      <c r="G351" s="25"/>
      <c r="H351" s="25"/>
      <c r="I351" s="25"/>
      <c r="J351" s="25"/>
      <c r="K351" s="25"/>
      <c r="L351" s="25"/>
      <c r="M351" s="25"/>
      <c r="N351" s="25"/>
      <c r="O351" s="25"/>
      <c r="P351" s="25"/>
      <c r="Q351" s="25"/>
      <c r="R351" s="25"/>
      <c r="S351" s="26">
        <f t="shared" si="12"/>
        <v>0</v>
      </c>
      <c r="T351" s="26">
        <f>COUNTIF($V$4:V351,V351)</f>
        <v>340</v>
      </c>
      <c r="U351" s="26" t="str">
        <f>IF(T351=1,COUNTIF($T$4:T351,1),"")</f>
        <v/>
      </c>
      <c r="V351" s="27" t="str">
        <f>'施設状況(要更新)'!$E351&amp;'施設状況(要更新)'!$C351</f>
        <v/>
      </c>
      <c r="W351" s="27">
        <f>'施設状況(要更新)'!$F351</f>
        <v>0</v>
      </c>
      <c r="X351" s="28"/>
      <c r="Y351" s="27"/>
    </row>
    <row r="352" spans="1:33">
      <c r="A352" s="33"/>
      <c r="B352" s="25"/>
      <c r="C352" s="25"/>
      <c r="D352" s="25"/>
      <c r="E352" s="25"/>
      <c r="F352" s="25"/>
      <c r="G352" s="25"/>
      <c r="H352" s="25"/>
      <c r="I352" s="25"/>
      <c r="J352" s="25"/>
      <c r="K352" s="25"/>
      <c r="L352" s="25"/>
      <c r="M352" s="25"/>
      <c r="N352" s="25"/>
      <c r="O352" s="25"/>
      <c r="P352" s="25"/>
      <c r="Q352" s="25"/>
      <c r="R352" s="25"/>
      <c r="S352" s="26">
        <f t="shared" si="12"/>
        <v>0</v>
      </c>
      <c r="T352" s="26">
        <f>COUNTIF($V$4:V352,V352)</f>
        <v>341</v>
      </c>
      <c r="U352" s="26" t="str">
        <f>IF(T352=1,COUNTIF($T$4:T352,1),"")</f>
        <v/>
      </c>
      <c r="V352" s="27" t="str">
        <f>'施設状況(要更新)'!$E352&amp;'施設状況(要更新)'!$C352</f>
        <v/>
      </c>
      <c r="W352" s="27">
        <f>'施設状況(要更新)'!$F352</f>
        <v>0</v>
      </c>
      <c r="X352" s="28"/>
      <c r="Y352" s="27"/>
    </row>
    <row r="353" spans="1:33">
      <c r="A353" s="33"/>
      <c r="B353" s="25"/>
      <c r="C353" s="25"/>
      <c r="D353" s="25"/>
      <c r="E353" s="25"/>
      <c r="F353" s="25"/>
      <c r="G353" s="25"/>
      <c r="H353" s="25"/>
      <c r="I353" s="25"/>
      <c r="J353" s="25"/>
      <c r="K353" s="25"/>
      <c r="L353" s="25"/>
      <c r="M353" s="25"/>
      <c r="N353" s="25"/>
      <c r="O353" s="25"/>
      <c r="P353" s="25"/>
      <c r="Q353" s="25"/>
      <c r="R353" s="25"/>
      <c r="S353" s="26">
        <f t="shared" si="12"/>
        <v>0</v>
      </c>
      <c r="T353" s="26">
        <f>COUNTIF($V$4:V353,V353)</f>
        <v>342</v>
      </c>
      <c r="U353" s="26" t="str">
        <f>IF(T353=1,COUNTIF($T$4:T353,1),"")</f>
        <v/>
      </c>
      <c r="V353" s="27" t="str">
        <f>'施設状況(要更新)'!$E353&amp;'施設状況(要更新)'!$C353</f>
        <v/>
      </c>
      <c r="W353" s="27">
        <f>'施設状況(要更新)'!$F353</f>
        <v>0</v>
      </c>
      <c r="X353" s="28"/>
      <c r="Y353" s="27"/>
    </row>
    <row r="354" spans="1:33">
      <c r="A354" s="33"/>
      <c r="B354" s="25"/>
      <c r="C354" s="25"/>
      <c r="D354" s="25"/>
      <c r="E354" s="25"/>
      <c r="F354" s="25"/>
      <c r="G354" s="25"/>
      <c r="H354" s="25"/>
      <c r="I354" s="25"/>
      <c r="J354" s="25"/>
      <c r="K354" s="25"/>
      <c r="L354" s="25"/>
      <c r="M354" s="25"/>
      <c r="N354" s="25"/>
      <c r="O354" s="25"/>
      <c r="P354" s="25"/>
      <c r="Q354" s="25"/>
      <c r="R354" s="25"/>
      <c r="S354" s="26">
        <f t="shared" si="12"/>
        <v>0</v>
      </c>
      <c r="T354" s="26">
        <f>COUNTIF($V$4:V354,V354)</f>
        <v>343</v>
      </c>
      <c r="U354" s="26" t="str">
        <f>IF(T354=1,COUNTIF($T$4:T354,1),"")</f>
        <v/>
      </c>
      <c r="V354" s="27" t="str">
        <f>'施設状況(要更新)'!$E354&amp;'施設状況(要更新)'!$C354</f>
        <v/>
      </c>
      <c r="W354" s="27">
        <f>'施設状況(要更新)'!$F354</f>
        <v>0</v>
      </c>
      <c r="X354" s="28"/>
      <c r="Y354" s="27"/>
    </row>
    <row r="355" spans="1:33">
      <c r="A355" s="33"/>
      <c r="B355" s="25"/>
      <c r="C355" s="25"/>
      <c r="D355" s="25"/>
      <c r="E355" s="25"/>
      <c r="F355" s="25"/>
      <c r="G355" s="25"/>
      <c r="H355" s="25"/>
      <c r="I355" s="25"/>
      <c r="J355" s="25"/>
      <c r="K355" s="25"/>
      <c r="L355" s="25"/>
      <c r="M355" s="25"/>
      <c r="N355" s="25"/>
      <c r="O355" s="25"/>
      <c r="P355" s="25"/>
      <c r="Q355" s="25"/>
      <c r="R355" s="25"/>
      <c r="S355" s="26">
        <f t="shared" si="12"/>
        <v>0</v>
      </c>
      <c r="T355" s="26">
        <f>COUNTIF($V$4:V355,V355)</f>
        <v>344</v>
      </c>
      <c r="U355" s="26" t="str">
        <f>IF(T355=1,COUNTIF($T$4:T355,1),"")</f>
        <v/>
      </c>
      <c r="V355" s="27" t="str">
        <f>'施設状況(要更新)'!$E355&amp;'施設状況(要更新)'!$C355</f>
        <v/>
      </c>
      <c r="W355" s="27">
        <f>'施設状況(要更新)'!$F355</f>
        <v>0</v>
      </c>
      <c r="X355" s="28"/>
      <c r="Y355" s="27"/>
    </row>
    <row r="356" spans="1:33">
      <c r="A356" s="33"/>
      <c r="B356" s="25"/>
      <c r="C356" s="25"/>
      <c r="D356" s="25"/>
      <c r="E356" s="25"/>
      <c r="F356" s="25"/>
      <c r="G356" s="25"/>
      <c r="H356" s="25"/>
      <c r="I356" s="25"/>
      <c r="J356" s="25"/>
      <c r="K356" s="25"/>
      <c r="L356" s="25"/>
      <c r="M356" s="25"/>
      <c r="N356" s="25"/>
      <c r="O356" s="25"/>
      <c r="P356" s="25"/>
      <c r="Q356" s="25"/>
      <c r="R356" s="25"/>
      <c r="S356" s="26">
        <f t="shared" si="12"/>
        <v>0</v>
      </c>
      <c r="T356" s="26">
        <f>COUNTIF($V$4:V356,V356)</f>
        <v>345</v>
      </c>
      <c r="U356" s="26" t="str">
        <f>IF(T356=1,COUNTIF($T$4:T356,1),"")</f>
        <v/>
      </c>
      <c r="V356" s="27" t="str">
        <f>'施設状況(要更新)'!$E356&amp;'施設状況(要更新)'!$C356</f>
        <v/>
      </c>
      <c r="W356" s="27">
        <f>'施設状況(要更新)'!$F356</f>
        <v>0</v>
      </c>
      <c r="X356" s="28"/>
      <c r="Y356" s="27"/>
    </row>
    <row r="357" spans="1:33">
      <c r="A357" s="33"/>
      <c r="B357" s="25"/>
      <c r="C357" s="25"/>
      <c r="D357" s="25"/>
      <c r="E357" s="25"/>
      <c r="F357" s="25"/>
      <c r="G357" s="25"/>
      <c r="H357" s="25"/>
      <c r="I357" s="25"/>
      <c r="J357" s="25"/>
      <c r="K357" s="25"/>
      <c r="L357" s="25"/>
      <c r="M357" s="25"/>
      <c r="N357" s="25"/>
      <c r="O357" s="25"/>
      <c r="P357" s="25"/>
      <c r="Q357" s="25"/>
      <c r="R357" s="25"/>
      <c r="S357" s="26">
        <f t="shared" si="12"/>
        <v>0</v>
      </c>
      <c r="T357" s="26">
        <f>COUNTIF($V$4:V357,V357)</f>
        <v>346</v>
      </c>
      <c r="U357" s="26" t="str">
        <f>IF(T357=1,COUNTIF($T$4:T357,1),"")</f>
        <v/>
      </c>
      <c r="V357" s="27" t="str">
        <f>'施設状況(要更新)'!$E357&amp;'施設状況(要更新)'!$C357</f>
        <v/>
      </c>
      <c r="W357" s="27">
        <f>'施設状況(要更新)'!$F357</f>
        <v>0</v>
      </c>
      <c r="X357" s="28"/>
      <c r="Y357" s="27"/>
    </row>
    <row r="358" spans="1:33">
      <c r="A358" s="33"/>
      <c r="B358" s="25"/>
      <c r="C358" s="25"/>
      <c r="D358" s="25"/>
      <c r="E358" s="25"/>
      <c r="F358" s="25"/>
      <c r="G358" s="25"/>
      <c r="H358" s="25"/>
      <c r="I358" s="25"/>
      <c r="J358" s="25"/>
      <c r="K358" s="25"/>
      <c r="L358" s="25"/>
      <c r="M358" s="25"/>
      <c r="N358" s="25"/>
      <c r="O358" s="25"/>
      <c r="P358" s="25"/>
      <c r="Q358" s="25"/>
      <c r="R358" s="25"/>
      <c r="S358" s="26">
        <f t="shared" si="12"/>
        <v>0</v>
      </c>
      <c r="T358" s="26">
        <f>COUNTIF($V$4:V358,V358)</f>
        <v>347</v>
      </c>
      <c r="U358" s="26" t="str">
        <f>IF(T358=1,COUNTIF($T$4:T358,1),"")</f>
        <v/>
      </c>
      <c r="V358" s="27" t="str">
        <f>'施設状況(要更新)'!$E358&amp;'施設状況(要更新)'!$C358</f>
        <v/>
      </c>
      <c r="W358" s="27">
        <f>'施設状況(要更新)'!$F358</f>
        <v>0</v>
      </c>
      <c r="X358" s="28"/>
      <c r="Y358" s="27"/>
    </row>
    <row r="359" spans="1:33">
      <c r="A359" s="33"/>
      <c r="B359" s="25"/>
      <c r="C359" s="25"/>
      <c r="D359" s="25"/>
      <c r="E359" s="25"/>
      <c r="F359" s="25"/>
      <c r="G359" s="25"/>
      <c r="H359" s="25"/>
      <c r="I359" s="25"/>
      <c r="J359" s="25"/>
      <c r="K359" s="25"/>
      <c r="L359" s="25"/>
      <c r="M359" s="25"/>
      <c r="N359" s="25"/>
      <c r="O359" s="25"/>
      <c r="P359" s="25"/>
      <c r="Q359" s="25"/>
      <c r="R359" s="25"/>
      <c r="S359" s="26">
        <f t="shared" si="12"/>
        <v>0</v>
      </c>
      <c r="T359" s="26">
        <f>COUNTIF($V$4:V359,V359)</f>
        <v>348</v>
      </c>
      <c r="U359" s="26" t="str">
        <f>IF(T359=1,COUNTIF($T$4:T359,1),"")</f>
        <v/>
      </c>
      <c r="V359" s="27" t="str">
        <f>'施設状況(要更新)'!$E359&amp;'施設状況(要更新)'!$C359</f>
        <v/>
      </c>
      <c r="W359" s="27">
        <f>'施設状況(要更新)'!$F359</f>
        <v>0</v>
      </c>
      <c r="X359" s="28"/>
      <c r="Y359" s="27"/>
    </row>
    <row r="360" spans="1:33">
      <c r="A360" s="33"/>
      <c r="B360" s="25"/>
      <c r="C360" s="25"/>
      <c r="D360" s="25"/>
      <c r="E360" s="25"/>
      <c r="F360" s="25"/>
      <c r="G360" s="25"/>
      <c r="H360" s="25"/>
      <c r="I360" s="25"/>
      <c r="J360" s="25"/>
      <c r="K360" s="25"/>
      <c r="L360" s="25"/>
      <c r="M360" s="25"/>
      <c r="N360" s="25"/>
      <c r="O360" s="25"/>
      <c r="P360" s="25"/>
      <c r="Q360" s="25"/>
      <c r="R360" s="25"/>
      <c r="S360" s="26">
        <f t="shared" si="12"/>
        <v>0</v>
      </c>
      <c r="T360" s="26">
        <f>COUNTIF($V$4:V360,V360)</f>
        <v>349</v>
      </c>
      <c r="U360" s="26" t="str">
        <f>IF(T360=1,COUNTIF($T$4:T360,1),"")</f>
        <v/>
      </c>
      <c r="V360" s="27" t="str">
        <f>'施設状況(要更新)'!$E360&amp;'施設状況(要更新)'!$C360</f>
        <v/>
      </c>
      <c r="W360" s="27">
        <f>'施設状況(要更新)'!$F360</f>
        <v>0</v>
      </c>
      <c r="X360" s="28"/>
      <c r="Y360" s="27"/>
    </row>
    <row r="361" spans="1:33">
      <c r="A361" s="33"/>
      <c r="B361" s="25"/>
      <c r="C361" s="25"/>
      <c r="D361" s="25"/>
      <c r="E361" s="25"/>
      <c r="F361" s="25"/>
      <c r="G361" s="25"/>
      <c r="H361" s="25"/>
      <c r="I361" s="25"/>
      <c r="J361" s="25"/>
      <c r="K361" s="25"/>
      <c r="L361" s="25"/>
      <c r="M361" s="25"/>
      <c r="N361" s="25"/>
      <c r="O361" s="25"/>
      <c r="P361" s="25"/>
      <c r="Q361" s="25"/>
      <c r="R361" s="25"/>
      <c r="S361" s="26">
        <f t="shared" si="12"/>
        <v>0</v>
      </c>
      <c r="T361" s="26">
        <f>COUNTIF($V$4:V361,V361)</f>
        <v>350</v>
      </c>
      <c r="U361" s="26" t="str">
        <f>IF(T361=1,COUNTIF($T$4:T361,1),"")</f>
        <v/>
      </c>
      <c r="V361" s="27" t="str">
        <f>'施設状況(要更新)'!$E361&amp;'施設状況(要更新)'!$C361</f>
        <v/>
      </c>
      <c r="W361" s="27">
        <f>'施設状況(要更新)'!$F361</f>
        <v>0</v>
      </c>
      <c r="X361" s="28"/>
      <c r="Y361" s="27"/>
    </row>
    <row r="362" spans="1:33">
      <c r="A362" s="33"/>
      <c r="B362" s="25"/>
      <c r="C362" s="25"/>
      <c r="D362" s="25"/>
      <c r="E362" s="25"/>
      <c r="F362" s="25"/>
      <c r="G362" s="25"/>
      <c r="H362" s="25"/>
      <c r="I362" s="25"/>
      <c r="J362" s="25"/>
      <c r="K362" s="25"/>
      <c r="L362" s="25"/>
      <c r="M362" s="25"/>
      <c r="N362" s="25"/>
      <c r="O362" s="25"/>
      <c r="P362" s="25"/>
      <c r="Q362" s="25"/>
      <c r="R362" s="25"/>
      <c r="S362" s="26">
        <f t="shared" si="12"/>
        <v>0</v>
      </c>
      <c r="T362" s="26">
        <f>COUNTIF($V$4:V362,V362)</f>
        <v>351</v>
      </c>
      <c r="U362" s="26" t="str">
        <f>IF(T362=1,COUNTIF($T$4:T362,1),"")</f>
        <v/>
      </c>
      <c r="V362" s="27" t="str">
        <f>'施設状況(要更新)'!$E362&amp;'施設状況(要更新)'!$C362</f>
        <v/>
      </c>
      <c r="W362" s="27">
        <f>'施設状況(要更新)'!$F362</f>
        <v>0</v>
      </c>
      <c r="X362" s="28"/>
      <c r="Y362" s="27"/>
    </row>
    <row r="363" spans="1:33">
      <c r="A363" s="33"/>
      <c r="B363" s="25"/>
      <c r="C363" s="25"/>
      <c r="D363" s="25"/>
      <c r="E363" s="25"/>
      <c r="F363" s="25"/>
      <c r="G363" s="25"/>
      <c r="H363" s="25"/>
      <c r="I363" s="25"/>
      <c r="J363" s="25"/>
      <c r="K363" s="25"/>
      <c r="L363" s="25"/>
      <c r="M363" s="25"/>
      <c r="N363" s="25"/>
      <c r="O363" s="25"/>
      <c r="P363" s="25"/>
      <c r="Q363" s="25"/>
      <c r="R363" s="25"/>
      <c r="S363" s="26">
        <f t="shared" si="12"/>
        <v>0</v>
      </c>
      <c r="T363" s="26">
        <f>COUNTIF($V$4:V363,V363)</f>
        <v>352</v>
      </c>
      <c r="U363" s="26" t="str">
        <f>IF(T363=1,COUNTIF($T$4:T363,1),"")</f>
        <v/>
      </c>
      <c r="V363" s="27" t="str">
        <f>'施設状況(要更新)'!$E363&amp;'施設状況(要更新)'!$C363</f>
        <v/>
      </c>
      <c r="W363" s="27">
        <f>'施設状況(要更新)'!$F363</f>
        <v>0</v>
      </c>
      <c r="X363" s="28"/>
      <c r="Y363" s="27"/>
    </row>
    <row r="364" spans="1:33">
      <c r="A364" s="33"/>
      <c r="B364" s="25"/>
      <c r="C364" s="25"/>
      <c r="D364" s="25"/>
      <c r="E364" s="25"/>
      <c r="F364" s="25"/>
      <c r="G364" s="25"/>
      <c r="H364" s="25"/>
      <c r="I364" s="25"/>
      <c r="J364" s="25"/>
      <c r="K364" s="25"/>
      <c r="L364" s="25"/>
      <c r="M364" s="25"/>
      <c r="N364" s="25"/>
      <c r="O364" s="25"/>
      <c r="P364" s="25"/>
      <c r="Q364" s="25"/>
      <c r="R364" s="25"/>
      <c r="S364" s="26">
        <f t="shared" si="12"/>
        <v>0</v>
      </c>
      <c r="T364" s="26">
        <f>COUNTIF($V$4:V364,V364)</f>
        <v>353</v>
      </c>
      <c r="U364" s="26" t="str">
        <f>IF(T364=1,COUNTIF($T$4:T364,1),"")</f>
        <v/>
      </c>
      <c r="V364" s="27" t="str">
        <f>'施設状況(要更新)'!$E364&amp;'施設状況(要更新)'!$C364</f>
        <v/>
      </c>
      <c r="W364" s="27">
        <f>'施設状況(要更新)'!$F364</f>
        <v>0</v>
      </c>
      <c r="X364" s="28"/>
      <c r="Y364" s="27"/>
    </row>
    <row r="365" spans="1:33">
      <c r="A365" s="33"/>
      <c r="B365" s="25"/>
      <c r="C365" s="25"/>
      <c r="D365" s="25"/>
      <c r="E365" s="25"/>
      <c r="F365" s="25"/>
      <c r="G365" s="25"/>
      <c r="H365" s="25"/>
      <c r="I365" s="25"/>
      <c r="J365" s="25"/>
      <c r="K365" s="25"/>
      <c r="L365" s="25"/>
      <c r="M365" s="25"/>
      <c r="N365" s="25"/>
      <c r="O365" s="25"/>
      <c r="P365" s="25"/>
      <c r="Q365" s="25"/>
      <c r="R365" s="25"/>
      <c r="S365" s="26">
        <f t="shared" si="12"/>
        <v>0</v>
      </c>
      <c r="T365" s="26">
        <f>COUNTIF($V$4:V365,V365)</f>
        <v>354</v>
      </c>
      <c r="U365" s="26" t="str">
        <f>IF(T365=1,COUNTIF($T$4:T365,1),"")</f>
        <v/>
      </c>
      <c r="V365" s="27" t="str">
        <f>'施設状況(要更新)'!$E365&amp;'施設状況(要更新)'!$C365</f>
        <v/>
      </c>
      <c r="W365" s="27">
        <f>'施設状況(要更新)'!$F365</f>
        <v>0</v>
      </c>
      <c r="X365" s="28"/>
      <c r="Y365" s="27"/>
      <c r="Z365" s="27"/>
      <c r="AA365" s="27"/>
      <c r="AB365" s="27"/>
      <c r="AC365" s="27"/>
      <c r="AD365" s="27"/>
      <c r="AE365" s="27"/>
      <c r="AF365" s="27"/>
      <c r="AG365" s="27"/>
    </row>
    <row r="366" spans="1:33">
      <c r="A366" s="33"/>
      <c r="B366" s="25"/>
      <c r="C366" s="25"/>
      <c r="D366" s="25"/>
      <c r="E366" s="25"/>
      <c r="F366" s="25"/>
      <c r="G366" s="25"/>
      <c r="H366" s="25"/>
      <c r="I366" s="25"/>
      <c r="J366" s="25"/>
      <c r="K366" s="25"/>
      <c r="L366" s="25"/>
      <c r="M366" s="25"/>
      <c r="N366" s="25"/>
      <c r="O366" s="25"/>
      <c r="P366" s="25"/>
      <c r="Q366" s="25"/>
      <c r="R366" s="25"/>
      <c r="S366" s="26">
        <f t="shared" si="12"/>
        <v>0</v>
      </c>
      <c r="T366" s="26">
        <f>COUNTIF($V$4:V366,V366)</f>
        <v>355</v>
      </c>
      <c r="U366" s="26" t="str">
        <f>IF(T366=1,COUNTIF($T$4:T366,1),"")</f>
        <v/>
      </c>
      <c r="V366" s="27" t="str">
        <f>'施設状況(要更新)'!$E366&amp;'施設状況(要更新)'!$C366</f>
        <v/>
      </c>
      <c r="W366" s="27">
        <f>'施設状況(要更新)'!$F366</f>
        <v>0</v>
      </c>
      <c r="X366" s="28"/>
      <c r="Y366" s="27"/>
    </row>
    <row r="367" spans="1:33">
      <c r="A367" s="33"/>
      <c r="B367" s="25"/>
      <c r="C367" s="25"/>
      <c r="D367" s="25"/>
      <c r="E367" s="25"/>
      <c r="F367" s="25"/>
      <c r="G367" s="25"/>
      <c r="H367" s="25"/>
      <c r="I367" s="25"/>
      <c r="J367" s="25"/>
      <c r="K367" s="25"/>
      <c r="L367" s="25"/>
      <c r="M367" s="25"/>
      <c r="N367" s="25"/>
      <c r="O367" s="25"/>
      <c r="P367" s="25"/>
      <c r="Q367" s="25"/>
      <c r="R367" s="25"/>
      <c r="S367" s="26">
        <f t="shared" si="12"/>
        <v>0</v>
      </c>
      <c r="T367" s="26">
        <f>COUNTIF($V$4:V367,V367)</f>
        <v>356</v>
      </c>
      <c r="U367" s="26" t="str">
        <f>IF(T367=1,COUNTIF($T$4:T367,1),"")</f>
        <v/>
      </c>
      <c r="V367" s="27" t="str">
        <f>'施設状況(要更新)'!$E367&amp;'施設状況(要更新)'!$C367</f>
        <v/>
      </c>
      <c r="W367" s="27">
        <f>'施設状況(要更新)'!$F367</f>
        <v>0</v>
      </c>
      <c r="X367" s="28"/>
      <c r="Y367" s="27"/>
    </row>
    <row r="368" spans="1:33">
      <c r="A368" s="33"/>
      <c r="B368" s="25"/>
      <c r="C368" s="25"/>
      <c r="D368" s="25"/>
      <c r="E368" s="25"/>
      <c r="F368" s="25"/>
      <c r="G368" s="25"/>
      <c r="H368" s="25"/>
      <c r="I368" s="25"/>
      <c r="J368" s="25"/>
      <c r="K368" s="25"/>
      <c r="L368" s="25"/>
      <c r="M368" s="25"/>
      <c r="N368" s="25"/>
      <c r="O368" s="25"/>
      <c r="P368" s="25"/>
      <c r="Q368" s="25"/>
      <c r="R368" s="25"/>
      <c r="S368" s="26">
        <f t="shared" si="12"/>
        <v>0</v>
      </c>
      <c r="T368" s="26">
        <f>COUNTIF($V$4:V368,V368)</f>
        <v>357</v>
      </c>
      <c r="U368" s="26" t="str">
        <f>IF(T368=1,COUNTIF($T$4:T368,1),"")</f>
        <v/>
      </c>
      <c r="V368" s="27" t="str">
        <f>'施設状況(要更新)'!$E368&amp;'施設状況(要更新)'!$C368</f>
        <v/>
      </c>
      <c r="W368" s="27">
        <f>'施設状況(要更新)'!$F368</f>
        <v>0</v>
      </c>
      <c r="X368" s="28"/>
      <c r="Y368" s="27"/>
    </row>
    <row r="369" spans="1:25">
      <c r="A369" s="33"/>
      <c r="B369" s="25"/>
      <c r="C369" s="25"/>
      <c r="D369" s="25"/>
      <c r="E369" s="25"/>
      <c r="F369" s="25"/>
      <c r="G369" s="25"/>
      <c r="H369" s="25"/>
      <c r="I369" s="25"/>
      <c r="J369" s="25"/>
      <c r="K369" s="25"/>
      <c r="L369" s="25"/>
      <c r="M369" s="25"/>
      <c r="N369" s="25"/>
      <c r="O369" s="25"/>
      <c r="P369" s="25"/>
      <c r="Q369" s="25"/>
      <c r="R369" s="25"/>
      <c r="S369" s="26">
        <f t="shared" si="12"/>
        <v>0</v>
      </c>
      <c r="T369" s="26">
        <f>COUNTIF($V$4:V369,V369)</f>
        <v>358</v>
      </c>
      <c r="U369" s="26" t="str">
        <f>IF(T369=1,COUNTIF($T$4:T369,1),"")</f>
        <v/>
      </c>
      <c r="V369" s="27" t="str">
        <f>'施設状況(要更新)'!$E369&amp;'施設状況(要更新)'!$C369</f>
        <v/>
      </c>
      <c r="W369" s="27">
        <f>'施設状況(要更新)'!$F369</f>
        <v>0</v>
      </c>
      <c r="X369" s="28"/>
      <c r="Y369" s="27"/>
    </row>
    <row r="370" spans="1:25">
      <c r="A370" s="33"/>
      <c r="B370" s="25"/>
      <c r="C370" s="25"/>
      <c r="D370" s="25"/>
      <c r="E370" s="25"/>
      <c r="F370" s="25"/>
      <c r="G370" s="25"/>
      <c r="H370" s="25"/>
      <c r="I370" s="25"/>
      <c r="J370" s="25"/>
      <c r="K370" s="25"/>
      <c r="L370" s="25"/>
      <c r="M370" s="25"/>
      <c r="N370" s="25"/>
      <c r="O370" s="25"/>
      <c r="P370" s="25"/>
      <c r="Q370" s="25"/>
      <c r="R370" s="25"/>
      <c r="S370" s="26">
        <f t="shared" si="12"/>
        <v>0</v>
      </c>
      <c r="T370" s="26">
        <f>COUNTIF($V$4:V370,V370)</f>
        <v>359</v>
      </c>
      <c r="U370" s="26" t="str">
        <f>IF(T370=1,COUNTIF($T$4:T370,1),"")</f>
        <v/>
      </c>
      <c r="V370" s="27" t="str">
        <f>'施設状況(要更新)'!$E370&amp;'施設状況(要更新)'!$C370</f>
        <v/>
      </c>
      <c r="W370" s="27">
        <f>'施設状況(要更新)'!$F370</f>
        <v>0</v>
      </c>
      <c r="X370" s="28"/>
      <c r="Y370" s="27"/>
    </row>
    <row r="371" spans="1:25">
      <c r="A371" s="33"/>
      <c r="B371" s="25"/>
      <c r="C371" s="25"/>
      <c r="D371" s="25"/>
      <c r="E371" s="25"/>
      <c r="F371" s="25"/>
      <c r="G371" s="25"/>
      <c r="H371" s="25"/>
      <c r="I371" s="25"/>
      <c r="J371" s="25"/>
      <c r="K371" s="25"/>
      <c r="L371" s="25"/>
      <c r="M371" s="25"/>
      <c r="N371" s="25"/>
      <c r="O371" s="25"/>
      <c r="P371" s="25"/>
      <c r="Q371" s="25"/>
      <c r="R371" s="25"/>
      <c r="S371" s="26">
        <f t="shared" si="12"/>
        <v>0</v>
      </c>
      <c r="T371" s="26">
        <f>COUNTIF($V$4:V371,V371)</f>
        <v>360</v>
      </c>
      <c r="U371" s="26" t="str">
        <f>IF(T371=1,COUNTIF($T$4:T371,1),"")</f>
        <v/>
      </c>
      <c r="V371" s="27" t="str">
        <f>'施設状況(要更新)'!$E371&amp;'施設状況(要更新)'!$C371</f>
        <v/>
      </c>
      <c r="W371" s="27">
        <f>'施設状況(要更新)'!$F371</f>
        <v>0</v>
      </c>
      <c r="X371" s="28"/>
      <c r="Y371" s="27"/>
    </row>
    <row r="372" spans="1:25">
      <c r="A372" s="33"/>
      <c r="B372" s="25"/>
      <c r="C372" s="25"/>
      <c r="D372" s="25"/>
      <c r="E372" s="25"/>
      <c r="F372" s="25"/>
      <c r="G372" s="25"/>
      <c r="H372" s="25"/>
      <c r="I372" s="25"/>
      <c r="J372" s="25"/>
      <c r="K372" s="25"/>
      <c r="L372" s="25"/>
      <c r="M372" s="25"/>
      <c r="N372" s="25"/>
      <c r="O372" s="25"/>
      <c r="P372" s="25"/>
      <c r="Q372" s="25"/>
      <c r="R372" s="25"/>
      <c r="S372" s="26">
        <f t="shared" si="12"/>
        <v>0</v>
      </c>
      <c r="T372" s="26">
        <f>COUNTIF($V$4:V372,V372)</f>
        <v>361</v>
      </c>
      <c r="U372" s="26" t="str">
        <f>IF(T372=1,COUNTIF($T$4:T372,1),"")</f>
        <v/>
      </c>
      <c r="V372" s="27" t="str">
        <f>'施設状況(要更新)'!$E372&amp;'施設状況(要更新)'!$C372</f>
        <v/>
      </c>
      <c r="W372" s="27">
        <f>'施設状況(要更新)'!$F372</f>
        <v>0</v>
      </c>
      <c r="X372" s="28"/>
      <c r="Y372" s="27"/>
    </row>
    <row r="373" spans="1:25">
      <c r="A373" s="33"/>
      <c r="B373" s="25"/>
      <c r="C373" s="25"/>
      <c r="D373" s="25"/>
      <c r="E373" s="25"/>
      <c r="F373" s="25"/>
      <c r="G373" s="25"/>
      <c r="H373" s="25"/>
      <c r="I373" s="25"/>
      <c r="J373" s="25"/>
      <c r="K373" s="25"/>
      <c r="L373" s="25"/>
      <c r="M373" s="25"/>
      <c r="N373" s="25"/>
      <c r="O373" s="25"/>
      <c r="P373" s="25"/>
      <c r="Q373" s="25"/>
      <c r="R373" s="25"/>
      <c r="S373" s="26">
        <f t="shared" si="12"/>
        <v>0</v>
      </c>
      <c r="T373" s="26">
        <f>COUNTIF($V$4:V373,V373)</f>
        <v>362</v>
      </c>
      <c r="U373" s="26" t="str">
        <f>IF(T373=1,COUNTIF($T$4:T373,1),"")</f>
        <v/>
      </c>
      <c r="V373" s="27" t="str">
        <f>'施設状況(要更新)'!$E373&amp;'施設状況(要更新)'!$C373</f>
        <v/>
      </c>
      <c r="W373" s="27">
        <f>'施設状況(要更新)'!$F373</f>
        <v>0</v>
      </c>
      <c r="X373" s="28"/>
      <c r="Y373" s="27"/>
    </row>
    <row r="374" spans="1:25">
      <c r="A374" s="33"/>
      <c r="B374" s="25"/>
      <c r="C374" s="25"/>
      <c r="D374" s="25"/>
      <c r="E374" s="25"/>
      <c r="F374" s="25"/>
      <c r="G374" s="25"/>
      <c r="H374" s="25"/>
      <c r="I374" s="25"/>
      <c r="J374" s="25"/>
      <c r="K374" s="25"/>
      <c r="L374" s="25"/>
      <c r="M374" s="25"/>
      <c r="N374" s="25"/>
      <c r="O374" s="25"/>
      <c r="P374" s="25"/>
      <c r="Q374" s="25"/>
      <c r="R374" s="25"/>
      <c r="S374" s="26">
        <f t="shared" si="12"/>
        <v>0</v>
      </c>
      <c r="T374" s="26">
        <f>COUNTIF($V$4:V374,V374)</f>
        <v>363</v>
      </c>
      <c r="U374" s="26" t="str">
        <f>IF(T374=1,COUNTIF($T$4:T374,1),"")</f>
        <v/>
      </c>
      <c r="V374" s="27" t="str">
        <f>'施設状況(要更新)'!$E374&amp;'施設状況(要更新)'!$C374</f>
        <v/>
      </c>
      <c r="W374" s="27">
        <f>'施設状況(要更新)'!$F374</f>
        <v>0</v>
      </c>
      <c r="X374" s="28"/>
      <c r="Y374" s="27"/>
    </row>
    <row r="375" spans="1:25">
      <c r="A375" s="33"/>
      <c r="B375" s="25"/>
      <c r="C375" s="25"/>
      <c r="D375" s="25"/>
      <c r="E375" s="25"/>
      <c r="F375" s="25"/>
      <c r="G375" s="25"/>
      <c r="H375" s="25"/>
      <c r="I375" s="25"/>
      <c r="J375" s="25"/>
      <c r="K375" s="25"/>
      <c r="L375" s="25"/>
      <c r="M375" s="25"/>
      <c r="N375" s="25"/>
      <c r="O375" s="25"/>
      <c r="P375" s="25"/>
      <c r="Q375" s="25"/>
      <c r="R375" s="25"/>
      <c r="S375" s="26">
        <f t="shared" si="12"/>
        <v>0</v>
      </c>
      <c r="T375" s="26">
        <f>COUNTIF($V$4:V375,V375)</f>
        <v>364</v>
      </c>
      <c r="U375" s="26" t="str">
        <f>IF(T375=1,COUNTIF($T$4:T375,1),"")</f>
        <v/>
      </c>
      <c r="V375" s="27" t="str">
        <f>'施設状況(要更新)'!$E375&amp;'施設状況(要更新)'!$C375</f>
        <v/>
      </c>
      <c r="W375" s="27">
        <f>'施設状況(要更新)'!$F375</f>
        <v>0</v>
      </c>
      <c r="X375" s="28"/>
      <c r="Y375" s="27"/>
    </row>
    <row r="376" spans="1:25">
      <c r="A376" s="33"/>
      <c r="B376" s="25"/>
      <c r="C376" s="25"/>
      <c r="D376" s="25"/>
      <c r="E376" s="25"/>
      <c r="F376" s="25"/>
      <c r="G376" s="25"/>
      <c r="H376" s="25"/>
      <c r="I376" s="25"/>
      <c r="J376" s="25"/>
      <c r="K376" s="25"/>
      <c r="L376" s="25"/>
      <c r="M376" s="25"/>
      <c r="N376" s="25"/>
      <c r="O376" s="25"/>
      <c r="P376" s="25"/>
      <c r="Q376" s="25"/>
      <c r="R376" s="25"/>
      <c r="S376" s="26">
        <f t="shared" si="12"/>
        <v>0</v>
      </c>
      <c r="T376" s="26">
        <f>COUNTIF($V$4:V376,V376)</f>
        <v>365</v>
      </c>
      <c r="U376" s="26" t="str">
        <f>IF(T376=1,COUNTIF($T$4:T376,1),"")</f>
        <v/>
      </c>
      <c r="V376" s="27" t="str">
        <f>'施設状況(要更新)'!$E376&amp;'施設状況(要更新)'!$C376</f>
        <v/>
      </c>
      <c r="W376" s="27">
        <f>'施設状況(要更新)'!$F376</f>
        <v>0</v>
      </c>
      <c r="X376" s="28"/>
      <c r="Y376" s="27"/>
    </row>
    <row r="377" spans="1:25">
      <c r="A377" s="33"/>
      <c r="B377" s="25"/>
      <c r="C377" s="25"/>
      <c r="D377" s="25"/>
      <c r="E377" s="25"/>
      <c r="F377" s="25"/>
      <c r="G377" s="25"/>
      <c r="H377" s="25"/>
      <c r="I377" s="25"/>
      <c r="J377" s="25"/>
      <c r="K377" s="25"/>
      <c r="L377" s="25"/>
      <c r="M377" s="25"/>
      <c r="N377" s="25"/>
      <c r="O377" s="25"/>
      <c r="P377" s="25"/>
      <c r="Q377" s="25"/>
      <c r="R377" s="25"/>
      <c r="S377" s="26">
        <f t="shared" si="12"/>
        <v>0</v>
      </c>
      <c r="T377" s="26">
        <f>COUNTIF($V$4:V377,V377)</f>
        <v>366</v>
      </c>
      <c r="U377" s="26" t="str">
        <f>IF(T377=1,COUNTIF($T$4:T377,1),"")</f>
        <v/>
      </c>
      <c r="V377" s="27" t="str">
        <f>'施設状況(要更新)'!$E377&amp;'施設状況(要更新)'!$C377</f>
        <v/>
      </c>
      <c r="W377" s="27">
        <f>'施設状況(要更新)'!$F377</f>
        <v>0</v>
      </c>
      <c r="X377" s="28"/>
      <c r="Y377" s="27"/>
    </row>
    <row r="378" spans="1:25">
      <c r="A378" s="33"/>
      <c r="B378" s="25"/>
      <c r="C378" s="25"/>
      <c r="D378" s="25"/>
      <c r="E378" s="25"/>
      <c r="F378" s="25"/>
      <c r="G378" s="25"/>
      <c r="H378" s="25"/>
      <c r="I378" s="25"/>
      <c r="J378" s="25"/>
      <c r="K378" s="25"/>
      <c r="L378" s="25"/>
      <c r="M378" s="25"/>
      <c r="N378" s="25"/>
      <c r="O378" s="25"/>
      <c r="P378" s="25"/>
      <c r="Q378" s="25"/>
      <c r="R378" s="25"/>
      <c r="S378" s="26">
        <f t="shared" si="12"/>
        <v>0</v>
      </c>
      <c r="T378" s="26">
        <f>COUNTIF($V$4:V378,V378)</f>
        <v>367</v>
      </c>
      <c r="U378" s="26" t="str">
        <f>IF(T378=1,COUNTIF($T$4:T378,1),"")</f>
        <v/>
      </c>
      <c r="V378" s="27" t="str">
        <f>'施設状況(要更新)'!$E378&amp;'施設状況(要更新)'!$C378</f>
        <v/>
      </c>
      <c r="W378" s="27">
        <f>'施設状況(要更新)'!$F378</f>
        <v>0</v>
      </c>
      <c r="X378" s="28"/>
      <c r="Y378" s="27"/>
    </row>
    <row r="379" spans="1:25">
      <c r="A379" s="33"/>
      <c r="B379" s="25"/>
      <c r="C379" s="25"/>
      <c r="D379" s="25"/>
      <c r="E379" s="25"/>
      <c r="F379" s="25"/>
      <c r="G379" s="25"/>
      <c r="H379" s="25"/>
      <c r="I379" s="25"/>
      <c r="J379" s="25"/>
      <c r="K379" s="25"/>
      <c r="L379" s="25"/>
      <c r="M379" s="25"/>
      <c r="N379" s="25"/>
      <c r="O379" s="25"/>
      <c r="P379" s="25"/>
      <c r="Q379" s="25"/>
      <c r="R379" s="25"/>
      <c r="S379" s="26">
        <f t="shared" si="12"/>
        <v>0</v>
      </c>
      <c r="T379" s="26">
        <f>COUNTIF($V$4:V379,V379)</f>
        <v>368</v>
      </c>
      <c r="U379" s="26" t="str">
        <f>IF(T379=1,COUNTIF($T$4:T379,1),"")</f>
        <v/>
      </c>
      <c r="V379" s="27" t="str">
        <f>'施設状況(要更新)'!$E379&amp;'施設状況(要更新)'!$C379</f>
        <v/>
      </c>
      <c r="W379" s="27">
        <f>'施設状況(要更新)'!$F379</f>
        <v>0</v>
      </c>
      <c r="X379" s="28"/>
      <c r="Y379" s="27"/>
    </row>
    <row r="380" spans="1:25">
      <c r="A380" s="33"/>
      <c r="B380" s="25"/>
      <c r="C380" s="25"/>
      <c r="D380" s="25"/>
      <c r="E380" s="25"/>
      <c r="F380" s="25"/>
      <c r="G380" s="25"/>
      <c r="H380" s="25"/>
      <c r="I380" s="25"/>
      <c r="J380" s="25"/>
      <c r="K380" s="25"/>
      <c r="L380" s="25"/>
      <c r="M380" s="25"/>
      <c r="N380" s="25"/>
      <c r="O380" s="25"/>
      <c r="P380" s="25"/>
      <c r="Q380" s="25"/>
      <c r="R380" s="25"/>
      <c r="S380" s="26">
        <f t="shared" si="12"/>
        <v>0</v>
      </c>
      <c r="T380" s="26">
        <f>COUNTIF($V$4:V380,V380)</f>
        <v>369</v>
      </c>
      <c r="U380" s="26" t="str">
        <f>IF(T380=1,COUNTIF($T$4:T380,1),"")</f>
        <v/>
      </c>
      <c r="V380" s="27" t="str">
        <f>'施設状況(要更新)'!$E380&amp;'施設状況(要更新)'!$C380</f>
        <v/>
      </c>
      <c r="W380" s="27">
        <f>'施設状況(要更新)'!$F380</f>
        <v>0</v>
      </c>
      <c r="X380" s="28"/>
      <c r="Y380" s="27"/>
    </row>
    <row r="381" spans="1:25">
      <c r="A381" s="33"/>
      <c r="B381" s="25"/>
      <c r="C381" s="25"/>
      <c r="D381" s="25"/>
      <c r="E381" s="25"/>
      <c r="F381" s="25"/>
      <c r="G381" s="25"/>
      <c r="H381" s="25"/>
      <c r="I381" s="25"/>
      <c r="J381" s="25"/>
      <c r="K381" s="25"/>
      <c r="L381" s="25"/>
      <c r="M381" s="25"/>
      <c r="N381" s="25"/>
      <c r="O381" s="25"/>
      <c r="P381" s="25"/>
      <c r="Q381" s="25"/>
      <c r="R381" s="25"/>
      <c r="S381" s="26">
        <f t="shared" si="12"/>
        <v>0</v>
      </c>
      <c r="T381" s="26">
        <f>COUNTIF($V$4:V381,V381)</f>
        <v>370</v>
      </c>
      <c r="U381" s="26" t="str">
        <f>IF(T381=1,COUNTIF($T$4:T381,1),"")</f>
        <v/>
      </c>
      <c r="V381" s="27" t="str">
        <f>'施設状況(要更新)'!$E381&amp;'施設状況(要更新)'!$C381</f>
        <v/>
      </c>
      <c r="W381" s="27">
        <f>'施設状況(要更新)'!$F381</f>
        <v>0</v>
      </c>
      <c r="X381" s="28"/>
      <c r="Y381" s="27"/>
    </row>
    <row r="382" spans="1:25">
      <c r="A382" s="33"/>
      <c r="B382" s="25"/>
      <c r="C382" s="25"/>
      <c r="D382" s="25"/>
      <c r="E382" s="25"/>
      <c r="F382" s="25"/>
      <c r="G382" s="25"/>
      <c r="H382" s="25"/>
      <c r="I382" s="25"/>
      <c r="J382" s="25"/>
      <c r="K382" s="25"/>
      <c r="L382" s="25"/>
      <c r="M382" s="25"/>
      <c r="N382" s="25"/>
      <c r="O382" s="25"/>
      <c r="P382" s="25"/>
      <c r="Q382" s="25"/>
      <c r="R382" s="25"/>
      <c r="S382" s="26">
        <f t="shared" si="12"/>
        <v>0</v>
      </c>
      <c r="T382" s="26">
        <f>COUNTIF($V$4:V382,V382)</f>
        <v>371</v>
      </c>
      <c r="U382" s="26" t="str">
        <f>IF(T382=1,COUNTIF($T$4:T382,1),"")</f>
        <v/>
      </c>
      <c r="V382" s="27" t="str">
        <f>'施設状況(要更新)'!$E382&amp;'施設状況(要更新)'!$C382</f>
        <v/>
      </c>
      <c r="W382" s="27">
        <f>'施設状況(要更新)'!$F382</f>
        <v>0</v>
      </c>
      <c r="X382" s="28"/>
      <c r="Y382" s="27"/>
    </row>
    <row r="383" spans="1:25">
      <c r="A383" s="33"/>
      <c r="B383" s="25"/>
      <c r="C383" s="25"/>
      <c r="D383" s="25"/>
      <c r="E383" s="25"/>
      <c r="F383" s="25"/>
      <c r="G383" s="25"/>
      <c r="H383" s="25"/>
      <c r="I383" s="25"/>
      <c r="J383" s="25"/>
      <c r="K383" s="25"/>
      <c r="L383" s="25"/>
      <c r="M383" s="25"/>
      <c r="N383" s="25"/>
      <c r="O383" s="25"/>
      <c r="P383" s="25"/>
      <c r="Q383" s="25"/>
      <c r="R383" s="25"/>
      <c r="S383" s="26">
        <f t="shared" si="12"/>
        <v>0</v>
      </c>
      <c r="T383" s="26">
        <f>COUNTIF($V$4:V383,V383)</f>
        <v>372</v>
      </c>
      <c r="U383" s="26" t="str">
        <f>IF(T383=1,COUNTIF($T$4:T383,1),"")</f>
        <v/>
      </c>
      <c r="V383" s="27" t="str">
        <f>'施設状況(要更新)'!$E383&amp;'施設状況(要更新)'!$C383</f>
        <v/>
      </c>
      <c r="W383" s="27">
        <f>'施設状況(要更新)'!$F383</f>
        <v>0</v>
      </c>
      <c r="X383" s="28"/>
      <c r="Y383" s="27"/>
    </row>
    <row r="384" spans="1:25">
      <c r="A384" s="33"/>
      <c r="B384" s="25"/>
      <c r="C384" s="25"/>
      <c r="D384" s="25"/>
      <c r="E384" s="25"/>
      <c r="F384" s="25"/>
      <c r="G384" s="25"/>
      <c r="H384" s="25"/>
      <c r="I384" s="25"/>
      <c r="J384" s="25"/>
      <c r="K384" s="25"/>
      <c r="L384" s="25"/>
      <c r="M384" s="25"/>
      <c r="N384" s="25"/>
      <c r="O384" s="25"/>
      <c r="P384" s="25"/>
      <c r="Q384" s="25"/>
      <c r="R384" s="25"/>
      <c r="S384" s="26">
        <f t="shared" si="12"/>
        <v>0</v>
      </c>
      <c r="T384" s="26">
        <f>COUNTIF($V$4:V384,V384)</f>
        <v>373</v>
      </c>
      <c r="U384" s="26" t="str">
        <f>IF(T384=1,COUNTIF($T$4:T384,1),"")</f>
        <v/>
      </c>
      <c r="V384" s="27" t="str">
        <f>'施設状況(要更新)'!$E384&amp;'施設状況(要更新)'!$C384</f>
        <v/>
      </c>
      <c r="W384" s="27">
        <f>'施設状況(要更新)'!$F384</f>
        <v>0</v>
      </c>
      <c r="X384" s="28"/>
      <c r="Y384" s="27"/>
    </row>
    <row r="385" spans="1:33">
      <c r="A385" s="33"/>
      <c r="B385" s="25"/>
      <c r="C385" s="25"/>
      <c r="D385" s="25"/>
      <c r="E385" s="25"/>
      <c r="F385" s="25"/>
      <c r="G385" s="25"/>
      <c r="H385" s="25"/>
      <c r="I385" s="25"/>
      <c r="J385" s="25"/>
      <c r="K385" s="25"/>
      <c r="L385" s="25"/>
      <c r="M385" s="25"/>
      <c r="N385" s="25"/>
      <c r="O385" s="25"/>
      <c r="P385" s="25"/>
      <c r="Q385" s="25"/>
      <c r="R385" s="25"/>
      <c r="S385" s="26">
        <f t="shared" si="12"/>
        <v>0</v>
      </c>
      <c r="T385" s="26">
        <f>COUNTIF($V$4:V385,V385)</f>
        <v>374</v>
      </c>
      <c r="U385" s="26" t="str">
        <f>IF(T385=1,COUNTIF($T$4:T385,1),"")</f>
        <v/>
      </c>
      <c r="V385" s="27" t="str">
        <f>'施設状況(要更新)'!$E385&amp;'施設状況(要更新)'!$C385</f>
        <v/>
      </c>
      <c r="W385" s="27">
        <f>'施設状況(要更新)'!$F385</f>
        <v>0</v>
      </c>
      <c r="X385" s="28"/>
      <c r="Y385" s="27"/>
    </row>
    <row r="386" spans="1:33">
      <c r="A386" s="33"/>
      <c r="B386" s="25"/>
      <c r="C386" s="25"/>
      <c r="D386" s="25"/>
      <c r="E386" s="25"/>
      <c r="F386" s="25"/>
      <c r="G386" s="25"/>
      <c r="H386" s="25"/>
      <c r="I386" s="25"/>
      <c r="J386" s="25"/>
      <c r="K386" s="25"/>
      <c r="L386" s="25"/>
      <c r="M386" s="25"/>
      <c r="N386" s="25"/>
      <c r="O386" s="25"/>
      <c r="P386" s="25"/>
      <c r="Q386" s="25"/>
      <c r="R386" s="25"/>
      <c r="S386" s="26">
        <f t="shared" si="12"/>
        <v>0</v>
      </c>
      <c r="T386" s="26">
        <f>COUNTIF($V$4:V386,V386)</f>
        <v>375</v>
      </c>
      <c r="U386" s="26" t="str">
        <f>IF(T386=1,COUNTIF($T$4:T386,1),"")</f>
        <v/>
      </c>
      <c r="V386" s="27" t="str">
        <f>'施設状況(要更新)'!$E386&amp;'施設状況(要更新)'!$C386</f>
        <v/>
      </c>
      <c r="W386" s="27">
        <f>'施設状況(要更新)'!$F386</f>
        <v>0</v>
      </c>
      <c r="X386" s="28"/>
      <c r="Y386" s="27"/>
    </row>
    <row r="387" spans="1:33">
      <c r="A387" s="33"/>
      <c r="B387" s="25"/>
      <c r="C387" s="25"/>
      <c r="D387" s="25"/>
      <c r="E387" s="25"/>
      <c r="F387" s="25"/>
      <c r="G387" s="25"/>
      <c r="H387" s="25"/>
      <c r="I387" s="25"/>
      <c r="J387" s="25"/>
      <c r="K387" s="25"/>
      <c r="L387" s="25"/>
      <c r="M387" s="25"/>
      <c r="N387" s="25"/>
      <c r="O387" s="25"/>
      <c r="P387" s="25"/>
      <c r="Q387" s="25"/>
      <c r="R387" s="25"/>
      <c r="S387" s="26">
        <f t="shared" si="12"/>
        <v>0</v>
      </c>
      <c r="T387" s="26">
        <f>COUNTIF($V$4:V387,V387)</f>
        <v>376</v>
      </c>
      <c r="U387" s="26" t="str">
        <f>IF(T387=1,COUNTIF($T$4:T387,1),"")</f>
        <v/>
      </c>
      <c r="V387" s="27" t="str">
        <f>'施設状況(要更新)'!$E387&amp;'施設状況(要更新)'!$C387</f>
        <v/>
      </c>
      <c r="W387" s="27">
        <f>'施設状況(要更新)'!$F387</f>
        <v>0</v>
      </c>
      <c r="X387" s="28"/>
      <c r="Y387" s="27"/>
    </row>
    <row r="388" spans="1:33">
      <c r="A388" s="33"/>
      <c r="B388" s="25"/>
      <c r="C388" s="25"/>
      <c r="D388" s="25"/>
      <c r="E388" s="25"/>
      <c r="F388" s="25"/>
      <c r="G388" s="25"/>
      <c r="H388" s="25"/>
      <c r="I388" s="25"/>
      <c r="J388" s="25"/>
      <c r="K388" s="25"/>
      <c r="L388" s="25"/>
      <c r="M388" s="25"/>
      <c r="N388" s="25"/>
      <c r="O388" s="25"/>
      <c r="P388" s="25"/>
      <c r="Q388" s="25"/>
      <c r="R388" s="25"/>
      <c r="S388" s="26">
        <f t="shared" si="12"/>
        <v>0</v>
      </c>
      <c r="T388" s="26">
        <f>COUNTIF($V$4:V388,V388)</f>
        <v>377</v>
      </c>
      <c r="U388" s="26" t="str">
        <f>IF(T388=1,COUNTIF($T$4:T388,1),"")</f>
        <v/>
      </c>
      <c r="V388" s="27" t="str">
        <f>'施設状況(要更新)'!$E388&amp;'施設状況(要更新)'!$C388</f>
        <v/>
      </c>
      <c r="W388" s="27">
        <f>'施設状況(要更新)'!$F388</f>
        <v>0</v>
      </c>
      <c r="X388" s="28"/>
      <c r="Y388" s="27"/>
    </row>
    <row r="389" spans="1:33">
      <c r="A389" s="33"/>
      <c r="B389" s="25"/>
      <c r="C389" s="25"/>
      <c r="D389" s="25"/>
      <c r="E389" s="25"/>
      <c r="F389" s="25"/>
      <c r="G389" s="25"/>
      <c r="H389" s="25"/>
      <c r="I389" s="25"/>
      <c r="J389" s="25"/>
      <c r="K389" s="25"/>
      <c r="L389" s="25"/>
      <c r="M389" s="25"/>
      <c r="N389" s="25"/>
      <c r="O389" s="25"/>
      <c r="P389" s="25"/>
      <c r="Q389" s="25"/>
      <c r="R389" s="25"/>
      <c r="S389" s="26">
        <f t="shared" ref="S389:S452" si="13">A389</f>
        <v>0</v>
      </c>
      <c r="T389" s="26">
        <f>COUNTIF($V$4:V389,V389)</f>
        <v>378</v>
      </c>
      <c r="U389" s="26" t="str">
        <f>IF(T389=1,COUNTIF($T$4:T389,1),"")</f>
        <v/>
      </c>
      <c r="V389" s="27" t="str">
        <f>'施設状況(要更新)'!$E389&amp;'施設状況(要更新)'!$C389</f>
        <v/>
      </c>
      <c r="W389" s="27">
        <f>'施設状況(要更新)'!$F389</f>
        <v>0</v>
      </c>
      <c r="X389" s="28"/>
      <c r="Y389" s="27"/>
    </row>
    <row r="390" spans="1:33">
      <c r="A390" s="33"/>
      <c r="B390" s="25"/>
      <c r="C390" s="25"/>
      <c r="D390" s="25"/>
      <c r="E390" s="25"/>
      <c r="F390" s="25"/>
      <c r="G390" s="25"/>
      <c r="H390" s="25"/>
      <c r="I390" s="25"/>
      <c r="J390" s="25"/>
      <c r="K390" s="25"/>
      <c r="L390" s="25"/>
      <c r="M390" s="25"/>
      <c r="N390" s="25"/>
      <c r="O390" s="25"/>
      <c r="P390" s="25"/>
      <c r="Q390" s="25"/>
      <c r="R390" s="25"/>
      <c r="S390" s="26">
        <f t="shared" si="13"/>
        <v>0</v>
      </c>
      <c r="T390" s="26">
        <f>COUNTIF($V$4:V390,V390)</f>
        <v>379</v>
      </c>
      <c r="U390" s="26" t="str">
        <f>IF(T390=1,COUNTIF($T$4:T390,1),"")</f>
        <v/>
      </c>
      <c r="V390" s="27" t="str">
        <f>'施設状況(要更新)'!$E390&amp;'施設状況(要更新)'!$C390</f>
        <v/>
      </c>
      <c r="W390" s="27">
        <f>'施設状況(要更新)'!$F390</f>
        <v>0</v>
      </c>
      <c r="X390" s="28"/>
      <c r="Y390" s="27"/>
    </row>
    <row r="391" spans="1:33">
      <c r="A391" s="33"/>
      <c r="B391" s="25"/>
      <c r="C391" s="25"/>
      <c r="D391" s="25"/>
      <c r="E391" s="25"/>
      <c r="F391" s="25"/>
      <c r="G391" s="25"/>
      <c r="H391" s="25"/>
      <c r="I391" s="25"/>
      <c r="J391" s="25"/>
      <c r="K391" s="25"/>
      <c r="L391" s="25"/>
      <c r="M391" s="25"/>
      <c r="N391" s="25"/>
      <c r="O391" s="25"/>
      <c r="P391" s="25"/>
      <c r="Q391" s="25"/>
      <c r="R391" s="25"/>
      <c r="S391" s="26">
        <f t="shared" si="13"/>
        <v>0</v>
      </c>
      <c r="T391" s="26">
        <f>COUNTIF($V$4:V391,V391)</f>
        <v>380</v>
      </c>
      <c r="U391" s="26" t="str">
        <f>IF(T391=1,COUNTIF($T$4:T391,1),"")</f>
        <v/>
      </c>
      <c r="V391" s="27" t="str">
        <f>'施設状況(要更新)'!$E391&amp;'施設状況(要更新)'!$C391</f>
        <v/>
      </c>
      <c r="W391" s="27">
        <f>'施設状況(要更新)'!$F391</f>
        <v>0</v>
      </c>
      <c r="X391" s="28"/>
      <c r="Y391" s="27"/>
    </row>
    <row r="392" spans="1:33">
      <c r="A392" s="33"/>
      <c r="B392" s="25"/>
      <c r="C392" s="25"/>
      <c r="D392" s="25"/>
      <c r="E392" s="25"/>
      <c r="F392" s="25"/>
      <c r="G392" s="25"/>
      <c r="H392" s="25"/>
      <c r="I392" s="25"/>
      <c r="J392" s="25"/>
      <c r="K392" s="25"/>
      <c r="L392" s="25"/>
      <c r="M392" s="25"/>
      <c r="N392" s="25"/>
      <c r="O392" s="25"/>
      <c r="P392" s="25"/>
      <c r="Q392" s="25"/>
      <c r="R392" s="25"/>
      <c r="S392" s="26">
        <f t="shared" si="13"/>
        <v>0</v>
      </c>
      <c r="T392" s="26">
        <f>COUNTIF($V$4:V392,V392)</f>
        <v>381</v>
      </c>
      <c r="U392" s="26" t="str">
        <f>IF(T392=1,COUNTIF($T$4:T392,1),"")</f>
        <v/>
      </c>
      <c r="V392" s="27" t="str">
        <f>'施設状況(要更新)'!$E392&amp;'施設状況(要更新)'!$C392</f>
        <v/>
      </c>
      <c r="W392" s="27">
        <f>'施設状況(要更新)'!$F392</f>
        <v>0</v>
      </c>
      <c r="X392" s="28"/>
      <c r="Y392" s="27"/>
    </row>
    <row r="393" spans="1:33">
      <c r="A393" s="33"/>
      <c r="B393" s="25"/>
      <c r="C393" s="25"/>
      <c r="D393" s="25"/>
      <c r="E393" s="25"/>
      <c r="F393" s="25"/>
      <c r="G393" s="25"/>
      <c r="H393" s="25"/>
      <c r="I393" s="25"/>
      <c r="J393" s="25"/>
      <c r="K393" s="25"/>
      <c r="L393" s="25"/>
      <c r="M393" s="25"/>
      <c r="N393" s="25"/>
      <c r="O393" s="25"/>
      <c r="P393" s="25"/>
      <c r="Q393" s="25"/>
      <c r="R393" s="25"/>
      <c r="S393" s="26">
        <f t="shared" si="13"/>
        <v>0</v>
      </c>
      <c r="T393" s="26">
        <f>COUNTIF($V$4:V393,V393)</f>
        <v>382</v>
      </c>
      <c r="U393" s="26" t="str">
        <f>IF(T393=1,COUNTIF($T$4:T393,1),"")</f>
        <v/>
      </c>
      <c r="V393" s="27" t="str">
        <f>'施設状況(要更新)'!$E393&amp;'施設状況(要更新)'!$C393</f>
        <v/>
      </c>
      <c r="W393" s="27">
        <f>'施設状況(要更新)'!$F393</f>
        <v>0</v>
      </c>
      <c r="X393" s="28"/>
      <c r="Y393" s="27"/>
    </row>
    <row r="394" spans="1:33">
      <c r="A394" s="33"/>
      <c r="B394" s="25"/>
      <c r="C394" s="25"/>
      <c r="D394" s="25"/>
      <c r="E394" s="25"/>
      <c r="F394" s="25"/>
      <c r="G394" s="25"/>
      <c r="H394" s="25"/>
      <c r="I394" s="25"/>
      <c r="J394" s="25"/>
      <c r="K394" s="25"/>
      <c r="L394" s="25"/>
      <c r="M394" s="25"/>
      <c r="N394" s="25"/>
      <c r="O394" s="25"/>
      <c r="P394" s="25"/>
      <c r="Q394" s="25"/>
      <c r="R394" s="25"/>
      <c r="S394" s="26">
        <f t="shared" si="13"/>
        <v>0</v>
      </c>
      <c r="T394" s="26">
        <f>COUNTIF($V$4:V394,V394)</f>
        <v>383</v>
      </c>
      <c r="U394" s="26" t="str">
        <f>IF(T394=1,COUNTIF($T$4:T394,1),"")</f>
        <v/>
      </c>
      <c r="V394" s="27" t="str">
        <f>'施設状況(要更新)'!$E394&amp;'施設状況(要更新)'!$C394</f>
        <v/>
      </c>
      <c r="W394" s="27">
        <f>'施設状況(要更新)'!$F394</f>
        <v>0</v>
      </c>
      <c r="X394" s="28"/>
      <c r="Y394" s="27"/>
    </row>
    <row r="395" spans="1:33">
      <c r="A395" s="33"/>
      <c r="B395" s="25"/>
      <c r="C395" s="25"/>
      <c r="D395" s="25"/>
      <c r="E395" s="25"/>
      <c r="F395" s="25"/>
      <c r="G395" s="25"/>
      <c r="H395" s="25"/>
      <c r="I395" s="25"/>
      <c r="J395" s="25"/>
      <c r="K395" s="25"/>
      <c r="L395" s="25"/>
      <c r="M395" s="25"/>
      <c r="N395" s="25"/>
      <c r="O395" s="25"/>
      <c r="P395" s="25"/>
      <c r="Q395" s="25"/>
      <c r="R395" s="25"/>
      <c r="S395" s="26">
        <f t="shared" si="13"/>
        <v>0</v>
      </c>
      <c r="T395" s="26">
        <f>COUNTIF($V$4:V395,V395)</f>
        <v>384</v>
      </c>
      <c r="U395" s="26" t="str">
        <f>IF(T395=1,COUNTIF($T$4:T395,1),"")</f>
        <v/>
      </c>
      <c r="V395" s="27" t="str">
        <f>'施設状況(要更新)'!$E395&amp;'施設状況(要更新)'!$C395</f>
        <v/>
      </c>
      <c r="W395" s="27">
        <f>'施設状況(要更新)'!$F395</f>
        <v>0</v>
      </c>
      <c r="X395" s="28"/>
      <c r="Y395" s="27"/>
    </row>
    <row r="396" spans="1:33">
      <c r="A396" s="33"/>
      <c r="B396" s="25"/>
      <c r="C396" s="25"/>
      <c r="D396" s="25"/>
      <c r="E396" s="25"/>
      <c r="F396" s="25"/>
      <c r="G396" s="25"/>
      <c r="H396" s="25"/>
      <c r="I396" s="25"/>
      <c r="J396" s="25"/>
      <c r="K396" s="25"/>
      <c r="L396" s="25"/>
      <c r="M396" s="25"/>
      <c r="N396" s="25"/>
      <c r="O396" s="25"/>
      <c r="P396" s="25"/>
      <c r="Q396" s="25"/>
      <c r="R396" s="25"/>
      <c r="S396" s="26">
        <f t="shared" si="13"/>
        <v>0</v>
      </c>
      <c r="T396" s="26">
        <f>COUNTIF($V$4:V396,V396)</f>
        <v>385</v>
      </c>
      <c r="U396" s="26" t="str">
        <f>IF(T396=1,COUNTIF($T$4:T396,1),"")</f>
        <v/>
      </c>
      <c r="V396" s="27" t="str">
        <f>'施設状況(要更新)'!$E396&amp;'施設状況(要更新)'!$C396</f>
        <v/>
      </c>
      <c r="W396" s="27">
        <f>'施設状況(要更新)'!$F396</f>
        <v>0</v>
      </c>
      <c r="X396" s="28"/>
      <c r="Y396" s="27"/>
    </row>
    <row r="397" spans="1:33">
      <c r="A397" s="33"/>
      <c r="B397" s="25"/>
      <c r="C397" s="25"/>
      <c r="D397" s="25"/>
      <c r="E397" s="25"/>
      <c r="F397" s="25"/>
      <c r="G397" s="25"/>
      <c r="H397" s="25"/>
      <c r="I397" s="25"/>
      <c r="J397" s="25"/>
      <c r="K397" s="25"/>
      <c r="L397" s="25"/>
      <c r="M397" s="25"/>
      <c r="N397" s="25"/>
      <c r="O397" s="25"/>
      <c r="P397" s="25"/>
      <c r="Q397" s="25"/>
      <c r="R397" s="25"/>
      <c r="S397" s="26">
        <f t="shared" si="13"/>
        <v>0</v>
      </c>
      <c r="T397" s="26">
        <f>COUNTIF($V$4:V397,V397)</f>
        <v>386</v>
      </c>
      <c r="U397" s="26" t="str">
        <f>IF(T397=1,COUNTIF($T$4:T397,1),"")</f>
        <v/>
      </c>
      <c r="V397" s="27" t="str">
        <f>'施設状況(要更新)'!$E397&amp;'施設状況(要更新)'!$C397</f>
        <v/>
      </c>
      <c r="W397" s="27">
        <f>'施設状況(要更新)'!$F397</f>
        <v>0</v>
      </c>
      <c r="X397" s="28"/>
      <c r="Y397" s="27"/>
      <c r="Z397" s="27"/>
      <c r="AA397" s="27"/>
      <c r="AB397" s="27"/>
      <c r="AC397" s="27"/>
      <c r="AD397" s="27"/>
      <c r="AE397" s="27"/>
      <c r="AF397" s="27"/>
      <c r="AG397" s="27"/>
    </row>
    <row r="398" spans="1:33">
      <c r="A398" s="33"/>
      <c r="B398" s="25"/>
      <c r="C398" s="25"/>
      <c r="D398" s="25"/>
      <c r="E398" s="25"/>
      <c r="F398" s="25"/>
      <c r="G398" s="25"/>
      <c r="H398" s="25"/>
      <c r="I398" s="25"/>
      <c r="J398" s="25"/>
      <c r="K398" s="25"/>
      <c r="L398" s="25"/>
      <c r="M398" s="25"/>
      <c r="N398" s="25"/>
      <c r="O398" s="25"/>
      <c r="P398" s="25"/>
      <c r="Q398" s="25"/>
      <c r="R398" s="25"/>
      <c r="S398" s="26">
        <f t="shared" si="13"/>
        <v>0</v>
      </c>
      <c r="T398" s="26">
        <f>COUNTIF($V$4:V398,V398)</f>
        <v>387</v>
      </c>
      <c r="U398" s="26" t="str">
        <f>IF(T398=1,COUNTIF($T$4:T398,1),"")</f>
        <v/>
      </c>
      <c r="V398" s="27" t="str">
        <f>'施設状況(要更新)'!$E398&amp;'施設状況(要更新)'!$C398</f>
        <v/>
      </c>
      <c r="W398" s="27">
        <f>'施設状況(要更新)'!$F398</f>
        <v>0</v>
      </c>
      <c r="X398" s="28"/>
      <c r="Y398" s="27"/>
    </row>
    <row r="399" spans="1:33">
      <c r="A399" s="33"/>
      <c r="B399" s="25"/>
      <c r="C399" s="25"/>
      <c r="D399" s="25"/>
      <c r="E399" s="25"/>
      <c r="F399" s="25"/>
      <c r="G399" s="25"/>
      <c r="H399" s="25"/>
      <c r="I399" s="25"/>
      <c r="J399" s="25"/>
      <c r="K399" s="25"/>
      <c r="L399" s="25"/>
      <c r="M399" s="25"/>
      <c r="N399" s="25"/>
      <c r="O399" s="25"/>
      <c r="P399" s="25"/>
      <c r="Q399" s="25"/>
      <c r="R399" s="25"/>
      <c r="S399" s="26">
        <f t="shared" si="13"/>
        <v>0</v>
      </c>
      <c r="T399" s="26">
        <f>COUNTIF($V$4:V399,V399)</f>
        <v>388</v>
      </c>
      <c r="U399" s="26" t="str">
        <f>IF(T399=1,COUNTIF($T$4:T399,1),"")</f>
        <v/>
      </c>
      <c r="V399" s="27" t="str">
        <f>'施設状況(要更新)'!$E399&amp;'施設状況(要更新)'!$C399</f>
        <v/>
      </c>
      <c r="W399" s="27">
        <f>'施設状況(要更新)'!$F399</f>
        <v>0</v>
      </c>
      <c r="X399" s="28"/>
      <c r="Y399" s="27"/>
    </row>
    <row r="400" spans="1:33">
      <c r="A400" s="33"/>
      <c r="B400" s="25"/>
      <c r="C400" s="25"/>
      <c r="D400" s="25"/>
      <c r="E400" s="25"/>
      <c r="F400" s="25"/>
      <c r="G400" s="25"/>
      <c r="H400" s="25"/>
      <c r="I400" s="25"/>
      <c r="J400" s="25"/>
      <c r="K400" s="25"/>
      <c r="L400" s="25"/>
      <c r="M400" s="25"/>
      <c r="N400" s="25"/>
      <c r="O400" s="25"/>
      <c r="P400" s="25"/>
      <c r="Q400" s="25"/>
      <c r="R400" s="25"/>
      <c r="S400" s="26">
        <f t="shared" si="13"/>
        <v>0</v>
      </c>
      <c r="T400" s="26">
        <f>COUNTIF($V$4:V400,V400)</f>
        <v>389</v>
      </c>
      <c r="U400" s="26" t="str">
        <f>IF(T400=1,COUNTIF($T$4:T400,1),"")</f>
        <v/>
      </c>
      <c r="V400" s="27" t="str">
        <f>'施設状況(要更新)'!$E400&amp;'施設状況(要更新)'!$C400</f>
        <v/>
      </c>
      <c r="W400" s="27">
        <f>'施設状況(要更新)'!$F400</f>
        <v>0</v>
      </c>
      <c r="X400" s="28"/>
      <c r="Y400" s="27"/>
    </row>
    <row r="401" spans="1:25">
      <c r="A401" s="33"/>
      <c r="B401" s="25"/>
      <c r="C401" s="25"/>
      <c r="D401" s="25"/>
      <c r="E401" s="25"/>
      <c r="F401" s="25"/>
      <c r="G401" s="25"/>
      <c r="H401" s="25"/>
      <c r="I401" s="25"/>
      <c r="J401" s="25"/>
      <c r="K401" s="25"/>
      <c r="L401" s="25"/>
      <c r="M401" s="25"/>
      <c r="N401" s="25"/>
      <c r="O401" s="25"/>
      <c r="P401" s="25"/>
      <c r="Q401" s="25"/>
      <c r="R401" s="25"/>
      <c r="S401" s="26">
        <f t="shared" si="13"/>
        <v>0</v>
      </c>
      <c r="T401" s="26">
        <f>COUNTIF($V$4:V401,V401)</f>
        <v>390</v>
      </c>
      <c r="U401" s="26" t="str">
        <f>IF(T401=1,COUNTIF($T$4:T401,1),"")</f>
        <v/>
      </c>
      <c r="V401" s="27" t="str">
        <f>'施設状況(要更新)'!$E401&amp;'施設状況(要更新)'!$C401</f>
        <v/>
      </c>
      <c r="W401" s="27">
        <f>'施設状況(要更新)'!$F401</f>
        <v>0</v>
      </c>
      <c r="X401" s="28"/>
      <c r="Y401" s="27"/>
    </row>
    <row r="402" spans="1:25">
      <c r="A402" s="33"/>
      <c r="B402" s="25"/>
      <c r="C402" s="25"/>
      <c r="D402" s="25"/>
      <c r="E402" s="25"/>
      <c r="F402" s="25"/>
      <c r="G402" s="25"/>
      <c r="H402" s="25"/>
      <c r="I402" s="25"/>
      <c r="J402" s="25"/>
      <c r="K402" s="25"/>
      <c r="L402" s="25"/>
      <c r="M402" s="25"/>
      <c r="N402" s="25"/>
      <c r="O402" s="25"/>
      <c r="P402" s="25"/>
      <c r="Q402" s="25"/>
      <c r="R402" s="25"/>
      <c r="S402" s="26">
        <f t="shared" si="13"/>
        <v>0</v>
      </c>
      <c r="T402" s="26">
        <f>COUNTIF($V$4:V402,V402)</f>
        <v>391</v>
      </c>
      <c r="U402" s="26" t="str">
        <f>IF(T402=1,COUNTIF($T$4:T402,1),"")</f>
        <v/>
      </c>
      <c r="V402" s="27" t="str">
        <f>'施設状況(要更新)'!$E402&amp;'施設状況(要更新)'!$C402</f>
        <v/>
      </c>
      <c r="W402" s="27">
        <f>'施設状況(要更新)'!$F402</f>
        <v>0</v>
      </c>
      <c r="X402" s="28"/>
      <c r="Y402" s="27"/>
    </row>
    <row r="403" spans="1:25">
      <c r="A403" s="33"/>
      <c r="B403" s="25"/>
      <c r="C403" s="25"/>
      <c r="D403" s="25"/>
      <c r="E403" s="25"/>
      <c r="F403" s="25"/>
      <c r="G403" s="25"/>
      <c r="H403" s="25"/>
      <c r="I403" s="25"/>
      <c r="J403" s="25"/>
      <c r="K403" s="25"/>
      <c r="L403" s="25"/>
      <c r="M403" s="25"/>
      <c r="N403" s="25"/>
      <c r="O403" s="25"/>
      <c r="P403" s="25"/>
      <c r="Q403" s="25"/>
      <c r="R403" s="25"/>
      <c r="S403" s="26">
        <f t="shared" si="13"/>
        <v>0</v>
      </c>
      <c r="T403" s="26">
        <f>COUNTIF($V$4:V403,V403)</f>
        <v>392</v>
      </c>
      <c r="U403" s="26" t="str">
        <f>IF(T403=1,COUNTIF($T$4:T403,1),"")</f>
        <v/>
      </c>
      <c r="V403" s="27" t="str">
        <f>'施設状況(要更新)'!$E403&amp;'施設状況(要更新)'!$C403</f>
        <v/>
      </c>
      <c r="W403" s="27">
        <f>'施設状況(要更新)'!$F403</f>
        <v>0</v>
      </c>
      <c r="X403" s="28"/>
      <c r="Y403" s="27"/>
    </row>
    <row r="404" spans="1:25">
      <c r="A404" s="46"/>
      <c r="B404" s="47"/>
      <c r="C404" s="47"/>
      <c r="D404" s="47"/>
      <c r="E404" s="47"/>
      <c r="F404" s="48"/>
      <c r="G404" s="48"/>
      <c r="H404" s="48"/>
      <c r="I404" s="48"/>
      <c r="J404" s="47"/>
      <c r="K404" s="48"/>
      <c r="L404" s="48"/>
      <c r="M404" s="48"/>
      <c r="N404" s="48"/>
      <c r="O404" s="48"/>
      <c r="P404" s="48"/>
      <c r="Q404" s="48"/>
      <c r="R404" s="47"/>
      <c r="S404" s="26">
        <f t="shared" si="13"/>
        <v>0</v>
      </c>
      <c r="T404" s="26">
        <f>COUNTIF($V$4:V404,V404)</f>
        <v>393</v>
      </c>
      <c r="U404" s="26" t="str">
        <f>IF(T404=1,COUNTIF($T$4:T404,1),"")</f>
        <v/>
      </c>
      <c r="V404" s="27" t="str">
        <f>'施設状況(要更新)'!$E404&amp;'施設状況(要更新)'!$C404</f>
        <v/>
      </c>
      <c r="W404" s="27">
        <f>'施設状況(要更新)'!$F404</f>
        <v>0</v>
      </c>
      <c r="X404" s="28"/>
      <c r="Y404" s="27"/>
    </row>
    <row r="405" spans="1:25">
      <c r="A405" s="46"/>
      <c r="B405" s="47"/>
      <c r="C405" s="47"/>
      <c r="D405" s="47"/>
      <c r="E405" s="47"/>
      <c r="F405" s="48"/>
      <c r="G405" s="48"/>
      <c r="H405" s="48"/>
      <c r="I405" s="48"/>
      <c r="J405" s="47"/>
      <c r="K405" s="48"/>
      <c r="L405" s="48"/>
      <c r="M405" s="48"/>
      <c r="N405" s="48"/>
      <c r="O405" s="48"/>
      <c r="P405" s="48"/>
      <c r="Q405" s="48"/>
      <c r="R405" s="47"/>
      <c r="S405" s="26">
        <f t="shared" si="13"/>
        <v>0</v>
      </c>
      <c r="T405" s="26">
        <f>COUNTIF($V$4:V405,V405)</f>
        <v>394</v>
      </c>
      <c r="U405" s="26" t="str">
        <f>IF(T405=1,COUNTIF($T$4:T405,1),"")</f>
        <v/>
      </c>
      <c r="V405" s="27" t="str">
        <f>'施設状況(要更新)'!$E405&amp;'施設状況(要更新)'!$C405</f>
        <v/>
      </c>
      <c r="W405" s="27">
        <f>'施設状況(要更新)'!$F405</f>
        <v>0</v>
      </c>
      <c r="X405" s="28"/>
      <c r="Y405" s="27"/>
    </row>
    <row r="406" spans="1:25">
      <c r="A406" s="46"/>
      <c r="B406" s="47"/>
      <c r="C406" s="47"/>
      <c r="D406" s="47"/>
      <c r="E406" s="47"/>
      <c r="F406" s="48"/>
      <c r="G406" s="48"/>
      <c r="H406" s="48"/>
      <c r="I406" s="48"/>
      <c r="J406" s="47"/>
      <c r="K406" s="48"/>
      <c r="L406" s="48"/>
      <c r="M406" s="48"/>
      <c r="N406" s="48"/>
      <c r="O406" s="48"/>
      <c r="P406" s="48"/>
      <c r="Q406" s="48"/>
      <c r="R406" s="47"/>
      <c r="S406" s="26">
        <f t="shared" si="13"/>
        <v>0</v>
      </c>
      <c r="T406" s="26">
        <f>COUNTIF($V$4:V406,V406)</f>
        <v>395</v>
      </c>
      <c r="U406" s="26" t="str">
        <f>IF(T406=1,COUNTIF($T$4:T406,1),"")</f>
        <v/>
      </c>
      <c r="V406" s="27" t="str">
        <f>'施設状況(要更新)'!$E406&amp;'施設状況(要更新)'!$C406</f>
        <v/>
      </c>
      <c r="W406" s="27">
        <f>'施設状況(要更新)'!$F406</f>
        <v>0</v>
      </c>
      <c r="X406" s="28"/>
      <c r="Y406" s="27"/>
    </row>
    <row r="407" spans="1:25">
      <c r="A407" s="46"/>
      <c r="B407" s="47"/>
      <c r="C407" s="47"/>
      <c r="D407" s="47"/>
      <c r="E407" s="47"/>
      <c r="F407" s="48"/>
      <c r="G407" s="48"/>
      <c r="H407" s="48"/>
      <c r="I407" s="48"/>
      <c r="J407" s="47"/>
      <c r="K407" s="48"/>
      <c r="L407" s="48"/>
      <c r="M407" s="48"/>
      <c r="N407" s="48"/>
      <c r="O407" s="48"/>
      <c r="P407" s="48"/>
      <c r="Q407" s="48"/>
      <c r="R407" s="47"/>
      <c r="S407" s="26">
        <f t="shared" si="13"/>
        <v>0</v>
      </c>
      <c r="T407" s="26">
        <f>COUNTIF($V$4:V407,V407)</f>
        <v>396</v>
      </c>
      <c r="U407" s="26" t="str">
        <f>IF(T407=1,COUNTIF($T$4:T407,1),"")</f>
        <v/>
      </c>
      <c r="V407" s="27" t="str">
        <f>'施設状況(要更新)'!$E407&amp;'施設状況(要更新)'!$C407</f>
        <v/>
      </c>
      <c r="W407" s="27">
        <f>'施設状況(要更新)'!$F407</f>
        <v>0</v>
      </c>
      <c r="X407" s="28"/>
      <c r="Y407" s="27"/>
    </row>
    <row r="408" spans="1:25">
      <c r="A408" s="46"/>
      <c r="B408" s="47"/>
      <c r="C408" s="47"/>
      <c r="D408" s="47"/>
      <c r="E408" s="47"/>
      <c r="F408" s="48"/>
      <c r="G408" s="48"/>
      <c r="H408" s="48"/>
      <c r="I408" s="48"/>
      <c r="J408" s="47"/>
      <c r="K408" s="48"/>
      <c r="L408" s="48"/>
      <c r="M408" s="48"/>
      <c r="N408" s="48"/>
      <c r="O408" s="48"/>
      <c r="P408" s="48"/>
      <c r="Q408" s="48"/>
      <c r="R408" s="47"/>
      <c r="S408" s="26">
        <f t="shared" si="13"/>
        <v>0</v>
      </c>
      <c r="T408" s="26">
        <f>COUNTIF($V$4:V408,V408)</f>
        <v>397</v>
      </c>
      <c r="U408" s="26" t="str">
        <f>IF(T408=1,COUNTIF($T$4:T408,1),"")</f>
        <v/>
      </c>
      <c r="V408" s="27" t="str">
        <f>'施設状況(要更新)'!$E408&amp;'施設状況(要更新)'!$C408</f>
        <v/>
      </c>
      <c r="W408" s="27">
        <f>'施設状況(要更新)'!$F408</f>
        <v>0</v>
      </c>
      <c r="X408" s="28"/>
      <c r="Y408" s="27"/>
    </row>
    <row r="409" spans="1:25">
      <c r="A409" s="46"/>
      <c r="B409" s="47"/>
      <c r="C409" s="47"/>
      <c r="D409" s="47"/>
      <c r="E409" s="47"/>
      <c r="F409" s="48"/>
      <c r="G409" s="48"/>
      <c r="H409" s="48"/>
      <c r="I409" s="48"/>
      <c r="J409" s="47"/>
      <c r="K409" s="48"/>
      <c r="L409" s="48"/>
      <c r="M409" s="48"/>
      <c r="N409" s="48"/>
      <c r="O409" s="48"/>
      <c r="P409" s="48"/>
      <c r="Q409" s="48"/>
      <c r="R409" s="47"/>
      <c r="S409" s="26">
        <f t="shared" si="13"/>
        <v>0</v>
      </c>
      <c r="T409" s="26">
        <f>COUNTIF($V$4:V409,V409)</f>
        <v>398</v>
      </c>
      <c r="U409" s="26" t="str">
        <f>IF(T409=1,COUNTIF($T$4:T409,1),"")</f>
        <v/>
      </c>
      <c r="V409" s="27" t="str">
        <f>'施設状況(要更新)'!$E409&amp;'施設状況(要更新)'!$C409</f>
        <v/>
      </c>
      <c r="W409" s="27">
        <f>'施設状況(要更新)'!$F409</f>
        <v>0</v>
      </c>
      <c r="X409" s="28"/>
      <c r="Y409" s="27"/>
    </row>
    <row r="410" spans="1:25">
      <c r="A410" s="46"/>
      <c r="B410" s="47"/>
      <c r="C410" s="47"/>
      <c r="D410" s="47"/>
      <c r="E410" s="47"/>
      <c r="F410" s="48"/>
      <c r="G410" s="48"/>
      <c r="H410" s="48"/>
      <c r="I410" s="48"/>
      <c r="J410" s="47"/>
      <c r="K410" s="48"/>
      <c r="L410" s="48"/>
      <c r="M410" s="48"/>
      <c r="N410" s="48"/>
      <c r="O410" s="48"/>
      <c r="P410" s="48"/>
      <c r="Q410" s="48"/>
      <c r="R410" s="47"/>
      <c r="S410" s="26">
        <f t="shared" si="13"/>
        <v>0</v>
      </c>
      <c r="T410" s="26">
        <f>COUNTIF($V$4:V410,V410)</f>
        <v>399</v>
      </c>
      <c r="U410" s="26" t="str">
        <f>IF(T410=1,COUNTIF($T$4:T410,1),"")</f>
        <v/>
      </c>
      <c r="V410" s="27" t="str">
        <f>'施設状況(要更新)'!$E410&amp;'施設状況(要更新)'!$C410</f>
        <v/>
      </c>
      <c r="W410" s="27">
        <f>'施設状況(要更新)'!$F410</f>
        <v>0</v>
      </c>
      <c r="X410" s="28"/>
      <c r="Y410" s="27"/>
    </row>
    <row r="411" spans="1:25">
      <c r="A411" s="46"/>
      <c r="B411" s="47"/>
      <c r="C411" s="47"/>
      <c r="D411" s="47"/>
      <c r="E411" s="47"/>
      <c r="F411" s="48"/>
      <c r="G411" s="48"/>
      <c r="H411" s="48"/>
      <c r="I411" s="48"/>
      <c r="J411" s="47"/>
      <c r="K411" s="48"/>
      <c r="L411" s="48"/>
      <c r="M411" s="48"/>
      <c r="N411" s="48"/>
      <c r="O411" s="48"/>
      <c r="P411" s="48"/>
      <c r="Q411" s="48"/>
      <c r="R411" s="47"/>
      <c r="S411" s="26">
        <f t="shared" si="13"/>
        <v>0</v>
      </c>
      <c r="T411" s="26">
        <f>COUNTIF($V$4:V411,V411)</f>
        <v>400</v>
      </c>
      <c r="U411" s="26" t="str">
        <f>IF(T411=1,COUNTIF($T$4:T411,1),"")</f>
        <v/>
      </c>
      <c r="V411" s="27" t="str">
        <f>'施設状況(要更新)'!$E411&amp;'施設状況(要更新)'!$C411</f>
        <v/>
      </c>
      <c r="W411" s="27">
        <f>'施設状況(要更新)'!$F411</f>
        <v>0</v>
      </c>
      <c r="X411" s="28"/>
      <c r="Y411" s="27"/>
    </row>
    <row r="412" spans="1:25">
      <c r="A412" s="46"/>
      <c r="B412" s="47"/>
      <c r="C412" s="47"/>
      <c r="D412" s="47"/>
      <c r="E412" s="47"/>
      <c r="F412" s="48"/>
      <c r="G412" s="48"/>
      <c r="H412" s="48"/>
      <c r="I412" s="48"/>
      <c r="J412" s="47"/>
      <c r="K412" s="48"/>
      <c r="L412" s="48"/>
      <c r="M412" s="48"/>
      <c r="N412" s="48"/>
      <c r="O412" s="48"/>
      <c r="P412" s="48"/>
      <c r="Q412" s="48"/>
      <c r="R412" s="47"/>
      <c r="S412" s="26">
        <f t="shared" si="13"/>
        <v>0</v>
      </c>
      <c r="T412" s="26">
        <f>COUNTIF($V$4:V412,V412)</f>
        <v>401</v>
      </c>
      <c r="U412" s="26" t="str">
        <f>IF(T412=1,COUNTIF($T$4:T412,1),"")</f>
        <v/>
      </c>
      <c r="V412" s="27" t="str">
        <f>'施設状況(要更新)'!$E412&amp;'施設状況(要更新)'!$C412</f>
        <v/>
      </c>
      <c r="W412" s="27">
        <f>'施設状況(要更新)'!$F412</f>
        <v>0</v>
      </c>
      <c r="X412" s="28"/>
      <c r="Y412" s="27"/>
    </row>
    <row r="413" spans="1:25">
      <c r="A413" s="46"/>
      <c r="B413" s="47"/>
      <c r="C413" s="47"/>
      <c r="D413" s="47"/>
      <c r="E413" s="47"/>
      <c r="F413" s="48"/>
      <c r="G413" s="48"/>
      <c r="H413" s="48"/>
      <c r="I413" s="48"/>
      <c r="J413" s="47"/>
      <c r="K413" s="48"/>
      <c r="L413" s="48"/>
      <c r="M413" s="48"/>
      <c r="N413" s="48"/>
      <c r="O413" s="48"/>
      <c r="P413" s="48"/>
      <c r="Q413" s="48"/>
      <c r="R413" s="47"/>
      <c r="S413" s="26">
        <f t="shared" si="13"/>
        <v>0</v>
      </c>
      <c r="T413" s="26">
        <f>COUNTIF($V$4:V413,V413)</f>
        <v>402</v>
      </c>
      <c r="U413" s="26" t="str">
        <f>IF(T413=1,COUNTIF($T$4:T413,1),"")</f>
        <v/>
      </c>
      <c r="V413" s="27" t="str">
        <f>'施設状況(要更新)'!$E413&amp;'施設状況(要更新)'!$C413</f>
        <v/>
      </c>
      <c r="W413" s="27">
        <f>'施設状況(要更新)'!$F413</f>
        <v>0</v>
      </c>
      <c r="X413" s="28"/>
      <c r="Y413" s="27"/>
    </row>
    <row r="414" spans="1:25">
      <c r="A414" s="46"/>
      <c r="B414" s="47"/>
      <c r="C414" s="47"/>
      <c r="D414" s="47"/>
      <c r="E414" s="47"/>
      <c r="F414" s="48"/>
      <c r="G414" s="48"/>
      <c r="H414" s="48"/>
      <c r="I414" s="48"/>
      <c r="J414" s="47"/>
      <c r="K414" s="48"/>
      <c r="L414" s="48"/>
      <c r="M414" s="48"/>
      <c r="N414" s="48"/>
      <c r="O414" s="48"/>
      <c r="P414" s="48"/>
      <c r="Q414" s="48"/>
      <c r="R414" s="47"/>
      <c r="S414" s="26">
        <f t="shared" si="13"/>
        <v>0</v>
      </c>
      <c r="T414" s="26">
        <f>COUNTIF($V$4:V414,V414)</f>
        <v>403</v>
      </c>
      <c r="U414" s="26" t="str">
        <f>IF(T414=1,COUNTIF($T$4:T414,1),"")</f>
        <v/>
      </c>
      <c r="V414" s="27" t="str">
        <f>'施設状況(要更新)'!$E414&amp;'施設状況(要更新)'!$C414</f>
        <v/>
      </c>
      <c r="W414" s="27">
        <f>'施設状況(要更新)'!$F414</f>
        <v>0</v>
      </c>
      <c r="X414" s="28"/>
      <c r="Y414" s="27"/>
    </row>
    <row r="415" spans="1:25">
      <c r="A415" s="46"/>
      <c r="B415" s="47"/>
      <c r="C415" s="47"/>
      <c r="D415" s="47"/>
      <c r="E415" s="47"/>
      <c r="F415" s="48"/>
      <c r="G415" s="48"/>
      <c r="H415" s="48"/>
      <c r="I415" s="48"/>
      <c r="J415" s="47"/>
      <c r="K415" s="48"/>
      <c r="L415" s="48"/>
      <c r="M415" s="48"/>
      <c r="N415" s="48"/>
      <c r="O415" s="48"/>
      <c r="P415" s="48"/>
      <c r="Q415" s="48"/>
      <c r="R415" s="47"/>
      <c r="S415" s="26">
        <f t="shared" si="13"/>
        <v>0</v>
      </c>
      <c r="T415" s="26">
        <f>COUNTIF($V$4:V415,V415)</f>
        <v>404</v>
      </c>
      <c r="U415" s="26" t="str">
        <f>IF(T415=1,COUNTIF($T$4:T415,1),"")</f>
        <v/>
      </c>
      <c r="V415" s="27" t="str">
        <f>'施設状況(要更新)'!$E415&amp;'施設状況(要更新)'!$C415</f>
        <v/>
      </c>
      <c r="W415" s="27">
        <f>'施設状況(要更新)'!$F415</f>
        <v>0</v>
      </c>
      <c r="X415" s="28"/>
      <c r="Y415" s="27"/>
    </row>
    <row r="416" spans="1:25">
      <c r="A416" s="46"/>
      <c r="B416" s="47"/>
      <c r="C416" s="47"/>
      <c r="D416" s="47"/>
      <c r="E416" s="47"/>
      <c r="F416" s="48"/>
      <c r="G416" s="48"/>
      <c r="H416" s="48"/>
      <c r="I416" s="48"/>
      <c r="J416" s="47"/>
      <c r="K416" s="48"/>
      <c r="L416" s="48"/>
      <c r="M416" s="48"/>
      <c r="N416" s="48"/>
      <c r="O416" s="48"/>
      <c r="P416" s="48"/>
      <c r="Q416" s="48"/>
      <c r="R416" s="47"/>
      <c r="S416" s="26">
        <f t="shared" si="13"/>
        <v>0</v>
      </c>
      <c r="T416" s="26">
        <f>COUNTIF($V$4:V416,V416)</f>
        <v>405</v>
      </c>
      <c r="U416" s="26" t="str">
        <f>IF(T416=1,COUNTIF($T$4:T416,1),"")</f>
        <v/>
      </c>
      <c r="V416" s="27" t="str">
        <f>'施設状況(要更新)'!$E416&amp;'施設状況(要更新)'!$C416</f>
        <v/>
      </c>
      <c r="W416" s="27">
        <f>'施設状況(要更新)'!$F416</f>
        <v>0</v>
      </c>
      <c r="X416" s="28"/>
      <c r="Y416" s="27"/>
    </row>
    <row r="417" spans="1:25">
      <c r="A417" s="46"/>
      <c r="B417" s="47"/>
      <c r="C417" s="47"/>
      <c r="D417" s="47"/>
      <c r="E417" s="47"/>
      <c r="F417" s="48"/>
      <c r="G417" s="48"/>
      <c r="H417" s="48"/>
      <c r="I417" s="48"/>
      <c r="J417" s="47"/>
      <c r="K417" s="48"/>
      <c r="L417" s="48"/>
      <c r="M417" s="48"/>
      <c r="N417" s="48"/>
      <c r="O417" s="48"/>
      <c r="P417" s="48"/>
      <c r="Q417" s="48"/>
      <c r="R417" s="47"/>
      <c r="S417" s="26">
        <f t="shared" si="13"/>
        <v>0</v>
      </c>
      <c r="T417" s="26">
        <f>COUNTIF($V$4:V417,V417)</f>
        <v>406</v>
      </c>
      <c r="U417" s="26" t="str">
        <f>IF(T417=1,COUNTIF($T$4:T417,1),"")</f>
        <v/>
      </c>
      <c r="V417" s="27" t="str">
        <f>'施設状況(要更新)'!$E417&amp;'施設状況(要更新)'!$C417</f>
        <v/>
      </c>
      <c r="W417" s="27">
        <f>'施設状況(要更新)'!$F417</f>
        <v>0</v>
      </c>
      <c r="X417" s="28"/>
      <c r="Y417" s="27"/>
    </row>
    <row r="418" spans="1:25">
      <c r="A418" s="46"/>
      <c r="B418" s="47"/>
      <c r="C418" s="47"/>
      <c r="D418" s="47"/>
      <c r="E418" s="47"/>
      <c r="F418" s="48"/>
      <c r="G418" s="48"/>
      <c r="H418" s="48"/>
      <c r="I418" s="48"/>
      <c r="J418" s="47"/>
      <c r="K418" s="48"/>
      <c r="L418" s="48"/>
      <c r="M418" s="48"/>
      <c r="N418" s="48"/>
      <c r="O418" s="48"/>
      <c r="P418" s="48"/>
      <c r="Q418" s="48"/>
      <c r="R418" s="47"/>
      <c r="S418" s="26">
        <f t="shared" si="13"/>
        <v>0</v>
      </c>
      <c r="T418" s="26">
        <f>COUNTIF($V$4:V418,V418)</f>
        <v>407</v>
      </c>
      <c r="U418" s="26" t="str">
        <f>IF(T418=1,COUNTIF($T$4:T418,1),"")</f>
        <v/>
      </c>
      <c r="V418" s="27" t="str">
        <f>'施設状況(要更新)'!$E418&amp;'施設状況(要更新)'!$C418</f>
        <v/>
      </c>
      <c r="W418" s="27">
        <f>'施設状況(要更新)'!$F418</f>
        <v>0</v>
      </c>
      <c r="X418" s="28"/>
      <c r="Y418" s="27"/>
    </row>
    <row r="419" spans="1:25">
      <c r="A419" s="46"/>
      <c r="B419" s="47"/>
      <c r="C419" s="47"/>
      <c r="D419" s="47"/>
      <c r="E419" s="47"/>
      <c r="F419" s="49"/>
      <c r="G419" s="48"/>
      <c r="H419" s="48"/>
      <c r="I419" s="48"/>
      <c r="J419" s="47"/>
      <c r="K419" s="48"/>
      <c r="L419" s="48"/>
      <c r="M419" s="48"/>
      <c r="N419" s="48"/>
      <c r="O419" s="48"/>
      <c r="P419" s="48"/>
      <c r="Q419" s="48"/>
      <c r="R419" s="47"/>
      <c r="S419" s="26">
        <f t="shared" si="13"/>
        <v>0</v>
      </c>
      <c r="T419" s="26">
        <f>COUNTIF($V$4:V419,V419)</f>
        <v>408</v>
      </c>
      <c r="U419" s="26" t="str">
        <f>IF(T419=1,COUNTIF($T$4:T419,1),"")</f>
        <v/>
      </c>
      <c r="V419" s="27" t="str">
        <f>'施設状況(要更新)'!$E419&amp;'施設状況(要更新)'!$C419</f>
        <v/>
      </c>
      <c r="W419" s="27">
        <f>'施設状況(要更新)'!$F419</f>
        <v>0</v>
      </c>
      <c r="X419" s="28"/>
      <c r="Y419" s="27"/>
    </row>
    <row r="420" spans="1:25">
      <c r="A420" s="46"/>
      <c r="B420" s="47"/>
      <c r="C420" s="47"/>
      <c r="D420" s="47"/>
      <c r="E420" s="47"/>
      <c r="F420" s="48"/>
      <c r="G420" s="48"/>
      <c r="H420" s="48"/>
      <c r="I420" s="48"/>
      <c r="J420" s="47"/>
      <c r="K420" s="48"/>
      <c r="L420" s="48"/>
      <c r="M420" s="48"/>
      <c r="N420" s="48"/>
      <c r="O420" s="48"/>
      <c r="P420" s="48"/>
      <c r="Q420" s="48"/>
      <c r="R420" s="47"/>
      <c r="S420" s="26">
        <f t="shared" si="13"/>
        <v>0</v>
      </c>
      <c r="T420" s="26">
        <f>COUNTIF($V$4:V420,V420)</f>
        <v>409</v>
      </c>
      <c r="U420" s="26" t="str">
        <f>IF(T420=1,COUNTIF($T$4:T420,1),"")</f>
        <v/>
      </c>
      <c r="V420" s="27" t="str">
        <f>'施設状況(要更新)'!$E420&amp;'施設状況(要更新)'!$C420</f>
        <v/>
      </c>
      <c r="W420" s="27">
        <f>'施設状況(要更新)'!$F420</f>
        <v>0</v>
      </c>
      <c r="X420" s="28"/>
      <c r="Y420" s="27"/>
    </row>
    <row r="421" spans="1:25">
      <c r="A421" s="46"/>
      <c r="B421" s="47"/>
      <c r="C421" s="47"/>
      <c r="D421" s="47"/>
      <c r="E421" s="47"/>
      <c r="F421" s="48"/>
      <c r="G421" s="48"/>
      <c r="H421" s="48"/>
      <c r="I421" s="48"/>
      <c r="J421" s="47"/>
      <c r="K421" s="48"/>
      <c r="L421" s="48"/>
      <c r="M421" s="50"/>
      <c r="N421" s="50"/>
      <c r="O421" s="50"/>
      <c r="P421" s="48"/>
      <c r="Q421" s="48"/>
      <c r="R421" s="47"/>
      <c r="S421" s="26">
        <f t="shared" si="13"/>
        <v>0</v>
      </c>
      <c r="T421" s="26">
        <f>COUNTIF($V$4:V421,V421)</f>
        <v>410</v>
      </c>
      <c r="U421" s="26" t="str">
        <f>IF(T421=1,COUNTIF($T$4:T421,1),"")</f>
        <v/>
      </c>
      <c r="V421" s="27" t="str">
        <f>'施設状況(要更新)'!$E421&amp;'施設状況(要更新)'!$C421</f>
        <v/>
      </c>
      <c r="W421" s="27">
        <f>'施設状況(要更新)'!$F421</f>
        <v>0</v>
      </c>
      <c r="X421" s="28"/>
      <c r="Y421" s="27"/>
    </row>
    <row r="422" spans="1:25">
      <c r="A422" s="46"/>
      <c r="B422" s="47"/>
      <c r="C422" s="47"/>
      <c r="D422" s="47"/>
      <c r="E422" s="47"/>
      <c r="F422" s="48"/>
      <c r="G422" s="48"/>
      <c r="H422" s="48"/>
      <c r="I422" s="48"/>
      <c r="J422" s="47"/>
      <c r="K422" s="48"/>
      <c r="L422" s="48"/>
      <c r="M422" s="50"/>
      <c r="N422" s="50"/>
      <c r="O422" s="50"/>
      <c r="P422" s="48"/>
      <c r="Q422" s="48"/>
      <c r="R422" s="47"/>
      <c r="S422" s="26">
        <f t="shared" si="13"/>
        <v>0</v>
      </c>
      <c r="T422" s="26">
        <f>COUNTIF($V$4:V422,V422)</f>
        <v>411</v>
      </c>
      <c r="U422" s="26" t="str">
        <f>IF(T422=1,COUNTIF($T$4:T422,1),"")</f>
        <v/>
      </c>
      <c r="V422" s="27" t="str">
        <f>'施設状況(要更新)'!$E422&amp;'施設状況(要更新)'!$C422</f>
        <v/>
      </c>
      <c r="W422" s="27">
        <f>'施設状況(要更新)'!$F422</f>
        <v>0</v>
      </c>
      <c r="X422" s="28"/>
      <c r="Y422" s="27"/>
    </row>
    <row r="423" spans="1:25">
      <c r="A423" s="46"/>
      <c r="B423" s="47"/>
      <c r="C423" s="47"/>
      <c r="D423" s="47"/>
      <c r="E423" s="47"/>
      <c r="F423" s="48"/>
      <c r="G423" s="48"/>
      <c r="H423" s="48"/>
      <c r="I423" s="48"/>
      <c r="J423" s="47"/>
      <c r="K423" s="48"/>
      <c r="L423" s="48"/>
      <c r="M423" s="50"/>
      <c r="N423" s="50"/>
      <c r="O423" s="50"/>
      <c r="P423" s="48"/>
      <c r="Q423" s="48"/>
      <c r="R423" s="47"/>
      <c r="S423" s="26">
        <f t="shared" si="13"/>
        <v>0</v>
      </c>
      <c r="T423" s="26">
        <f>COUNTIF($V$4:V423,V423)</f>
        <v>412</v>
      </c>
      <c r="U423" s="26" t="str">
        <f>IF(T423=1,COUNTIF($T$4:T423,1),"")</f>
        <v/>
      </c>
      <c r="V423" s="27" t="str">
        <f>'施設状況(要更新)'!$E423&amp;'施設状況(要更新)'!$C423</f>
        <v/>
      </c>
      <c r="W423" s="27">
        <f>'施設状況(要更新)'!$F423</f>
        <v>0</v>
      </c>
      <c r="X423" s="28"/>
      <c r="Y423" s="27"/>
    </row>
    <row r="424" spans="1:25">
      <c r="A424" s="46"/>
      <c r="B424" s="47"/>
      <c r="C424" s="47"/>
      <c r="D424" s="47"/>
      <c r="E424" s="47"/>
      <c r="F424" s="48"/>
      <c r="G424" s="48"/>
      <c r="H424" s="48"/>
      <c r="I424" s="48"/>
      <c r="J424" s="47"/>
      <c r="K424" s="48"/>
      <c r="L424" s="48"/>
      <c r="M424" s="50"/>
      <c r="N424" s="50"/>
      <c r="O424" s="50"/>
      <c r="P424" s="48"/>
      <c r="Q424" s="48"/>
      <c r="R424" s="47"/>
      <c r="S424" s="26">
        <f t="shared" si="13"/>
        <v>0</v>
      </c>
      <c r="T424" s="26">
        <f>COUNTIF($V$4:V424,V424)</f>
        <v>413</v>
      </c>
      <c r="U424" s="26" t="str">
        <f>IF(T424=1,COUNTIF($T$4:T424,1),"")</f>
        <v/>
      </c>
      <c r="V424" s="27" t="str">
        <f>'施設状況(要更新)'!$E424&amp;'施設状況(要更新)'!$C424</f>
        <v/>
      </c>
      <c r="W424" s="27">
        <f>'施設状況(要更新)'!$F424</f>
        <v>0</v>
      </c>
      <c r="X424" s="28"/>
      <c r="Y424" s="27"/>
    </row>
    <row r="425" spans="1:25">
      <c r="A425" s="46"/>
      <c r="B425" s="47"/>
      <c r="C425" s="47"/>
      <c r="D425" s="47"/>
      <c r="E425" s="47"/>
      <c r="F425" s="48"/>
      <c r="G425" s="48"/>
      <c r="H425" s="48"/>
      <c r="I425" s="48"/>
      <c r="J425" s="47"/>
      <c r="K425" s="48"/>
      <c r="L425" s="48"/>
      <c r="M425" s="50"/>
      <c r="N425" s="50"/>
      <c r="O425" s="50"/>
      <c r="P425" s="48"/>
      <c r="Q425" s="48"/>
      <c r="R425" s="47"/>
      <c r="S425" s="26">
        <f t="shared" si="13"/>
        <v>0</v>
      </c>
      <c r="T425" s="26">
        <f>COUNTIF($V$4:V425,V425)</f>
        <v>414</v>
      </c>
      <c r="U425" s="26" t="str">
        <f>IF(T425=1,COUNTIF($T$4:T425,1),"")</f>
        <v/>
      </c>
      <c r="V425" s="27" t="str">
        <f>'施設状況(要更新)'!$E425&amp;'施設状況(要更新)'!$C425</f>
        <v/>
      </c>
      <c r="W425" s="27">
        <f>'施設状況(要更新)'!$F425</f>
        <v>0</v>
      </c>
      <c r="X425" s="28"/>
      <c r="Y425" s="27"/>
    </row>
    <row r="426" spans="1:25">
      <c r="A426" s="46"/>
      <c r="B426" s="47"/>
      <c r="C426" s="47"/>
      <c r="D426" s="47"/>
      <c r="E426" s="47"/>
      <c r="F426" s="48"/>
      <c r="G426" s="48"/>
      <c r="H426" s="48"/>
      <c r="I426" s="48"/>
      <c r="J426" s="47"/>
      <c r="K426" s="48"/>
      <c r="L426" s="48"/>
      <c r="M426" s="50"/>
      <c r="N426" s="50"/>
      <c r="O426" s="50"/>
      <c r="P426" s="48"/>
      <c r="Q426" s="48"/>
      <c r="R426" s="47"/>
      <c r="S426" s="26">
        <f t="shared" si="13"/>
        <v>0</v>
      </c>
      <c r="T426" s="26">
        <f>COUNTIF($V$4:V426,V426)</f>
        <v>415</v>
      </c>
      <c r="U426" s="26" t="str">
        <f>IF(T426=1,COUNTIF($T$4:T426,1),"")</f>
        <v/>
      </c>
      <c r="V426" s="27" t="str">
        <f>'施設状況(要更新)'!$E426&amp;'施設状況(要更新)'!$C426</f>
        <v/>
      </c>
      <c r="W426" s="27">
        <f>'施設状況(要更新)'!$F426</f>
        <v>0</v>
      </c>
      <c r="X426" s="28"/>
      <c r="Y426" s="27"/>
    </row>
    <row r="427" spans="1:25">
      <c r="A427" s="46"/>
      <c r="B427" s="47"/>
      <c r="C427" s="47"/>
      <c r="D427" s="47"/>
      <c r="E427" s="47"/>
      <c r="F427" s="48"/>
      <c r="G427" s="48"/>
      <c r="H427" s="48"/>
      <c r="I427" s="48"/>
      <c r="J427" s="47"/>
      <c r="K427" s="48"/>
      <c r="L427" s="48"/>
      <c r="M427" s="50"/>
      <c r="N427" s="50"/>
      <c r="O427" s="50"/>
      <c r="P427" s="48"/>
      <c r="Q427" s="48"/>
      <c r="R427" s="47"/>
      <c r="S427" s="26">
        <f t="shared" si="13"/>
        <v>0</v>
      </c>
      <c r="T427" s="26">
        <f>COUNTIF($V$4:V427,V427)</f>
        <v>416</v>
      </c>
      <c r="U427" s="26" t="str">
        <f>IF(T427=1,COUNTIF($T$4:T427,1),"")</f>
        <v/>
      </c>
      <c r="V427" s="27" t="str">
        <f>'施設状況(要更新)'!$E427&amp;'施設状況(要更新)'!$C427</f>
        <v/>
      </c>
      <c r="W427" s="27">
        <f>'施設状況(要更新)'!$F427</f>
        <v>0</v>
      </c>
      <c r="X427" s="28"/>
      <c r="Y427" s="27"/>
    </row>
    <row r="428" spans="1:25">
      <c r="A428" s="46"/>
      <c r="B428" s="47"/>
      <c r="C428" s="47"/>
      <c r="D428" s="47"/>
      <c r="E428" s="47"/>
      <c r="F428" s="48"/>
      <c r="G428" s="48"/>
      <c r="H428" s="48"/>
      <c r="I428" s="48"/>
      <c r="J428" s="47"/>
      <c r="K428" s="48"/>
      <c r="L428" s="48"/>
      <c r="M428" s="50"/>
      <c r="N428" s="50"/>
      <c r="O428" s="50"/>
      <c r="P428" s="48"/>
      <c r="Q428" s="48"/>
      <c r="R428" s="47"/>
      <c r="S428" s="26">
        <f t="shared" si="13"/>
        <v>0</v>
      </c>
      <c r="T428" s="26">
        <f>COUNTIF($V$4:V428,V428)</f>
        <v>417</v>
      </c>
      <c r="U428" s="26" t="str">
        <f>IF(T428=1,COUNTIF($T$4:T428,1),"")</f>
        <v/>
      </c>
      <c r="V428" s="27" t="str">
        <f>'施設状況(要更新)'!$E428&amp;'施設状況(要更新)'!$C428</f>
        <v/>
      </c>
      <c r="W428" s="27">
        <f>'施設状況(要更新)'!$F428</f>
        <v>0</v>
      </c>
      <c r="X428" s="28"/>
      <c r="Y428" s="27"/>
    </row>
    <row r="429" spans="1:25">
      <c r="A429" s="46"/>
      <c r="B429" s="47"/>
      <c r="C429" s="47"/>
      <c r="D429" s="47"/>
      <c r="E429" s="47"/>
      <c r="F429" s="48"/>
      <c r="G429" s="48"/>
      <c r="H429" s="48"/>
      <c r="I429" s="48"/>
      <c r="J429" s="47"/>
      <c r="K429" s="48"/>
      <c r="L429" s="48"/>
      <c r="M429" s="48"/>
      <c r="N429" s="48"/>
      <c r="O429" s="48"/>
      <c r="P429" s="48"/>
      <c r="Q429" s="48"/>
      <c r="R429" s="47"/>
      <c r="S429" s="26">
        <f t="shared" si="13"/>
        <v>0</v>
      </c>
      <c r="T429" s="26">
        <f>COUNTIF($V$4:V429,V429)</f>
        <v>418</v>
      </c>
      <c r="U429" s="26" t="str">
        <f>IF(T429=1,COUNTIF($T$4:T429,1),"")</f>
        <v/>
      </c>
      <c r="V429" s="27" t="str">
        <f>'施設状況(要更新)'!$E429&amp;'施設状況(要更新)'!$C429</f>
        <v/>
      </c>
      <c r="W429" s="27">
        <f>'施設状況(要更新)'!$F429</f>
        <v>0</v>
      </c>
      <c r="X429" s="28"/>
      <c r="Y429" s="27"/>
    </row>
    <row r="430" spans="1:25">
      <c r="A430" s="46"/>
      <c r="B430" s="47"/>
      <c r="C430" s="47"/>
      <c r="D430" s="47"/>
      <c r="E430" s="47"/>
      <c r="F430" s="48"/>
      <c r="G430" s="48"/>
      <c r="H430" s="48"/>
      <c r="I430" s="48"/>
      <c r="J430" s="47"/>
      <c r="K430" s="48"/>
      <c r="L430" s="48"/>
      <c r="M430" s="48"/>
      <c r="N430" s="48"/>
      <c r="O430" s="48"/>
      <c r="P430" s="48"/>
      <c r="Q430" s="48"/>
      <c r="R430" s="47"/>
      <c r="S430" s="26">
        <f t="shared" si="13"/>
        <v>0</v>
      </c>
      <c r="T430" s="26">
        <f>COUNTIF($V$4:V430,V430)</f>
        <v>419</v>
      </c>
      <c r="U430" s="26" t="str">
        <f>IF(T430=1,COUNTIF($T$4:T430,1),"")</f>
        <v/>
      </c>
      <c r="V430" s="27" t="str">
        <f>'施設状況(要更新)'!$E430&amp;'施設状況(要更新)'!$C430</f>
        <v/>
      </c>
      <c r="W430" s="27">
        <f>'施設状況(要更新)'!$F430</f>
        <v>0</v>
      </c>
      <c r="X430" s="28"/>
      <c r="Y430" s="27"/>
    </row>
    <row r="431" spans="1:25">
      <c r="A431" s="46"/>
      <c r="B431" s="47"/>
      <c r="C431" s="47"/>
      <c r="D431" s="47"/>
      <c r="E431" s="47"/>
      <c r="F431" s="48"/>
      <c r="G431" s="48"/>
      <c r="H431" s="48"/>
      <c r="I431" s="48"/>
      <c r="J431" s="47"/>
      <c r="K431" s="48"/>
      <c r="L431" s="48"/>
      <c r="M431" s="48"/>
      <c r="N431" s="48"/>
      <c r="O431" s="48"/>
      <c r="P431" s="48"/>
      <c r="Q431" s="48"/>
      <c r="R431" s="47"/>
      <c r="S431" s="26">
        <f t="shared" si="13"/>
        <v>0</v>
      </c>
      <c r="T431" s="26">
        <f>COUNTIF($V$4:V431,V431)</f>
        <v>420</v>
      </c>
      <c r="U431" s="26" t="str">
        <f>IF(T431=1,COUNTIF($T$4:T431,1),"")</f>
        <v/>
      </c>
      <c r="V431" s="27" t="str">
        <f>'施設状況(要更新)'!$E431&amp;'施設状況(要更新)'!$C431</f>
        <v/>
      </c>
      <c r="W431" s="27">
        <f>'施設状況(要更新)'!$F431</f>
        <v>0</v>
      </c>
      <c r="X431" s="28"/>
      <c r="Y431" s="27"/>
    </row>
    <row r="432" spans="1:25">
      <c r="A432" s="46"/>
      <c r="B432" s="47"/>
      <c r="C432" s="47"/>
      <c r="D432" s="47"/>
      <c r="E432" s="47"/>
      <c r="F432" s="48"/>
      <c r="G432" s="48"/>
      <c r="H432" s="48"/>
      <c r="I432" s="48"/>
      <c r="J432" s="47"/>
      <c r="K432" s="48"/>
      <c r="L432" s="48"/>
      <c r="M432" s="48"/>
      <c r="N432" s="48"/>
      <c r="O432" s="48"/>
      <c r="P432" s="48"/>
      <c r="Q432" s="48"/>
      <c r="R432" s="47"/>
      <c r="S432" s="26">
        <f t="shared" si="13"/>
        <v>0</v>
      </c>
      <c r="T432" s="26">
        <f>COUNTIF($V$4:V432,V432)</f>
        <v>421</v>
      </c>
      <c r="U432" s="26" t="str">
        <f>IF(T432=1,COUNTIF($T$4:T432,1),"")</f>
        <v/>
      </c>
      <c r="V432" s="27" t="str">
        <f>'施設状況(要更新)'!$E432&amp;'施設状況(要更新)'!$C432</f>
        <v/>
      </c>
      <c r="W432" s="27">
        <f>'施設状況(要更新)'!$F432</f>
        <v>0</v>
      </c>
      <c r="X432" s="28"/>
      <c r="Y432" s="27"/>
    </row>
    <row r="433" spans="1:25">
      <c r="A433" s="46"/>
      <c r="B433" s="47"/>
      <c r="C433" s="47"/>
      <c r="D433" s="47"/>
      <c r="E433" s="47"/>
      <c r="F433" s="48"/>
      <c r="G433" s="48"/>
      <c r="H433" s="48"/>
      <c r="I433" s="48"/>
      <c r="J433" s="47"/>
      <c r="K433" s="48"/>
      <c r="L433" s="48"/>
      <c r="M433" s="48"/>
      <c r="N433" s="48"/>
      <c r="O433" s="48"/>
      <c r="P433" s="48"/>
      <c r="Q433" s="48"/>
      <c r="R433" s="47"/>
      <c r="S433" s="26">
        <f t="shared" si="13"/>
        <v>0</v>
      </c>
      <c r="T433" s="26">
        <f>COUNTIF($V$4:V433,V433)</f>
        <v>422</v>
      </c>
      <c r="U433" s="26" t="str">
        <f>IF(T433=1,COUNTIF($T$4:T433,1),"")</f>
        <v/>
      </c>
      <c r="V433" s="27" t="str">
        <f>'施設状況(要更新)'!$E433&amp;'施設状況(要更新)'!$C433</f>
        <v/>
      </c>
      <c r="W433" s="27">
        <f>'施設状況(要更新)'!$F433</f>
        <v>0</v>
      </c>
      <c r="X433" s="28"/>
      <c r="Y433" s="27"/>
    </row>
    <row r="434" spans="1:25">
      <c r="A434" s="46"/>
      <c r="B434" s="47"/>
      <c r="C434" s="47"/>
      <c r="D434" s="47"/>
      <c r="E434" s="47"/>
      <c r="F434" s="48"/>
      <c r="G434" s="48"/>
      <c r="H434" s="48"/>
      <c r="I434" s="48"/>
      <c r="J434" s="47"/>
      <c r="K434" s="48"/>
      <c r="L434" s="48"/>
      <c r="M434" s="48"/>
      <c r="N434" s="48"/>
      <c r="O434" s="48"/>
      <c r="P434" s="48"/>
      <c r="Q434" s="48"/>
      <c r="R434" s="47"/>
      <c r="S434" s="26">
        <f t="shared" si="13"/>
        <v>0</v>
      </c>
      <c r="T434" s="26">
        <f>COUNTIF($V$4:V434,V434)</f>
        <v>423</v>
      </c>
      <c r="U434" s="26" t="str">
        <f>IF(T434=1,COUNTIF($T$4:T434,1),"")</f>
        <v/>
      </c>
      <c r="V434" s="27" t="str">
        <f>'施設状況(要更新)'!$E434&amp;'施設状況(要更新)'!$C434</f>
        <v/>
      </c>
      <c r="W434" s="27">
        <f>'施設状況(要更新)'!$F434</f>
        <v>0</v>
      </c>
      <c r="X434" s="28"/>
      <c r="Y434" s="27"/>
    </row>
    <row r="435" spans="1:25">
      <c r="A435" s="46"/>
      <c r="B435" s="47"/>
      <c r="C435" s="47"/>
      <c r="D435" s="47"/>
      <c r="E435" s="47"/>
      <c r="F435" s="48"/>
      <c r="G435" s="48"/>
      <c r="H435" s="48"/>
      <c r="I435" s="48"/>
      <c r="J435" s="47"/>
      <c r="K435" s="48"/>
      <c r="L435" s="48"/>
      <c r="M435" s="48"/>
      <c r="N435" s="48"/>
      <c r="O435" s="48"/>
      <c r="P435" s="48"/>
      <c r="Q435" s="48"/>
      <c r="R435" s="47"/>
      <c r="S435" s="26">
        <f t="shared" si="13"/>
        <v>0</v>
      </c>
      <c r="T435" s="26">
        <f>COUNTIF($V$4:V435,V435)</f>
        <v>424</v>
      </c>
      <c r="U435" s="26" t="str">
        <f>IF(T435=1,COUNTIF($T$4:T435,1),"")</f>
        <v/>
      </c>
      <c r="V435" s="27" t="str">
        <f>'施設状況(要更新)'!$E435&amp;'施設状況(要更新)'!$C435</f>
        <v/>
      </c>
      <c r="W435" s="27">
        <f>'施設状況(要更新)'!$F435</f>
        <v>0</v>
      </c>
      <c r="X435" s="28"/>
      <c r="Y435" s="27"/>
    </row>
    <row r="436" spans="1:25">
      <c r="A436" s="46"/>
      <c r="B436" s="47"/>
      <c r="C436" s="47"/>
      <c r="D436" s="47"/>
      <c r="E436" s="47"/>
      <c r="F436" s="48"/>
      <c r="G436" s="48"/>
      <c r="H436" s="48"/>
      <c r="I436" s="48"/>
      <c r="J436" s="47"/>
      <c r="K436" s="48"/>
      <c r="L436" s="48"/>
      <c r="M436" s="48"/>
      <c r="N436" s="48"/>
      <c r="O436" s="48"/>
      <c r="P436" s="48"/>
      <c r="Q436" s="48"/>
      <c r="R436" s="47"/>
      <c r="S436" s="26">
        <f t="shared" si="13"/>
        <v>0</v>
      </c>
      <c r="T436" s="26">
        <f>COUNTIF($V$4:V436,V436)</f>
        <v>425</v>
      </c>
      <c r="U436" s="26" t="str">
        <f>IF(T436=1,COUNTIF($T$4:T436,1),"")</f>
        <v/>
      </c>
      <c r="V436" s="27" t="str">
        <f>'施設状況(要更新)'!$E436&amp;'施設状況(要更新)'!$C436</f>
        <v/>
      </c>
      <c r="W436" s="27">
        <f>'施設状況(要更新)'!$F436</f>
        <v>0</v>
      </c>
      <c r="X436" s="28"/>
      <c r="Y436" s="27"/>
    </row>
    <row r="437" spans="1:25">
      <c r="A437" s="46"/>
      <c r="B437" s="47"/>
      <c r="C437" s="47"/>
      <c r="D437" s="47"/>
      <c r="E437" s="47"/>
      <c r="F437" s="48"/>
      <c r="G437" s="48"/>
      <c r="H437" s="48"/>
      <c r="I437" s="48"/>
      <c r="J437" s="47"/>
      <c r="K437" s="48"/>
      <c r="L437" s="48"/>
      <c r="M437" s="48"/>
      <c r="N437" s="48"/>
      <c r="O437" s="48"/>
      <c r="P437" s="48"/>
      <c r="Q437" s="48"/>
      <c r="R437" s="47"/>
      <c r="S437" s="26">
        <f t="shared" si="13"/>
        <v>0</v>
      </c>
      <c r="T437" s="26">
        <f>COUNTIF($V$4:V437,V437)</f>
        <v>426</v>
      </c>
      <c r="U437" s="26" t="str">
        <f>IF(T437=1,COUNTIF($T$4:T437,1),"")</f>
        <v/>
      </c>
      <c r="V437" s="27" t="str">
        <f>'施設状況(要更新)'!$E437&amp;'施設状況(要更新)'!$C437</f>
        <v/>
      </c>
      <c r="W437" s="27">
        <f>'施設状況(要更新)'!$F437</f>
        <v>0</v>
      </c>
      <c r="X437" s="28"/>
      <c r="Y437" s="27"/>
    </row>
    <row r="438" spans="1:25">
      <c r="A438" s="46"/>
      <c r="B438" s="47"/>
      <c r="C438" s="47"/>
      <c r="D438" s="47"/>
      <c r="E438" s="47"/>
      <c r="F438" s="48"/>
      <c r="G438" s="48"/>
      <c r="H438" s="48"/>
      <c r="I438" s="48"/>
      <c r="J438" s="47"/>
      <c r="K438" s="48"/>
      <c r="L438" s="48"/>
      <c r="M438" s="48"/>
      <c r="N438" s="48"/>
      <c r="O438" s="48"/>
      <c r="P438" s="48"/>
      <c r="Q438" s="48"/>
      <c r="R438" s="47"/>
      <c r="S438" s="26">
        <f t="shared" si="13"/>
        <v>0</v>
      </c>
      <c r="T438" s="26">
        <f>COUNTIF($V$4:V438,V438)</f>
        <v>427</v>
      </c>
      <c r="U438" s="26" t="str">
        <f>IF(T438=1,COUNTIF($T$4:T438,1),"")</f>
        <v/>
      </c>
      <c r="V438" s="27" t="str">
        <f>'施設状況(要更新)'!$E438&amp;'施設状況(要更新)'!$C438</f>
        <v/>
      </c>
      <c r="W438" s="27">
        <f>'施設状況(要更新)'!$F438</f>
        <v>0</v>
      </c>
      <c r="X438" s="28"/>
      <c r="Y438" s="27"/>
    </row>
    <row r="439" spans="1:25">
      <c r="A439" s="46"/>
      <c r="B439" s="47"/>
      <c r="C439" s="47"/>
      <c r="D439" s="47"/>
      <c r="E439" s="47"/>
      <c r="F439" s="48"/>
      <c r="G439" s="48"/>
      <c r="H439" s="48"/>
      <c r="I439" s="48"/>
      <c r="J439" s="47"/>
      <c r="K439" s="48"/>
      <c r="L439" s="48"/>
      <c r="M439" s="48"/>
      <c r="N439" s="48"/>
      <c r="O439" s="48"/>
      <c r="P439" s="48"/>
      <c r="Q439" s="48"/>
      <c r="R439" s="47"/>
      <c r="S439" s="26">
        <f t="shared" si="13"/>
        <v>0</v>
      </c>
      <c r="T439" s="26">
        <f>COUNTIF($V$4:V439,V439)</f>
        <v>428</v>
      </c>
      <c r="U439" s="26" t="str">
        <f>IF(T439=1,COUNTIF($T$4:T439,1),"")</f>
        <v/>
      </c>
      <c r="V439" s="27" t="str">
        <f>'施設状況(要更新)'!$E439&amp;'施設状況(要更新)'!$C439</f>
        <v/>
      </c>
      <c r="W439" s="27">
        <f>'施設状況(要更新)'!$F439</f>
        <v>0</v>
      </c>
      <c r="X439" s="28"/>
      <c r="Y439" s="27"/>
    </row>
    <row r="440" spans="1:25">
      <c r="A440" s="46"/>
      <c r="B440" s="47"/>
      <c r="C440" s="47"/>
      <c r="D440" s="47"/>
      <c r="E440" s="47"/>
      <c r="F440" s="48"/>
      <c r="G440" s="48"/>
      <c r="H440" s="48"/>
      <c r="I440" s="48"/>
      <c r="J440" s="47"/>
      <c r="K440" s="48"/>
      <c r="L440" s="48"/>
      <c r="M440" s="48"/>
      <c r="N440" s="48"/>
      <c r="O440" s="48"/>
      <c r="P440" s="48"/>
      <c r="Q440" s="48"/>
      <c r="R440" s="47"/>
      <c r="S440" s="26">
        <f t="shared" si="13"/>
        <v>0</v>
      </c>
      <c r="T440" s="26">
        <f>COUNTIF($V$4:V440,V440)</f>
        <v>429</v>
      </c>
      <c r="U440" s="26" t="str">
        <f>IF(T440=1,COUNTIF($T$4:T440,1),"")</f>
        <v/>
      </c>
      <c r="V440" s="27" t="str">
        <f>'施設状況(要更新)'!$E440&amp;'施設状況(要更新)'!$C440</f>
        <v/>
      </c>
      <c r="W440" s="27">
        <f>'施設状況(要更新)'!$F440</f>
        <v>0</v>
      </c>
      <c r="X440" s="28"/>
      <c r="Y440" s="27"/>
    </row>
    <row r="441" spans="1:25">
      <c r="A441" s="46"/>
      <c r="B441" s="47"/>
      <c r="C441" s="47"/>
      <c r="D441" s="47"/>
      <c r="E441" s="47"/>
      <c r="F441" s="48"/>
      <c r="G441" s="48"/>
      <c r="H441" s="48"/>
      <c r="I441" s="48"/>
      <c r="J441" s="47"/>
      <c r="K441" s="48"/>
      <c r="L441" s="48"/>
      <c r="M441" s="48"/>
      <c r="N441" s="48"/>
      <c r="O441" s="48"/>
      <c r="P441" s="48"/>
      <c r="Q441" s="48"/>
      <c r="R441" s="47"/>
      <c r="S441" s="26">
        <f t="shared" si="13"/>
        <v>0</v>
      </c>
      <c r="T441" s="26">
        <f>COUNTIF($V$4:V441,V441)</f>
        <v>430</v>
      </c>
      <c r="U441" s="26" t="str">
        <f>IF(T441=1,COUNTIF($T$4:T441,1),"")</f>
        <v/>
      </c>
      <c r="V441" s="27" t="str">
        <f>'施設状況(要更新)'!$E441&amp;'施設状況(要更新)'!$C441</f>
        <v/>
      </c>
      <c r="W441" s="27">
        <f>'施設状況(要更新)'!$F441</f>
        <v>0</v>
      </c>
      <c r="X441" s="28"/>
      <c r="Y441" s="27"/>
    </row>
    <row r="442" spans="1:25">
      <c r="A442" s="46"/>
      <c r="B442" s="47"/>
      <c r="C442" s="47"/>
      <c r="D442" s="47"/>
      <c r="E442" s="47"/>
      <c r="F442" s="48"/>
      <c r="G442" s="48"/>
      <c r="H442" s="48"/>
      <c r="I442" s="48"/>
      <c r="J442" s="47"/>
      <c r="K442" s="48"/>
      <c r="L442" s="48"/>
      <c r="M442" s="48"/>
      <c r="N442" s="48"/>
      <c r="O442" s="48"/>
      <c r="P442" s="48"/>
      <c r="Q442" s="48"/>
      <c r="R442" s="47"/>
      <c r="S442" s="26">
        <f t="shared" si="13"/>
        <v>0</v>
      </c>
      <c r="T442" s="26">
        <f>COUNTIF($V$4:V442,V442)</f>
        <v>431</v>
      </c>
      <c r="U442" s="26" t="str">
        <f>IF(T442=1,COUNTIF($T$4:T442,1),"")</f>
        <v/>
      </c>
      <c r="V442" s="27" t="str">
        <f>'施設状況(要更新)'!$E442&amp;'施設状況(要更新)'!$C442</f>
        <v/>
      </c>
      <c r="W442" s="27">
        <f>'施設状況(要更新)'!$F442</f>
        <v>0</v>
      </c>
      <c r="X442" s="28"/>
      <c r="Y442" s="27"/>
    </row>
    <row r="443" spans="1:25">
      <c r="A443" s="46"/>
      <c r="B443" s="47"/>
      <c r="C443" s="47"/>
      <c r="D443" s="47"/>
      <c r="E443" s="47"/>
      <c r="F443" s="48"/>
      <c r="G443" s="48"/>
      <c r="H443" s="48"/>
      <c r="I443" s="48"/>
      <c r="J443" s="47"/>
      <c r="K443" s="48"/>
      <c r="L443" s="48"/>
      <c r="M443" s="48"/>
      <c r="N443" s="48"/>
      <c r="O443" s="48"/>
      <c r="P443" s="48"/>
      <c r="Q443" s="48"/>
      <c r="R443" s="47"/>
      <c r="S443" s="26">
        <f t="shared" si="13"/>
        <v>0</v>
      </c>
      <c r="T443" s="26">
        <f>COUNTIF($V$4:V443,V443)</f>
        <v>432</v>
      </c>
      <c r="U443" s="26" t="str">
        <f>IF(T443=1,COUNTIF($T$4:T443,1),"")</f>
        <v/>
      </c>
      <c r="V443" s="27" t="str">
        <f>'施設状況(要更新)'!$E443&amp;'施設状況(要更新)'!$C443</f>
        <v/>
      </c>
      <c r="W443" s="27">
        <f>'施設状況(要更新)'!$F443</f>
        <v>0</v>
      </c>
      <c r="X443" s="28"/>
      <c r="Y443" s="27"/>
    </row>
    <row r="444" spans="1:25">
      <c r="A444" s="46"/>
      <c r="B444" s="47"/>
      <c r="C444" s="47"/>
      <c r="D444" s="47"/>
      <c r="E444" s="47"/>
      <c r="F444" s="48"/>
      <c r="G444" s="48"/>
      <c r="H444" s="48"/>
      <c r="I444" s="48"/>
      <c r="J444" s="47"/>
      <c r="K444" s="48"/>
      <c r="L444" s="48"/>
      <c r="M444" s="48"/>
      <c r="N444" s="48"/>
      <c r="O444" s="48"/>
      <c r="P444" s="48"/>
      <c r="Q444" s="48"/>
      <c r="R444" s="47"/>
      <c r="S444" s="26">
        <f t="shared" si="13"/>
        <v>0</v>
      </c>
      <c r="T444" s="26">
        <f>COUNTIF($V$4:V444,V444)</f>
        <v>433</v>
      </c>
      <c r="U444" s="26" t="str">
        <f>IF(T444=1,COUNTIF($T$4:T444,1),"")</f>
        <v/>
      </c>
      <c r="V444" s="27" t="str">
        <f>'施設状況(要更新)'!$E444&amp;'施設状況(要更新)'!$C444</f>
        <v/>
      </c>
      <c r="W444" s="27">
        <f>'施設状況(要更新)'!$F444</f>
        <v>0</v>
      </c>
      <c r="X444" s="28"/>
      <c r="Y444" s="27"/>
    </row>
    <row r="445" spans="1:25" s="10" customFormat="1" ht="11.25">
      <c r="A445" s="46"/>
      <c r="B445" s="47"/>
      <c r="C445" s="47"/>
      <c r="D445" s="47"/>
      <c r="E445" s="47"/>
      <c r="F445" s="48"/>
      <c r="G445" s="48"/>
      <c r="H445" s="48"/>
      <c r="I445" s="48"/>
      <c r="J445" s="47"/>
      <c r="K445" s="48"/>
      <c r="L445" s="48"/>
      <c r="M445" s="48"/>
      <c r="N445" s="48"/>
      <c r="O445" s="48"/>
      <c r="P445" s="48"/>
      <c r="Q445" s="48"/>
      <c r="R445" s="47"/>
      <c r="S445" s="26">
        <f t="shared" si="13"/>
        <v>0</v>
      </c>
      <c r="T445" s="26">
        <f>COUNTIF($V$4:V445,V445)</f>
        <v>434</v>
      </c>
      <c r="U445" s="26" t="str">
        <f>IF(T445=1,COUNTIF($T$4:T445,1),"")</f>
        <v/>
      </c>
      <c r="V445" s="27" t="str">
        <f>'施設状況(要更新)'!$E445&amp;'施設状況(要更新)'!$C445</f>
        <v/>
      </c>
      <c r="W445" s="27">
        <f>'施設状況(要更新)'!$F445</f>
        <v>0</v>
      </c>
      <c r="X445" s="28"/>
      <c r="Y445" s="27"/>
    </row>
    <row r="446" spans="1:25" s="10" customFormat="1" ht="11.25">
      <c r="A446" s="46"/>
      <c r="B446" s="51"/>
      <c r="C446" s="47"/>
      <c r="D446" s="47"/>
      <c r="E446" s="47"/>
      <c r="F446" s="48"/>
      <c r="G446" s="48"/>
      <c r="H446" s="48"/>
      <c r="I446" s="48"/>
      <c r="J446" s="47"/>
      <c r="K446" s="48"/>
      <c r="L446" s="48"/>
      <c r="M446" s="48"/>
      <c r="N446" s="48"/>
      <c r="O446" s="48"/>
      <c r="P446" s="48"/>
      <c r="Q446" s="48"/>
      <c r="R446" s="47"/>
      <c r="S446" s="26">
        <f t="shared" si="13"/>
        <v>0</v>
      </c>
      <c r="T446" s="26">
        <f>COUNTIF($V$4:V446,V446)</f>
        <v>435</v>
      </c>
      <c r="U446" s="26" t="str">
        <f>IF(T446=1,COUNTIF($T$4:T446,1),"")</f>
        <v/>
      </c>
      <c r="V446" s="27" t="str">
        <f>'施設状況(要更新)'!$E446&amp;'施設状況(要更新)'!$C446</f>
        <v/>
      </c>
      <c r="W446" s="27">
        <f>'施設状況(要更新)'!$F446</f>
        <v>0</v>
      </c>
      <c r="X446" s="28"/>
      <c r="Y446" s="27"/>
    </row>
    <row r="447" spans="1:25" s="10" customFormat="1" ht="11.25">
      <c r="A447" s="46"/>
      <c r="B447" s="51"/>
      <c r="C447" s="47"/>
      <c r="D447" s="47"/>
      <c r="E447" s="47"/>
      <c r="F447" s="48"/>
      <c r="G447" s="48"/>
      <c r="H447" s="48"/>
      <c r="I447" s="48"/>
      <c r="J447" s="47"/>
      <c r="K447" s="48"/>
      <c r="L447" s="48"/>
      <c r="M447" s="48"/>
      <c r="N447" s="48"/>
      <c r="O447" s="48"/>
      <c r="P447" s="48"/>
      <c r="Q447" s="48"/>
      <c r="R447" s="47"/>
      <c r="S447" s="26">
        <f t="shared" si="13"/>
        <v>0</v>
      </c>
      <c r="T447" s="26">
        <f>COUNTIF($V$4:V447,V447)</f>
        <v>436</v>
      </c>
      <c r="U447" s="26" t="str">
        <f>IF(T447=1,COUNTIF($T$4:T447,1),"")</f>
        <v/>
      </c>
      <c r="V447" s="27" t="str">
        <f>'施設状況(要更新)'!$E447&amp;'施設状況(要更新)'!$C447</f>
        <v/>
      </c>
      <c r="W447" s="27">
        <f>'施設状況(要更新)'!$F447</f>
        <v>0</v>
      </c>
      <c r="X447" s="28"/>
      <c r="Y447" s="27"/>
    </row>
    <row r="448" spans="1:25" s="10" customFormat="1" ht="11.25">
      <c r="A448" s="46"/>
      <c r="B448" s="51"/>
      <c r="C448" s="47"/>
      <c r="D448" s="47"/>
      <c r="E448" s="47"/>
      <c r="F448" s="48"/>
      <c r="G448" s="48"/>
      <c r="H448" s="48"/>
      <c r="I448" s="48"/>
      <c r="J448" s="47"/>
      <c r="K448" s="48"/>
      <c r="L448" s="48"/>
      <c r="M448" s="48"/>
      <c r="N448" s="48"/>
      <c r="O448" s="48"/>
      <c r="P448" s="48"/>
      <c r="Q448" s="48"/>
      <c r="R448" s="47"/>
      <c r="S448" s="26">
        <f t="shared" si="13"/>
        <v>0</v>
      </c>
      <c r="T448" s="26">
        <f>COUNTIF($V$4:V448,V448)</f>
        <v>437</v>
      </c>
      <c r="U448" s="26" t="str">
        <f>IF(T448=1,COUNTIF($T$4:T448,1),"")</f>
        <v/>
      </c>
      <c r="V448" s="27" t="str">
        <f>'施設状況(要更新)'!$E448&amp;'施設状況(要更新)'!$C448</f>
        <v/>
      </c>
      <c r="W448" s="27">
        <f>'施設状況(要更新)'!$F448</f>
        <v>0</v>
      </c>
      <c r="X448" s="28"/>
      <c r="Y448" s="27"/>
    </row>
    <row r="449" spans="1:25" s="10" customFormat="1" ht="11.25">
      <c r="A449" s="46"/>
      <c r="B449" s="51"/>
      <c r="C449" s="47"/>
      <c r="D449" s="47"/>
      <c r="E449" s="47"/>
      <c r="F449" s="48"/>
      <c r="G449" s="48"/>
      <c r="H449" s="48"/>
      <c r="I449" s="48"/>
      <c r="J449" s="47"/>
      <c r="K449" s="48"/>
      <c r="L449" s="48"/>
      <c r="M449" s="48"/>
      <c r="N449" s="48"/>
      <c r="O449" s="48"/>
      <c r="P449" s="48"/>
      <c r="Q449" s="48"/>
      <c r="R449" s="47"/>
      <c r="S449" s="26">
        <f t="shared" si="13"/>
        <v>0</v>
      </c>
      <c r="T449" s="26">
        <f>COUNTIF($V$4:V449,V449)</f>
        <v>438</v>
      </c>
      <c r="U449" s="26" t="str">
        <f>IF(T449=1,COUNTIF($T$4:T449,1),"")</f>
        <v/>
      </c>
      <c r="V449" s="27" t="str">
        <f>'施設状況(要更新)'!$E449&amp;'施設状況(要更新)'!$C449</f>
        <v/>
      </c>
      <c r="W449" s="27">
        <f>'施設状況(要更新)'!$F449</f>
        <v>0</v>
      </c>
      <c r="X449" s="28"/>
      <c r="Y449" s="27"/>
    </row>
    <row r="450" spans="1:25" s="10" customFormat="1" ht="11.25">
      <c r="A450" s="46"/>
      <c r="B450" s="51"/>
      <c r="C450" s="47"/>
      <c r="D450" s="47"/>
      <c r="E450" s="47"/>
      <c r="F450" s="48"/>
      <c r="G450" s="48"/>
      <c r="H450" s="48"/>
      <c r="I450" s="48"/>
      <c r="J450" s="47"/>
      <c r="K450" s="48"/>
      <c r="L450" s="48"/>
      <c r="M450" s="48"/>
      <c r="N450" s="48"/>
      <c r="O450" s="48"/>
      <c r="P450" s="48"/>
      <c r="Q450" s="48"/>
      <c r="R450" s="47"/>
      <c r="S450" s="26">
        <f t="shared" si="13"/>
        <v>0</v>
      </c>
      <c r="T450" s="26">
        <f>COUNTIF($V$4:V450,V450)</f>
        <v>439</v>
      </c>
      <c r="U450" s="26" t="str">
        <f>IF(T450=1,COUNTIF($T$4:T450,1),"")</f>
        <v/>
      </c>
      <c r="V450" s="27" t="str">
        <f>'施設状況(要更新)'!$E450&amp;'施設状況(要更新)'!$C450</f>
        <v/>
      </c>
      <c r="W450" s="27">
        <f>'施設状況(要更新)'!$F450</f>
        <v>0</v>
      </c>
      <c r="X450" s="28"/>
      <c r="Y450" s="27"/>
    </row>
    <row r="451" spans="1:25" s="10" customFormat="1" ht="11.25">
      <c r="A451" s="46"/>
      <c r="B451" s="51"/>
      <c r="C451" s="47"/>
      <c r="D451" s="47"/>
      <c r="E451" s="47"/>
      <c r="F451" s="48"/>
      <c r="G451" s="48"/>
      <c r="H451" s="48"/>
      <c r="I451" s="48"/>
      <c r="J451" s="47"/>
      <c r="K451" s="48"/>
      <c r="L451" s="48"/>
      <c r="M451" s="48"/>
      <c r="N451" s="48"/>
      <c r="O451" s="48"/>
      <c r="P451" s="48"/>
      <c r="Q451" s="48"/>
      <c r="R451" s="47"/>
      <c r="S451" s="26">
        <f t="shared" si="13"/>
        <v>0</v>
      </c>
      <c r="T451" s="26">
        <f>COUNTIF($V$4:V451,V451)</f>
        <v>440</v>
      </c>
      <c r="U451" s="26" t="str">
        <f>IF(T451=1,COUNTIF($T$4:T451,1),"")</f>
        <v/>
      </c>
      <c r="V451" s="27" t="str">
        <f>'施設状況(要更新)'!$E451&amp;'施設状況(要更新)'!$C451</f>
        <v/>
      </c>
      <c r="W451" s="27">
        <f>'施設状況(要更新)'!$F451</f>
        <v>0</v>
      </c>
      <c r="X451" s="28"/>
      <c r="Y451" s="27"/>
    </row>
    <row r="452" spans="1:25" s="10" customFormat="1" ht="11.25">
      <c r="A452" s="46"/>
      <c r="B452" s="51"/>
      <c r="C452" s="47"/>
      <c r="D452" s="47"/>
      <c r="E452" s="47"/>
      <c r="F452" s="48"/>
      <c r="G452" s="48"/>
      <c r="H452" s="48"/>
      <c r="I452" s="48"/>
      <c r="J452" s="48"/>
      <c r="K452" s="48"/>
      <c r="L452" s="48"/>
      <c r="M452" s="48"/>
      <c r="N452" s="48"/>
      <c r="O452" s="48"/>
      <c r="P452" s="48"/>
      <c r="Q452" s="48"/>
      <c r="R452" s="47"/>
      <c r="S452" s="26">
        <f t="shared" si="13"/>
        <v>0</v>
      </c>
      <c r="T452" s="26">
        <f>COUNTIF($V$4:V452,V452)</f>
        <v>441</v>
      </c>
      <c r="U452" s="26" t="str">
        <f>IF(T452=1,COUNTIF($T$4:T452,1),"")</f>
        <v/>
      </c>
      <c r="V452" s="27" t="str">
        <f>'施設状況(要更新)'!$E452&amp;'施設状況(要更新)'!$C452</f>
        <v/>
      </c>
      <c r="W452" s="27">
        <f>'施設状況(要更新)'!$F452</f>
        <v>0</v>
      </c>
      <c r="X452" s="28"/>
      <c r="Y452" s="27"/>
    </row>
    <row r="453" spans="1:25" s="10" customFormat="1" ht="11.25">
      <c r="A453" s="46"/>
      <c r="B453" s="51"/>
      <c r="C453" s="47"/>
      <c r="D453" s="47"/>
      <c r="E453" s="47"/>
      <c r="F453" s="48"/>
      <c r="G453" s="48"/>
      <c r="H453" s="48"/>
      <c r="I453" s="48"/>
      <c r="J453" s="47"/>
      <c r="K453" s="48"/>
      <c r="L453" s="48"/>
      <c r="M453" s="48"/>
      <c r="N453" s="48"/>
      <c r="O453" s="48"/>
      <c r="P453" s="48"/>
      <c r="Q453" s="48"/>
      <c r="R453" s="47"/>
      <c r="S453" s="26">
        <f t="shared" ref="S453:S516" si="14">A453</f>
        <v>0</v>
      </c>
      <c r="T453" s="26">
        <f>COUNTIF($V$4:V453,V453)</f>
        <v>442</v>
      </c>
      <c r="U453" s="26" t="str">
        <f>IF(T453=1,COUNTIF($T$4:T453,1),"")</f>
        <v/>
      </c>
      <c r="V453" s="27" t="str">
        <f>'施設状況(要更新)'!$E453&amp;'施設状況(要更新)'!$C453</f>
        <v/>
      </c>
      <c r="W453" s="27">
        <f>'施設状況(要更新)'!$F453</f>
        <v>0</v>
      </c>
      <c r="X453" s="28"/>
      <c r="Y453" s="27"/>
    </row>
    <row r="454" spans="1:25" s="10" customFormat="1" ht="11.25">
      <c r="A454" s="46"/>
      <c r="B454" s="51"/>
      <c r="C454" s="47"/>
      <c r="D454" s="47"/>
      <c r="E454" s="47"/>
      <c r="F454" s="48"/>
      <c r="G454" s="48"/>
      <c r="H454" s="48"/>
      <c r="I454" s="48"/>
      <c r="J454" s="47"/>
      <c r="K454" s="48"/>
      <c r="L454" s="48"/>
      <c r="M454" s="48"/>
      <c r="N454" s="48"/>
      <c r="O454" s="48"/>
      <c r="P454" s="48"/>
      <c r="Q454" s="48"/>
      <c r="R454" s="47"/>
      <c r="S454" s="26">
        <f t="shared" si="14"/>
        <v>0</v>
      </c>
      <c r="T454" s="26">
        <f>COUNTIF($V$4:V454,V454)</f>
        <v>443</v>
      </c>
      <c r="U454" s="26" t="str">
        <f>IF(T454=1,COUNTIF($T$4:T454,1),"")</f>
        <v/>
      </c>
      <c r="V454" s="27" t="str">
        <f>'施設状況(要更新)'!$E454&amp;'施設状況(要更新)'!$C454</f>
        <v/>
      </c>
      <c r="W454" s="27">
        <f>'施設状況(要更新)'!$F454</f>
        <v>0</v>
      </c>
      <c r="X454" s="28"/>
      <c r="Y454" s="27"/>
    </row>
    <row r="455" spans="1:25" s="10" customFormat="1" ht="11.25">
      <c r="A455" s="46"/>
      <c r="B455" s="51"/>
      <c r="C455" s="47"/>
      <c r="D455" s="47"/>
      <c r="E455" s="47"/>
      <c r="F455" s="48"/>
      <c r="G455" s="48"/>
      <c r="H455" s="48"/>
      <c r="I455" s="48"/>
      <c r="J455" s="47"/>
      <c r="K455" s="48"/>
      <c r="L455" s="48"/>
      <c r="M455" s="48"/>
      <c r="N455" s="48"/>
      <c r="O455" s="48"/>
      <c r="P455" s="48"/>
      <c r="Q455" s="48"/>
      <c r="R455" s="47"/>
      <c r="S455" s="26">
        <f t="shared" si="14"/>
        <v>0</v>
      </c>
      <c r="T455" s="26">
        <f>COUNTIF($V$4:V455,V455)</f>
        <v>444</v>
      </c>
      <c r="U455" s="26" t="str">
        <f>IF(T455=1,COUNTIF($T$4:T455,1),"")</f>
        <v/>
      </c>
      <c r="V455" s="27" t="str">
        <f>'施設状況(要更新)'!$E455&amp;'施設状況(要更新)'!$C455</f>
        <v/>
      </c>
      <c r="W455" s="27">
        <f>'施設状況(要更新)'!$F455</f>
        <v>0</v>
      </c>
      <c r="X455" s="28"/>
      <c r="Y455" s="27"/>
    </row>
    <row r="456" spans="1:25" s="10" customFormat="1" ht="11.25">
      <c r="A456" s="46"/>
      <c r="B456" s="51"/>
      <c r="C456" s="52"/>
      <c r="D456" s="53"/>
      <c r="E456" s="47"/>
      <c r="F456" s="48"/>
      <c r="G456" s="48"/>
      <c r="H456" s="48"/>
      <c r="I456" s="48"/>
      <c r="J456" s="47"/>
      <c r="K456" s="48"/>
      <c r="L456" s="48"/>
      <c r="M456" s="48"/>
      <c r="N456" s="48"/>
      <c r="O456" s="48"/>
      <c r="P456" s="48"/>
      <c r="Q456" s="48"/>
      <c r="R456" s="47"/>
      <c r="S456" s="26">
        <f t="shared" si="14"/>
        <v>0</v>
      </c>
      <c r="T456" s="26">
        <f>COUNTIF($V$4:V456,V456)</f>
        <v>445</v>
      </c>
      <c r="U456" s="26" t="str">
        <f>IF(T456=1,COUNTIF($T$4:T456,1),"")</f>
        <v/>
      </c>
      <c r="V456" s="27" t="str">
        <f>'施設状況(要更新)'!$E456&amp;'施設状況(要更新)'!$C456</f>
        <v/>
      </c>
      <c r="W456" s="27">
        <f>'施設状況(要更新)'!$F456</f>
        <v>0</v>
      </c>
      <c r="X456" s="28"/>
      <c r="Y456" s="27"/>
    </row>
    <row r="457" spans="1:25" s="10" customFormat="1" ht="11.25">
      <c r="A457" s="46"/>
      <c r="B457" s="51"/>
      <c r="C457" s="47"/>
      <c r="D457" s="47"/>
      <c r="E457" s="47"/>
      <c r="F457" s="48"/>
      <c r="G457" s="48"/>
      <c r="H457" s="48"/>
      <c r="I457" s="48"/>
      <c r="J457" s="47"/>
      <c r="K457" s="48"/>
      <c r="L457" s="48"/>
      <c r="M457" s="48"/>
      <c r="N457" s="48"/>
      <c r="O457" s="48"/>
      <c r="P457" s="48"/>
      <c r="Q457" s="48"/>
      <c r="R457" s="47"/>
      <c r="S457" s="26">
        <f t="shared" si="14"/>
        <v>0</v>
      </c>
      <c r="T457" s="26">
        <f>COUNTIF($V$4:V457,V457)</f>
        <v>446</v>
      </c>
      <c r="U457" s="26" t="str">
        <f>IF(T457=1,COUNTIF($T$4:T457,1),"")</f>
        <v/>
      </c>
      <c r="V457" s="27" t="str">
        <f>'施設状況(要更新)'!$E457&amp;'施設状況(要更新)'!$C457</f>
        <v/>
      </c>
      <c r="W457" s="27">
        <f>'施設状況(要更新)'!$F457</f>
        <v>0</v>
      </c>
      <c r="X457" s="28"/>
      <c r="Y457" s="27"/>
    </row>
    <row r="458" spans="1:25" s="10" customFormat="1" ht="11.25">
      <c r="A458" s="46"/>
      <c r="B458" s="51"/>
      <c r="C458" s="47"/>
      <c r="D458" s="47"/>
      <c r="E458" s="47"/>
      <c r="F458" s="48"/>
      <c r="G458" s="48"/>
      <c r="H458" s="48"/>
      <c r="I458" s="48"/>
      <c r="J458" s="47"/>
      <c r="K458" s="48"/>
      <c r="L458" s="48"/>
      <c r="M458" s="48"/>
      <c r="N458" s="48"/>
      <c r="O458" s="48"/>
      <c r="P458" s="48"/>
      <c r="Q458" s="48"/>
      <c r="R458" s="47"/>
      <c r="S458" s="26">
        <f t="shared" si="14"/>
        <v>0</v>
      </c>
      <c r="T458" s="26">
        <f>COUNTIF($V$4:V458,V458)</f>
        <v>447</v>
      </c>
      <c r="U458" s="26" t="str">
        <f>IF(T458=1,COUNTIF($T$4:T458,1),"")</f>
        <v/>
      </c>
      <c r="V458" s="27" t="str">
        <f>'施設状況(要更新)'!$E458&amp;'施設状況(要更新)'!$C458</f>
        <v/>
      </c>
      <c r="W458" s="27">
        <f>'施設状況(要更新)'!$F458</f>
        <v>0</v>
      </c>
      <c r="X458" s="28"/>
      <c r="Y458" s="27"/>
    </row>
    <row r="459" spans="1:25" s="10" customFormat="1" ht="11.25">
      <c r="A459" s="46"/>
      <c r="B459" s="51"/>
      <c r="C459" s="47"/>
      <c r="D459" s="47"/>
      <c r="E459" s="47"/>
      <c r="F459" s="48"/>
      <c r="G459" s="48"/>
      <c r="H459" s="48"/>
      <c r="I459" s="48"/>
      <c r="J459" s="47"/>
      <c r="K459" s="48"/>
      <c r="L459" s="48"/>
      <c r="M459" s="48"/>
      <c r="N459" s="48"/>
      <c r="O459" s="48"/>
      <c r="P459" s="48"/>
      <c r="Q459" s="48"/>
      <c r="R459" s="47"/>
      <c r="S459" s="26">
        <f t="shared" si="14"/>
        <v>0</v>
      </c>
      <c r="T459" s="26">
        <f>COUNTIF($V$4:V459,V459)</f>
        <v>448</v>
      </c>
      <c r="U459" s="26" t="str">
        <f>IF(T459=1,COUNTIF($T$4:T459,1),"")</f>
        <v/>
      </c>
      <c r="V459" s="27" t="str">
        <f>'施設状況(要更新)'!$E459&amp;'施設状況(要更新)'!$C459</f>
        <v/>
      </c>
      <c r="W459" s="27">
        <f>'施設状況(要更新)'!$F459</f>
        <v>0</v>
      </c>
      <c r="X459" s="28"/>
      <c r="Y459" s="27"/>
    </row>
    <row r="460" spans="1:25" s="10" customFormat="1" ht="11.25">
      <c r="A460" s="46"/>
      <c r="B460" s="51"/>
      <c r="C460" s="47"/>
      <c r="D460" s="47"/>
      <c r="E460" s="47"/>
      <c r="F460" s="48"/>
      <c r="G460" s="48"/>
      <c r="H460" s="48"/>
      <c r="I460" s="48"/>
      <c r="J460" s="47"/>
      <c r="K460" s="48"/>
      <c r="L460" s="48"/>
      <c r="M460" s="48"/>
      <c r="N460" s="48"/>
      <c r="O460" s="48"/>
      <c r="P460" s="48"/>
      <c r="Q460" s="48"/>
      <c r="R460" s="47"/>
      <c r="S460" s="26">
        <f t="shared" si="14"/>
        <v>0</v>
      </c>
      <c r="T460" s="26">
        <f>COUNTIF($V$4:V460,V460)</f>
        <v>449</v>
      </c>
      <c r="U460" s="26" t="str">
        <f>IF(T460=1,COUNTIF($T$4:T460,1),"")</f>
        <v/>
      </c>
      <c r="V460" s="27" t="str">
        <f>'施設状況(要更新)'!$E460&amp;'施設状況(要更新)'!$C460</f>
        <v/>
      </c>
      <c r="W460" s="27">
        <f>'施設状況(要更新)'!$F460</f>
        <v>0</v>
      </c>
      <c r="X460" s="28"/>
      <c r="Y460" s="27"/>
    </row>
    <row r="461" spans="1:25" s="10" customFormat="1" ht="11.25">
      <c r="A461" s="46"/>
      <c r="B461" s="51"/>
      <c r="C461" s="47"/>
      <c r="D461" s="47"/>
      <c r="E461" s="47"/>
      <c r="F461" s="48"/>
      <c r="G461" s="48"/>
      <c r="H461" s="48"/>
      <c r="I461" s="48"/>
      <c r="J461" s="47"/>
      <c r="K461" s="48"/>
      <c r="L461" s="48"/>
      <c r="M461" s="48"/>
      <c r="N461" s="48"/>
      <c r="O461" s="48"/>
      <c r="P461" s="48"/>
      <c r="Q461" s="48"/>
      <c r="R461" s="47"/>
      <c r="S461" s="26">
        <f t="shared" si="14"/>
        <v>0</v>
      </c>
      <c r="T461" s="26">
        <f>COUNTIF($V$4:V461,V461)</f>
        <v>450</v>
      </c>
      <c r="U461" s="26" t="str">
        <f>IF(T461=1,COUNTIF($T$4:T461,1),"")</f>
        <v/>
      </c>
      <c r="V461" s="27" t="str">
        <f>'施設状況(要更新)'!$E461&amp;'施設状況(要更新)'!$C461</f>
        <v/>
      </c>
      <c r="W461" s="27">
        <f>'施設状況(要更新)'!$F461</f>
        <v>0</v>
      </c>
      <c r="X461" s="28"/>
      <c r="Y461" s="27"/>
    </row>
    <row r="462" spans="1:25" s="10" customFormat="1" ht="11.25">
      <c r="A462" s="46"/>
      <c r="B462" s="51"/>
      <c r="C462" s="47"/>
      <c r="D462" s="47"/>
      <c r="E462" s="47"/>
      <c r="F462" s="48"/>
      <c r="G462" s="48"/>
      <c r="H462" s="48"/>
      <c r="I462" s="48"/>
      <c r="J462" s="47"/>
      <c r="K462" s="48"/>
      <c r="L462" s="48"/>
      <c r="M462" s="48"/>
      <c r="N462" s="48"/>
      <c r="O462" s="48"/>
      <c r="P462" s="48"/>
      <c r="Q462" s="48"/>
      <c r="R462" s="47"/>
      <c r="S462" s="26">
        <f t="shared" si="14"/>
        <v>0</v>
      </c>
      <c r="T462" s="26">
        <f>COUNTIF($V$4:V462,V462)</f>
        <v>451</v>
      </c>
      <c r="U462" s="26" t="str">
        <f>IF(T462=1,COUNTIF($T$4:T462,1),"")</f>
        <v/>
      </c>
      <c r="V462" s="27" t="str">
        <f>'施設状況(要更新)'!$E462&amp;'施設状況(要更新)'!$C462</f>
        <v/>
      </c>
      <c r="W462" s="27">
        <f>'施設状況(要更新)'!$F462</f>
        <v>0</v>
      </c>
      <c r="X462" s="28"/>
      <c r="Y462" s="27"/>
    </row>
    <row r="463" spans="1:25" s="10" customFormat="1" ht="11.25">
      <c r="A463" s="46"/>
      <c r="B463" s="51"/>
      <c r="C463" s="54"/>
      <c r="D463" s="47"/>
      <c r="E463" s="47"/>
      <c r="F463" s="48"/>
      <c r="G463" s="55"/>
      <c r="H463" s="55"/>
      <c r="I463" s="55"/>
      <c r="J463" s="47"/>
      <c r="K463" s="48"/>
      <c r="L463" s="48"/>
      <c r="M463" s="48"/>
      <c r="N463" s="48"/>
      <c r="O463" s="48"/>
      <c r="P463" s="48"/>
      <c r="Q463" s="48"/>
      <c r="R463" s="47"/>
      <c r="S463" s="26">
        <f t="shared" si="14"/>
        <v>0</v>
      </c>
      <c r="T463" s="26">
        <f>COUNTIF($V$4:V463,V463)</f>
        <v>452</v>
      </c>
      <c r="U463" s="26" t="str">
        <f>IF(T463=1,COUNTIF($T$4:T463,1),"")</f>
        <v/>
      </c>
      <c r="V463" s="27" t="str">
        <f>'施設状況(要更新)'!$E463&amp;'施設状況(要更新)'!$C463</f>
        <v/>
      </c>
      <c r="W463" s="27">
        <f>'施設状況(要更新)'!$F463</f>
        <v>0</v>
      </c>
      <c r="X463" s="28"/>
      <c r="Y463" s="27"/>
    </row>
    <row r="464" spans="1:25" s="10" customFormat="1" ht="11.25">
      <c r="A464" s="46"/>
      <c r="B464" s="51"/>
      <c r="C464" s="47"/>
      <c r="D464" s="47"/>
      <c r="E464" s="47"/>
      <c r="F464" s="48"/>
      <c r="G464" s="48"/>
      <c r="H464" s="48"/>
      <c r="I464" s="48"/>
      <c r="J464" s="47"/>
      <c r="K464" s="48"/>
      <c r="L464" s="48"/>
      <c r="M464" s="48"/>
      <c r="N464" s="48"/>
      <c r="O464" s="48"/>
      <c r="P464" s="48"/>
      <c r="Q464" s="48"/>
      <c r="R464" s="47"/>
      <c r="S464" s="26">
        <f t="shared" si="14"/>
        <v>0</v>
      </c>
      <c r="T464" s="26">
        <f>COUNTIF($V$4:V464,V464)</f>
        <v>453</v>
      </c>
      <c r="U464" s="26" t="str">
        <f>IF(T464=1,COUNTIF($T$4:T464,1),"")</f>
        <v/>
      </c>
      <c r="V464" s="27" t="str">
        <f>'施設状況(要更新)'!$E464&amp;'施設状況(要更新)'!$C464</f>
        <v/>
      </c>
      <c r="W464" s="27">
        <f>'施設状況(要更新)'!$F464</f>
        <v>0</v>
      </c>
      <c r="X464" s="28"/>
      <c r="Y464" s="27"/>
    </row>
    <row r="465" spans="1:25" s="10" customFormat="1" ht="11.25">
      <c r="A465" s="46"/>
      <c r="B465" s="51"/>
      <c r="C465" s="47"/>
      <c r="D465" s="47"/>
      <c r="E465" s="47"/>
      <c r="F465" s="48"/>
      <c r="G465" s="48"/>
      <c r="H465" s="48"/>
      <c r="I465" s="48"/>
      <c r="J465" s="48"/>
      <c r="K465" s="48"/>
      <c r="L465" s="48"/>
      <c r="M465" s="48"/>
      <c r="N465" s="48"/>
      <c r="O465" s="48"/>
      <c r="P465" s="48"/>
      <c r="Q465" s="48"/>
      <c r="R465" s="47"/>
      <c r="S465" s="26">
        <f t="shared" si="14"/>
        <v>0</v>
      </c>
      <c r="T465" s="26">
        <f>COUNTIF($V$4:V465,V465)</f>
        <v>454</v>
      </c>
      <c r="U465" s="26" t="str">
        <f>IF(T465=1,COUNTIF($T$4:T465,1),"")</f>
        <v/>
      </c>
      <c r="V465" s="27" t="str">
        <f>'施設状況(要更新)'!$E465&amp;'施設状況(要更新)'!$C465</f>
        <v/>
      </c>
      <c r="W465" s="27">
        <f>'施設状況(要更新)'!$F465</f>
        <v>0</v>
      </c>
      <c r="X465" s="28"/>
      <c r="Y465" s="27"/>
    </row>
    <row r="466" spans="1:25" s="10" customFormat="1" ht="11.25">
      <c r="A466" s="46"/>
      <c r="B466" s="51"/>
      <c r="C466" s="47"/>
      <c r="D466" s="47"/>
      <c r="E466" s="47"/>
      <c r="F466" s="48"/>
      <c r="G466" s="48"/>
      <c r="H466" s="48"/>
      <c r="I466" s="48"/>
      <c r="J466" s="48"/>
      <c r="K466" s="48"/>
      <c r="L466" s="48"/>
      <c r="M466" s="48"/>
      <c r="N466" s="48"/>
      <c r="O466" s="48"/>
      <c r="P466" s="48"/>
      <c r="Q466" s="48"/>
      <c r="R466" s="47"/>
      <c r="S466" s="26">
        <f t="shared" si="14"/>
        <v>0</v>
      </c>
      <c r="T466" s="26">
        <f>COUNTIF($V$4:V466,V466)</f>
        <v>455</v>
      </c>
      <c r="U466" s="26" t="str">
        <f>IF(T466=1,COUNTIF($T$4:T466,1),"")</f>
        <v/>
      </c>
      <c r="V466" s="27" t="str">
        <f>'施設状況(要更新)'!$E466&amp;'施設状況(要更新)'!$C466</f>
        <v/>
      </c>
      <c r="W466" s="27">
        <f>'施設状況(要更新)'!$F466</f>
        <v>0</v>
      </c>
      <c r="X466" s="28"/>
      <c r="Y466" s="27"/>
    </row>
    <row r="467" spans="1:25" s="10" customFormat="1" ht="11.25">
      <c r="A467" s="46"/>
      <c r="B467" s="51"/>
      <c r="C467" s="47"/>
      <c r="D467" s="47"/>
      <c r="E467" s="47"/>
      <c r="F467" s="48"/>
      <c r="G467" s="48"/>
      <c r="H467" s="48"/>
      <c r="I467" s="48"/>
      <c r="J467" s="48"/>
      <c r="K467" s="48"/>
      <c r="L467" s="48"/>
      <c r="M467" s="48"/>
      <c r="N467" s="48"/>
      <c r="O467" s="48"/>
      <c r="P467" s="48"/>
      <c r="Q467" s="48"/>
      <c r="R467" s="47"/>
      <c r="S467" s="26">
        <f t="shared" si="14"/>
        <v>0</v>
      </c>
      <c r="T467" s="26">
        <f>COUNTIF($V$4:V467,V467)</f>
        <v>456</v>
      </c>
      <c r="U467" s="26" t="str">
        <f>IF(T467=1,COUNTIF($T$4:T467,1),"")</f>
        <v/>
      </c>
      <c r="V467" s="27" t="str">
        <f>'施設状況(要更新)'!$E467&amp;'施設状況(要更新)'!$C467</f>
        <v/>
      </c>
      <c r="W467" s="27">
        <f>'施設状況(要更新)'!$F467</f>
        <v>0</v>
      </c>
      <c r="X467" s="28"/>
      <c r="Y467" s="27"/>
    </row>
    <row r="468" spans="1:25" s="10" customFormat="1" ht="11.25">
      <c r="A468" s="46"/>
      <c r="B468" s="51"/>
      <c r="C468" s="47"/>
      <c r="D468" s="47"/>
      <c r="E468" s="47"/>
      <c r="F468" s="48"/>
      <c r="G468" s="48"/>
      <c r="H468" s="48"/>
      <c r="I468" s="48"/>
      <c r="J468" s="48"/>
      <c r="K468" s="48"/>
      <c r="L468" s="48"/>
      <c r="M468" s="48"/>
      <c r="N468" s="48"/>
      <c r="O468" s="48"/>
      <c r="P468" s="48"/>
      <c r="Q468" s="48"/>
      <c r="R468" s="47"/>
      <c r="S468" s="26">
        <f t="shared" si="14"/>
        <v>0</v>
      </c>
      <c r="T468" s="26">
        <f>COUNTIF($V$4:V468,V468)</f>
        <v>457</v>
      </c>
      <c r="U468" s="26" t="str">
        <f>IF(T468=1,COUNTIF($T$4:T468,1),"")</f>
        <v/>
      </c>
      <c r="V468" s="27" t="str">
        <f>'施設状況(要更新)'!$E468&amp;'施設状況(要更新)'!$C468</f>
        <v/>
      </c>
      <c r="W468" s="27">
        <f>'施設状況(要更新)'!$F468</f>
        <v>0</v>
      </c>
      <c r="X468" s="28"/>
      <c r="Y468" s="27"/>
    </row>
    <row r="469" spans="1:25" s="10" customFormat="1" ht="11.25">
      <c r="A469" s="46"/>
      <c r="B469" s="51"/>
      <c r="C469" s="47"/>
      <c r="D469" s="47"/>
      <c r="E469" s="47"/>
      <c r="F469" s="48"/>
      <c r="G469" s="48"/>
      <c r="H469" s="48"/>
      <c r="I469" s="48"/>
      <c r="J469" s="48"/>
      <c r="K469" s="48"/>
      <c r="L469" s="48"/>
      <c r="M469" s="48"/>
      <c r="N469" s="48"/>
      <c r="O469" s="48"/>
      <c r="P469" s="48"/>
      <c r="Q469" s="48"/>
      <c r="R469" s="47"/>
      <c r="S469" s="26">
        <f t="shared" si="14"/>
        <v>0</v>
      </c>
      <c r="T469" s="26">
        <f>COUNTIF($V$4:V469,V469)</f>
        <v>458</v>
      </c>
      <c r="U469" s="26" t="str">
        <f>IF(T469=1,COUNTIF($T$4:T469,1),"")</f>
        <v/>
      </c>
      <c r="V469" s="27" t="str">
        <f>'施設状況(要更新)'!$E469&amp;'施設状況(要更新)'!$C469</f>
        <v/>
      </c>
      <c r="W469" s="27">
        <f>'施設状況(要更新)'!$F469</f>
        <v>0</v>
      </c>
      <c r="X469" s="28"/>
      <c r="Y469" s="27"/>
    </row>
    <row r="470" spans="1:25" s="10" customFormat="1" ht="11.25">
      <c r="A470" s="46"/>
      <c r="B470" s="51"/>
      <c r="C470" s="47"/>
      <c r="D470" s="47"/>
      <c r="E470" s="47"/>
      <c r="F470" s="48"/>
      <c r="G470" s="48"/>
      <c r="H470" s="48"/>
      <c r="I470" s="48"/>
      <c r="J470" s="48"/>
      <c r="K470" s="48"/>
      <c r="L470" s="48"/>
      <c r="M470" s="48"/>
      <c r="N470" s="48"/>
      <c r="O470" s="48"/>
      <c r="P470" s="48"/>
      <c r="Q470" s="48"/>
      <c r="R470" s="47"/>
      <c r="S470" s="26">
        <f t="shared" si="14"/>
        <v>0</v>
      </c>
      <c r="T470" s="26">
        <f>COUNTIF($V$4:V470,V470)</f>
        <v>459</v>
      </c>
      <c r="U470" s="26" t="str">
        <f>IF(T470=1,COUNTIF($T$4:T470,1),"")</f>
        <v/>
      </c>
      <c r="V470" s="27" t="str">
        <f>'施設状況(要更新)'!$E470&amp;'施設状況(要更新)'!$C470</f>
        <v/>
      </c>
      <c r="W470" s="27">
        <f>'施設状況(要更新)'!$F470</f>
        <v>0</v>
      </c>
      <c r="X470" s="28"/>
      <c r="Y470" s="27"/>
    </row>
    <row r="471" spans="1:25" s="10" customFormat="1" ht="11.25">
      <c r="A471" s="46"/>
      <c r="B471" s="51"/>
      <c r="C471" s="47"/>
      <c r="D471" s="47"/>
      <c r="E471" s="47"/>
      <c r="F471" s="48"/>
      <c r="G471" s="48"/>
      <c r="H471" s="48"/>
      <c r="I471" s="48"/>
      <c r="J471" s="48"/>
      <c r="K471" s="48"/>
      <c r="L471" s="48"/>
      <c r="M471" s="48"/>
      <c r="N471" s="48"/>
      <c r="O471" s="48"/>
      <c r="P471" s="48"/>
      <c r="Q471" s="48"/>
      <c r="R471" s="47"/>
      <c r="S471" s="26">
        <f t="shared" si="14"/>
        <v>0</v>
      </c>
      <c r="T471" s="26">
        <f>COUNTIF($V$4:V471,V471)</f>
        <v>460</v>
      </c>
      <c r="U471" s="26" t="str">
        <f>IF(T471=1,COUNTIF($T$4:T471,1),"")</f>
        <v/>
      </c>
      <c r="V471" s="27" t="str">
        <f>'施設状況(要更新)'!$E471&amp;'施設状況(要更新)'!$C471</f>
        <v/>
      </c>
      <c r="W471" s="27">
        <f>'施設状況(要更新)'!$F471</f>
        <v>0</v>
      </c>
      <c r="X471" s="28"/>
      <c r="Y471" s="27"/>
    </row>
    <row r="472" spans="1:25" s="10" customFormat="1" ht="11.25">
      <c r="A472" s="46"/>
      <c r="B472" s="51"/>
      <c r="C472" s="47"/>
      <c r="D472" s="47"/>
      <c r="E472" s="47"/>
      <c r="F472" s="48"/>
      <c r="G472" s="48"/>
      <c r="H472" s="48"/>
      <c r="I472" s="48"/>
      <c r="J472" s="48"/>
      <c r="K472" s="48"/>
      <c r="L472" s="48"/>
      <c r="M472" s="48"/>
      <c r="N472" s="48"/>
      <c r="O472" s="48"/>
      <c r="P472" s="48"/>
      <c r="Q472" s="48"/>
      <c r="R472" s="47"/>
      <c r="S472" s="26">
        <f t="shared" si="14"/>
        <v>0</v>
      </c>
      <c r="T472" s="26">
        <f>COUNTIF($V$4:V472,V472)</f>
        <v>461</v>
      </c>
      <c r="U472" s="26" t="str">
        <f>IF(T472=1,COUNTIF($T$4:T472,1),"")</f>
        <v/>
      </c>
      <c r="V472" s="27" t="str">
        <f>'施設状況(要更新)'!$E472&amp;'施設状況(要更新)'!$C472</f>
        <v/>
      </c>
      <c r="W472" s="27">
        <f>'施設状況(要更新)'!$F472</f>
        <v>0</v>
      </c>
      <c r="X472" s="28"/>
      <c r="Y472" s="27"/>
    </row>
    <row r="473" spans="1:25" s="10" customFormat="1" ht="11.25">
      <c r="A473" s="46"/>
      <c r="B473" s="51"/>
      <c r="C473" s="47"/>
      <c r="D473" s="47"/>
      <c r="E473" s="47"/>
      <c r="F473" s="48"/>
      <c r="G473" s="48"/>
      <c r="H473" s="48"/>
      <c r="I473" s="48"/>
      <c r="J473" s="48"/>
      <c r="K473" s="48"/>
      <c r="L473" s="48"/>
      <c r="M473" s="48"/>
      <c r="N473" s="48"/>
      <c r="O473" s="48"/>
      <c r="P473" s="48"/>
      <c r="Q473" s="48"/>
      <c r="R473" s="47"/>
      <c r="S473" s="26">
        <f t="shared" si="14"/>
        <v>0</v>
      </c>
      <c r="T473" s="26">
        <f>COUNTIF($V$4:V473,V473)</f>
        <v>462</v>
      </c>
      <c r="U473" s="26" t="str">
        <f>IF(T473=1,COUNTIF($T$4:T473,1),"")</f>
        <v/>
      </c>
      <c r="V473" s="27" t="str">
        <f>'施設状況(要更新)'!$E473&amp;'施設状況(要更新)'!$C473</f>
        <v/>
      </c>
      <c r="W473" s="27">
        <f>'施設状況(要更新)'!$F473</f>
        <v>0</v>
      </c>
      <c r="X473" s="28"/>
      <c r="Y473" s="27"/>
    </row>
    <row r="474" spans="1:25" s="10" customFormat="1" ht="11.25">
      <c r="A474" s="46"/>
      <c r="B474" s="51"/>
      <c r="C474" s="47"/>
      <c r="D474" s="47"/>
      <c r="E474" s="47"/>
      <c r="F474" s="48"/>
      <c r="G474" s="48"/>
      <c r="H474" s="48"/>
      <c r="I474" s="48"/>
      <c r="J474" s="48"/>
      <c r="K474" s="48"/>
      <c r="L474" s="48"/>
      <c r="M474" s="48"/>
      <c r="N474" s="48"/>
      <c r="O474" s="48"/>
      <c r="P474" s="48"/>
      <c r="Q474" s="48"/>
      <c r="R474" s="47"/>
      <c r="S474" s="26">
        <f t="shared" si="14"/>
        <v>0</v>
      </c>
      <c r="T474" s="26">
        <f>COUNTIF($V$4:V474,V474)</f>
        <v>463</v>
      </c>
      <c r="U474" s="26" t="str">
        <f>IF(T474=1,COUNTIF($T$4:T474,1),"")</f>
        <v/>
      </c>
      <c r="V474" s="27" t="str">
        <f>'施設状況(要更新)'!$E474&amp;'施設状況(要更新)'!$C474</f>
        <v/>
      </c>
      <c r="W474" s="27">
        <f>'施設状況(要更新)'!$F474</f>
        <v>0</v>
      </c>
      <c r="X474" s="28"/>
      <c r="Y474" s="27"/>
    </row>
    <row r="475" spans="1:25" s="10" customFormat="1" ht="11.25">
      <c r="A475" s="46"/>
      <c r="B475" s="51"/>
      <c r="C475" s="47"/>
      <c r="D475" s="47"/>
      <c r="E475" s="47"/>
      <c r="F475" s="48"/>
      <c r="G475" s="48"/>
      <c r="H475" s="48"/>
      <c r="I475" s="48"/>
      <c r="J475" s="48"/>
      <c r="K475" s="48"/>
      <c r="L475" s="48"/>
      <c r="M475" s="48"/>
      <c r="N475" s="48"/>
      <c r="O475" s="48"/>
      <c r="P475" s="48"/>
      <c r="Q475" s="48"/>
      <c r="R475" s="47"/>
      <c r="S475" s="26">
        <f t="shared" si="14"/>
        <v>0</v>
      </c>
      <c r="T475" s="26">
        <f>COUNTIF($V$4:V475,V475)</f>
        <v>464</v>
      </c>
      <c r="U475" s="26" t="str">
        <f>IF(T475=1,COUNTIF($T$4:T475,1),"")</f>
        <v/>
      </c>
      <c r="V475" s="27" t="str">
        <f>'施設状況(要更新)'!$E475&amp;'施設状況(要更新)'!$C475</f>
        <v/>
      </c>
      <c r="W475" s="27">
        <f>'施設状況(要更新)'!$F475</f>
        <v>0</v>
      </c>
      <c r="X475" s="28"/>
      <c r="Y475" s="27"/>
    </row>
    <row r="476" spans="1:25" s="10" customFormat="1" ht="11.25">
      <c r="A476" s="46"/>
      <c r="B476" s="51"/>
      <c r="C476" s="47"/>
      <c r="D476" s="47"/>
      <c r="E476" s="47"/>
      <c r="F476" s="48"/>
      <c r="G476" s="48"/>
      <c r="H476" s="48"/>
      <c r="I476" s="48"/>
      <c r="J476" s="48"/>
      <c r="K476" s="48"/>
      <c r="L476" s="48"/>
      <c r="M476" s="48"/>
      <c r="N476" s="48"/>
      <c r="O476" s="48"/>
      <c r="P476" s="48"/>
      <c r="Q476" s="48"/>
      <c r="R476" s="47"/>
      <c r="S476" s="26">
        <f t="shared" si="14"/>
        <v>0</v>
      </c>
      <c r="T476" s="26">
        <f>COUNTIF($V$4:V476,V476)</f>
        <v>465</v>
      </c>
      <c r="U476" s="26" t="str">
        <f>IF(T476=1,COUNTIF($T$4:T476,1),"")</f>
        <v/>
      </c>
      <c r="V476" s="27" t="str">
        <f>'施設状況(要更新)'!$E476&amp;'施設状況(要更新)'!$C476</f>
        <v/>
      </c>
      <c r="W476" s="27">
        <f>'施設状況(要更新)'!$F476</f>
        <v>0</v>
      </c>
      <c r="X476" s="28"/>
      <c r="Y476" s="27"/>
    </row>
    <row r="477" spans="1:25" s="10" customFormat="1" ht="11.25">
      <c r="A477" s="46"/>
      <c r="B477" s="51"/>
      <c r="C477" s="47"/>
      <c r="D477" s="47"/>
      <c r="E477" s="47"/>
      <c r="F477" s="48"/>
      <c r="G477" s="48"/>
      <c r="H477" s="48"/>
      <c r="I477" s="48"/>
      <c r="J477" s="48"/>
      <c r="K477" s="48"/>
      <c r="L477" s="48"/>
      <c r="M477" s="48"/>
      <c r="N477" s="48"/>
      <c r="O477" s="48"/>
      <c r="P477" s="48"/>
      <c r="Q477" s="48"/>
      <c r="R477" s="47"/>
      <c r="S477" s="26">
        <f t="shared" si="14"/>
        <v>0</v>
      </c>
      <c r="T477" s="26">
        <f>COUNTIF($V$4:V477,V477)</f>
        <v>466</v>
      </c>
      <c r="U477" s="26" t="str">
        <f>IF(T477=1,COUNTIF($T$4:T477,1),"")</f>
        <v/>
      </c>
      <c r="V477" s="27" t="str">
        <f>'施設状況(要更新)'!$E477&amp;'施設状況(要更新)'!$C477</f>
        <v/>
      </c>
      <c r="W477" s="27">
        <f>'施設状況(要更新)'!$F477</f>
        <v>0</v>
      </c>
      <c r="X477" s="28"/>
      <c r="Y477" s="27"/>
    </row>
    <row r="478" spans="1:25" s="10" customFormat="1" ht="11.25">
      <c r="A478" s="46"/>
      <c r="B478" s="51"/>
      <c r="C478" s="47"/>
      <c r="D478" s="47"/>
      <c r="E478" s="47"/>
      <c r="F478" s="48"/>
      <c r="G478" s="48"/>
      <c r="H478" s="48"/>
      <c r="I478" s="48"/>
      <c r="J478" s="48"/>
      <c r="K478" s="48"/>
      <c r="L478" s="48"/>
      <c r="M478" s="48"/>
      <c r="N478" s="48"/>
      <c r="O478" s="48"/>
      <c r="P478" s="48"/>
      <c r="Q478" s="48"/>
      <c r="R478" s="47"/>
      <c r="S478" s="26">
        <f t="shared" si="14"/>
        <v>0</v>
      </c>
      <c r="T478" s="26">
        <f>COUNTIF($V$4:V478,V478)</f>
        <v>467</v>
      </c>
      <c r="U478" s="26" t="str">
        <f>IF(T478=1,COUNTIF($T$4:T478,1),"")</f>
        <v/>
      </c>
      <c r="V478" s="27" t="str">
        <f>'施設状況(要更新)'!$E478&amp;'施設状況(要更新)'!$C478</f>
        <v/>
      </c>
      <c r="W478" s="27">
        <f>'施設状況(要更新)'!$F478</f>
        <v>0</v>
      </c>
      <c r="X478" s="28"/>
      <c r="Y478" s="27"/>
    </row>
    <row r="479" spans="1:25" s="10" customFormat="1" ht="11.25">
      <c r="A479" s="46"/>
      <c r="B479" s="51"/>
      <c r="C479" s="47"/>
      <c r="D479" s="47"/>
      <c r="E479" s="47"/>
      <c r="F479" s="48"/>
      <c r="G479" s="48"/>
      <c r="H479" s="48"/>
      <c r="I479" s="48"/>
      <c r="J479" s="48"/>
      <c r="K479" s="48"/>
      <c r="L479" s="48"/>
      <c r="M479" s="48"/>
      <c r="N479" s="48"/>
      <c r="O479" s="48"/>
      <c r="P479" s="48"/>
      <c r="Q479" s="48"/>
      <c r="R479" s="47"/>
      <c r="S479" s="26">
        <f t="shared" si="14"/>
        <v>0</v>
      </c>
      <c r="T479" s="26">
        <f>COUNTIF($V$4:V479,V479)</f>
        <v>468</v>
      </c>
      <c r="U479" s="26" t="str">
        <f>IF(T479=1,COUNTIF($T$4:T479,1),"")</f>
        <v/>
      </c>
      <c r="V479" s="27" t="str">
        <f>'施設状況(要更新)'!$E479&amp;'施設状況(要更新)'!$C479</f>
        <v/>
      </c>
      <c r="W479" s="27">
        <f>'施設状況(要更新)'!$F479</f>
        <v>0</v>
      </c>
      <c r="X479" s="28"/>
      <c r="Y479" s="27"/>
    </row>
    <row r="480" spans="1:25" s="10" customFormat="1" ht="11.25">
      <c r="A480" s="46"/>
      <c r="B480" s="51"/>
      <c r="C480" s="47"/>
      <c r="D480" s="47"/>
      <c r="E480" s="47"/>
      <c r="F480" s="48"/>
      <c r="G480" s="48"/>
      <c r="H480" s="48"/>
      <c r="I480" s="48"/>
      <c r="J480" s="48"/>
      <c r="K480" s="48"/>
      <c r="L480" s="48"/>
      <c r="M480" s="48"/>
      <c r="N480" s="48"/>
      <c r="O480" s="48"/>
      <c r="P480" s="48"/>
      <c r="Q480" s="48"/>
      <c r="R480" s="47"/>
      <c r="S480" s="26">
        <f t="shared" si="14"/>
        <v>0</v>
      </c>
      <c r="T480" s="26">
        <f>COUNTIF($V$4:V480,V480)</f>
        <v>469</v>
      </c>
      <c r="U480" s="26" t="str">
        <f>IF(T480=1,COUNTIF($T$4:T480,1),"")</f>
        <v/>
      </c>
      <c r="V480" s="27" t="str">
        <f>'施設状況(要更新)'!$E480&amp;'施設状況(要更新)'!$C480</f>
        <v/>
      </c>
      <c r="W480" s="27">
        <f>'施設状況(要更新)'!$F480</f>
        <v>0</v>
      </c>
      <c r="X480" s="28"/>
      <c r="Y480" s="27"/>
    </row>
    <row r="481" spans="1:25" s="10" customFormat="1" ht="11.25">
      <c r="A481" s="46"/>
      <c r="B481" s="51"/>
      <c r="C481" s="47"/>
      <c r="D481" s="47"/>
      <c r="E481" s="47"/>
      <c r="F481" s="48"/>
      <c r="G481" s="48"/>
      <c r="H481" s="48"/>
      <c r="I481" s="48"/>
      <c r="J481" s="48"/>
      <c r="K481" s="48"/>
      <c r="L481" s="48"/>
      <c r="M481" s="48"/>
      <c r="N481" s="48"/>
      <c r="O481" s="48"/>
      <c r="P481" s="48"/>
      <c r="Q481" s="48"/>
      <c r="R481" s="47"/>
      <c r="S481" s="26">
        <f t="shared" si="14"/>
        <v>0</v>
      </c>
      <c r="T481" s="26">
        <f>COUNTIF($V$4:V481,V481)</f>
        <v>470</v>
      </c>
      <c r="U481" s="26" t="str">
        <f>IF(T481=1,COUNTIF($T$4:T481,1),"")</f>
        <v/>
      </c>
      <c r="V481" s="27" t="str">
        <f>'施設状況(要更新)'!$E481&amp;'施設状況(要更新)'!$C481</f>
        <v/>
      </c>
      <c r="W481" s="27">
        <f>'施設状況(要更新)'!$F481</f>
        <v>0</v>
      </c>
      <c r="X481" s="28"/>
      <c r="Y481" s="27"/>
    </row>
    <row r="482" spans="1:25" s="10" customFormat="1" ht="11.25">
      <c r="A482" s="46"/>
      <c r="B482" s="51"/>
      <c r="C482" s="47"/>
      <c r="D482" s="47"/>
      <c r="E482" s="47"/>
      <c r="F482" s="48"/>
      <c r="G482" s="48"/>
      <c r="H482" s="48"/>
      <c r="I482" s="48"/>
      <c r="J482" s="48"/>
      <c r="K482" s="48"/>
      <c r="L482" s="48"/>
      <c r="M482" s="48"/>
      <c r="N482" s="48"/>
      <c r="O482" s="48"/>
      <c r="P482" s="48"/>
      <c r="Q482" s="48"/>
      <c r="R482" s="47"/>
      <c r="S482" s="26">
        <f t="shared" si="14"/>
        <v>0</v>
      </c>
      <c r="T482" s="26">
        <f>COUNTIF($V$4:V482,V482)</f>
        <v>471</v>
      </c>
      <c r="U482" s="26" t="str">
        <f>IF(T482=1,COUNTIF($T$4:T482,1),"")</f>
        <v/>
      </c>
      <c r="V482" s="27" t="str">
        <f>'施設状況(要更新)'!$E482&amp;'施設状況(要更新)'!$C482</f>
        <v/>
      </c>
      <c r="W482" s="27">
        <f>'施設状況(要更新)'!$F482</f>
        <v>0</v>
      </c>
      <c r="X482" s="28"/>
      <c r="Y482" s="27"/>
    </row>
    <row r="483" spans="1:25" s="10" customFormat="1" ht="11.25">
      <c r="A483" s="46"/>
      <c r="B483" s="51"/>
      <c r="C483" s="47"/>
      <c r="D483" s="47"/>
      <c r="E483" s="47"/>
      <c r="F483" s="48"/>
      <c r="G483" s="48"/>
      <c r="H483" s="48"/>
      <c r="I483" s="48"/>
      <c r="J483" s="50"/>
      <c r="K483" s="48"/>
      <c r="L483" s="48"/>
      <c r="M483" s="48"/>
      <c r="N483" s="50"/>
      <c r="O483" s="50"/>
      <c r="P483" s="48"/>
      <c r="Q483" s="48"/>
      <c r="R483" s="38"/>
      <c r="S483" s="26">
        <f t="shared" si="14"/>
        <v>0</v>
      </c>
      <c r="T483" s="26">
        <f>COUNTIF($V$4:V483,V483)</f>
        <v>472</v>
      </c>
      <c r="U483" s="26" t="str">
        <f>IF(T483=1,COUNTIF($T$4:T483,1),"")</f>
        <v/>
      </c>
      <c r="V483" s="27" t="str">
        <f>'施設状況(要更新)'!$E483&amp;'施設状況(要更新)'!$C483</f>
        <v/>
      </c>
      <c r="W483" s="27">
        <f>'施設状況(要更新)'!$F483</f>
        <v>0</v>
      </c>
      <c r="X483" s="28"/>
      <c r="Y483" s="27"/>
    </row>
    <row r="484" spans="1:25" s="10" customFormat="1" ht="11.25">
      <c r="A484" s="46"/>
      <c r="B484" s="51"/>
      <c r="C484" s="47"/>
      <c r="D484" s="47"/>
      <c r="E484" s="47"/>
      <c r="F484" s="48"/>
      <c r="G484" s="48"/>
      <c r="H484" s="48"/>
      <c r="I484" s="48"/>
      <c r="J484" s="48"/>
      <c r="K484" s="48"/>
      <c r="L484" s="48"/>
      <c r="M484" s="48"/>
      <c r="N484" s="48"/>
      <c r="O484" s="48"/>
      <c r="P484" s="48"/>
      <c r="Q484" s="48"/>
      <c r="R484" s="47"/>
      <c r="S484" s="26">
        <f t="shared" si="14"/>
        <v>0</v>
      </c>
      <c r="T484" s="26">
        <f>COUNTIF($V$4:V484,V484)</f>
        <v>473</v>
      </c>
      <c r="U484" s="26" t="str">
        <f>IF(T484=1,COUNTIF($T$4:T484,1),"")</f>
        <v/>
      </c>
      <c r="V484" s="27" t="str">
        <f>'施設状況(要更新)'!$E484&amp;'施設状況(要更新)'!$C484</f>
        <v/>
      </c>
      <c r="W484" s="27">
        <f>'施設状況(要更新)'!$F484</f>
        <v>0</v>
      </c>
      <c r="X484" s="28"/>
      <c r="Y484" s="27"/>
    </row>
    <row r="485" spans="1:25" s="10" customFormat="1" ht="11.25">
      <c r="A485" s="46"/>
      <c r="B485" s="51"/>
      <c r="C485" s="47"/>
      <c r="D485" s="47"/>
      <c r="E485" s="47"/>
      <c r="F485" s="48"/>
      <c r="G485" s="48"/>
      <c r="H485" s="48"/>
      <c r="I485" s="48"/>
      <c r="J485" s="48"/>
      <c r="K485" s="48"/>
      <c r="L485" s="48"/>
      <c r="M485" s="48"/>
      <c r="N485" s="48"/>
      <c r="O485" s="48"/>
      <c r="P485" s="48"/>
      <c r="Q485" s="48"/>
      <c r="R485" s="47"/>
      <c r="S485" s="26">
        <f t="shared" si="14"/>
        <v>0</v>
      </c>
      <c r="T485" s="26">
        <f>COUNTIF($V$4:V485,V485)</f>
        <v>474</v>
      </c>
      <c r="U485" s="26" t="str">
        <f>IF(T485=1,COUNTIF($T$4:T485,1),"")</f>
        <v/>
      </c>
      <c r="V485" s="27" t="str">
        <f>'施設状況(要更新)'!$E485&amp;'施設状況(要更新)'!$C485</f>
        <v/>
      </c>
      <c r="W485" s="27">
        <f>'施設状況(要更新)'!$F485</f>
        <v>0</v>
      </c>
      <c r="X485" s="28"/>
      <c r="Y485" s="27"/>
    </row>
    <row r="486" spans="1:25" s="10" customFormat="1" ht="11.25">
      <c r="A486" s="46"/>
      <c r="B486" s="51"/>
      <c r="C486" s="47"/>
      <c r="D486" s="47"/>
      <c r="E486" s="47"/>
      <c r="F486" s="48"/>
      <c r="G486" s="48"/>
      <c r="H486" s="48"/>
      <c r="I486" s="48"/>
      <c r="J486" s="48"/>
      <c r="K486" s="48"/>
      <c r="L486" s="48"/>
      <c r="M486" s="48"/>
      <c r="N486" s="48"/>
      <c r="O486" s="48"/>
      <c r="P486" s="48"/>
      <c r="Q486" s="48"/>
      <c r="R486" s="47"/>
      <c r="S486" s="26">
        <f t="shared" si="14"/>
        <v>0</v>
      </c>
      <c r="T486" s="26">
        <f>COUNTIF($V$4:V486,V486)</f>
        <v>475</v>
      </c>
      <c r="U486" s="26" t="str">
        <f>IF(T486=1,COUNTIF($T$4:T486,1),"")</f>
        <v/>
      </c>
      <c r="V486" s="27" t="str">
        <f>'施設状況(要更新)'!$E486&amp;'施設状況(要更新)'!$C486</f>
        <v/>
      </c>
      <c r="W486" s="27">
        <f>'施設状況(要更新)'!$F486</f>
        <v>0</v>
      </c>
      <c r="X486" s="28"/>
      <c r="Y486" s="27"/>
    </row>
    <row r="487" spans="1:25" s="10" customFormat="1" ht="11.25">
      <c r="A487" s="46"/>
      <c r="B487" s="51"/>
      <c r="C487" s="47"/>
      <c r="D487" s="47"/>
      <c r="E487" s="47"/>
      <c r="F487" s="48"/>
      <c r="G487" s="48"/>
      <c r="H487" s="48"/>
      <c r="I487" s="48"/>
      <c r="J487" s="48"/>
      <c r="K487" s="48"/>
      <c r="L487" s="48"/>
      <c r="M487" s="48"/>
      <c r="N487" s="48"/>
      <c r="O487" s="48"/>
      <c r="P487" s="48"/>
      <c r="Q487" s="48"/>
      <c r="R487" s="47"/>
      <c r="S487" s="26">
        <f t="shared" si="14"/>
        <v>0</v>
      </c>
      <c r="T487" s="26">
        <f>COUNTIF($V$4:V487,V487)</f>
        <v>476</v>
      </c>
      <c r="U487" s="26" t="str">
        <f>IF(T487=1,COUNTIF($T$4:T487,1),"")</f>
        <v/>
      </c>
      <c r="V487" s="27" t="str">
        <f>'施設状況(要更新)'!$E487&amp;'施設状況(要更新)'!$C487</f>
        <v/>
      </c>
      <c r="W487" s="27">
        <f>'施設状況(要更新)'!$F487</f>
        <v>0</v>
      </c>
      <c r="X487" s="28"/>
      <c r="Y487" s="27"/>
    </row>
    <row r="488" spans="1:25" s="10" customFormat="1" ht="11.25">
      <c r="A488" s="46"/>
      <c r="B488" s="51"/>
      <c r="C488" s="47"/>
      <c r="D488" s="47"/>
      <c r="E488" s="47"/>
      <c r="F488" s="48"/>
      <c r="G488" s="48"/>
      <c r="H488" s="48"/>
      <c r="I488" s="48"/>
      <c r="J488" s="48"/>
      <c r="K488" s="48"/>
      <c r="L488" s="48"/>
      <c r="M488" s="48"/>
      <c r="N488" s="48"/>
      <c r="O488" s="48"/>
      <c r="P488" s="48"/>
      <c r="Q488" s="48"/>
      <c r="R488" s="47"/>
      <c r="S488" s="26">
        <f t="shared" si="14"/>
        <v>0</v>
      </c>
      <c r="T488" s="26">
        <f>COUNTIF($V$4:V488,V488)</f>
        <v>477</v>
      </c>
      <c r="U488" s="26" t="str">
        <f>IF(T488=1,COUNTIF($T$4:T488,1),"")</f>
        <v/>
      </c>
      <c r="V488" s="27" t="str">
        <f>'施設状況(要更新)'!$E488&amp;'施設状況(要更新)'!$C488</f>
        <v/>
      </c>
      <c r="W488" s="27">
        <f>'施設状況(要更新)'!$F488</f>
        <v>0</v>
      </c>
      <c r="X488" s="28"/>
      <c r="Y488" s="27"/>
    </row>
    <row r="489" spans="1:25" s="10" customFormat="1" ht="11.25">
      <c r="A489" s="46"/>
      <c r="B489" s="51"/>
      <c r="C489" s="47"/>
      <c r="D489" s="47"/>
      <c r="E489" s="47"/>
      <c r="F489" s="48"/>
      <c r="G489" s="48"/>
      <c r="H489" s="48"/>
      <c r="I489" s="48"/>
      <c r="J489" s="48"/>
      <c r="K489" s="48"/>
      <c r="L489" s="48"/>
      <c r="M489" s="48"/>
      <c r="N489" s="48"/>
      <c r="O489" s="48"/>
      <c r="P489" s="48"/>
      <c r="Q489" s="48"/>
      <c r="R489" s="47"/>
      <c r="S489" s="26">
        <f t="shared" si="14"/>
        <v>0</v>
      </c>
      <c r="T489" s="26">
        <f>COUNTIF($V$4:V489,V489)</f>
        <v>478</v>
      </c>
      <c r="U489" s="26" t="str">
        <f>IF(T489=1,COUNTIF($T$4:T489,1),"")</f>
        <v/>
      </c>
      <c r="V489" s="27" t="str">
        <f>'施設状況(要更新)'!$E489&amp;'施設状況(要更新)'!$C489</f>
        <v/>
      </c>
      <c r="W489" s="27">
        <f>'施設状況(要更新)'!$F489</f>
        <v>0</v>
      </c>
      <c r="X489" s="28"/>
      <c r="Y489" s="27"/>
    </row>
    <row r="490" spans="1:25" s="10" customFormat="1" ht="11.25">
      <c r="A490" s="46"/>
      <c r="B490" s="51"/>
      <c r="C490" s="47"/>
      <c r="D490" s="47"/>
      <c r="E490" s="47"/>
      <c r="F490" s="48"/>
      <c r="G490" s="48"/>
      <c r="H490" s="48"/>
      <c r="I490" s="48"/>
      <c r="J490" s="48"/>
      <c r="K490" s="48"/>
      <c r="L490" s="48"/>
      <c r="M490" s="48"/>
      <c r="N490" s="48"/>
      <c r="O490" s="48"/>
      <c r="P490" s="48"/>
      <c r="Q490" s="48"/>
      <c r="R490" s="47"/>
      <c r="S490" s="26">
        <f t="shared" si="14"/>
        <v>0</v>
      </c>
      <c r="T490" s="26">
        <f>COUNTIF($V$4:V490,V490)</f>
        <v>479</v>
      </c>
      <c r="U490" s="26" t="str">
        <f>IF(T490=1,COUNTIF($T$4:T490,1),"")</f>
        <v/>
      </c>
      <c r="V490" s="27" t="str">
        <f>'施設状況(要更新)'!$E490&amp;'施設状況(要更新)'!$C490</f>
        <v/>
      </c>
      <c r="W490" s="27">
        <f>'施設状況(要更新)'!$F490</f>
        <v>0</v>
      </c>
      <c r="X490" s="28"/>
      <c r="Y490" s="27"/>
    </row>
    <row r="491" spans="1:25" s="10" customFormat="1" ht="11.25">
      <c r="A491" s="46"/>
      <c r="B491" s="51"/>
      <c r="C491" s="47"/>
      <c r="D491" s="47"/>
      <c r="E491" s="47"/>
      <c r="F491" s="48"/>
      <c r="G491" s="48"/>
      <c r="H491" s="48"/>
      <c r="I491" s="48"/>
      <c r="J491" s="48"/>
      <c r="K491" s="48"/>
      <c r="L491" s="48"/>
      <c r="M491" s="48"/>
      <c r="N491" s="48"/>
      <c r="O491" s="48"/>
      <c r="P491" s="48"/>
      <c r="Q491" s="48"/>
      <c r="R491" s="47"/>
      <c r="S491" s="26">
        <f t="shared" si="14"/>
        <v>0</v>
      </c>
      <c r="T491" s="26">
        <f>COUNTIF($V$4:V491,V491)</f>
        <v>480</v>
      </c>
      <c r="U491" s="26" t="str">
        <f>IF(T491=1,COUNTIF($T$4:T491,1),"")</f>
        <v/>
      </c>
      <c r="V491" s="27" t="str">
        <f>'施設状況(要更新)'!$E491&amp;'施設状況(要更新)'!$C491</f>
        <v/>
      </c>
      <c r="W491" s="27">
        <f>'施設状況(要更新)'!$F491</f>
        <v>0</v>
      </c>
      <c r="X491" s="28"/>
      <c r="Y491" s="27"/>
    </row>
    <row r="492" spans="1:25" s="10" customFormat="1" ht="11.25">
      <c r="A492" s="46"/>
      <c r="B492" s="51"/>
      <c r="C492" s="47"/>
      <c r="D492" s="47"/>
      <c r="E492" s="47"/>
      <c r="F492" s="48"/>
      <c r="G492" s="48"/>
      <c r="H492" s="48"/>
      <c r="I492" s="48"/>
      <c r="J492" s="48"/>
      <c r="K492" s="48"/>
      <c r="L492" s="48"/>
      <c r="M492" s="48"/>
      <c r="N492" s="48"/>
      <c r="O492" s="48"/>
      <c r="P492" s="48"/>
      <c r="Q492" s="48"/>
      <c r="R492" s="47"/>
      <c r="S492" s="26">
        <f t="shared" si="14"/>
        <v>0</v>
      </c>
      <c r="T492" s="26">
        <f>COUNTIF($V$4:V492,V492)</f>
        <v>481</v>
      </c>
      <c r="U492" s="26" t="str">
        <f>IF(T492=1,COUNTIF($T$4:T492,1),"")</f>
        <v/>
      </c>
      <c r="V492" s="27" t="str">
        <f>'施設状況(要更新)'!$E492&amp;'施設状況(要更新)'!$C492</f>
        <v/>
      </c>
      <c r="W492" s="27">
        <f>'施設状況(要更新)'!$F492</f>
        <v>0</v>
      </c>
      <c r="X492" s="28"/>
      <c r="Y492" s="27"/>
    </row>
    <row r="493" spans="1:25" s="10" customFormat="1" ht="11.25">
      <c r="A493" s="46"/>
      <c r="B493" s="51"/>
      <c r="C493" s="47"/>
      <c r="D493" s="47"/>
      <c r="E493" s="47"/>
      <c r="F493" s="48"/>
      <c r="G493" s="48"/>
      <c r="H493" s="48"/>
      <c r="I493" s="48"/>
      <c r="J493" s="48"/>
      <c r="K493" s="48"/>
      <c r="L493" s="48"/>
      <c r="M493" s="48"/>
      <c r="N493" s="48"/>
      <c r="O493" s="48"/>
      <c r="P493" s="48"/>
      <c r="Q493" s="48"/>
      <c r="R493" s="47"/>
      <c r="S493" s="26">
        <f t="shared" si="14"/>
        <v>0</v>
      </c>
      <c r="T493" s="26">
        <f>COUNTIF($V$4:V493,V493)</f>
        <v>482</v>
      </c>
      <c r="U493" s="26" t="str">
        <f>IF(T493=1,COUNTIF($T$4:T493,1),"")</f>
        <v/>
      </c>
      <c r="V493" s="27" t="str">
        <f>'施設状況(要更新)'!$E493&amp;'施設状況(要更新)'!$C493</f>
        <v/>
      </c>
      <c r="W493" s="27">
        <f>'施設状況(要更新)'!$F493</f>
        <v>0</v>
      </c>
      <c r="X493" s="28"/>
      <c r="Y493" s="27"/>
    </row>
    <row r="494" spans="1:25" s="10" customFormat="1" ht="11.25">
      <c r="A494" s="46"/>
      <c r="B494" s="51"/>
      <c r="C494" s="47"/>
      <c r="D494" s="47"/>
      <c r="E494" s="47"/>
      <c r="F494" s="48"/>
      <c r="G494" s="48"/>
      <c r="H494" s="48"/>
      <c r="I494" s="48"/>
      <c r="J494" s="48"/>
      <c r="K494" s="48"/>
      <c r="L494" s="48"/>
      <c r="M494" s="48"/>
      <c r="N494" s="48"/>
      <c r="O494" s="48"/>
      <c r="P494" s="48"/>
      <c r="Q494" s="48"/>
      <c r="R494" s="47"/>
      <c r="S494" s="26">
        <f t="shared" si="14"/>
        <v>0</v>
      </c>
      <c r="T494" s="26">
        <f>COUNTIF($V$4:V494,V494)</f>
        <v>483</v>
      </c>
      <c r="U494" s="26" t="str">
        <f>IF(T494=1,COUNTIF($T$4:T494,1),"")</f>
        <v/>
      </c>
      <c r="V494" s="27" t="str">
        <f>'施設状況(要更新)'!$E494&amp;'施設状況(要更新)'!$C494</f>
        <v/>
      </c>
      <c r="W494" s="27">
        <f>'施設状況(要更新)'!$F494</f>
        <v>0</v>
      </c>
      <c r="X494" s="28"/>
      <c r="Y494" s="27"/>
    </row>
    <row r="495" spans="1:25" s="10" customFormat="1" ht="11.25">
      <c r="A495" s="46"/>
      <c r="B495" s="51"/>
      <c r="C495" s="47"/>
      <c r="D495" s="47"/>
      <c r="E495" s="47"/>
      <c r="F495" s="48"/>
      <c r="G495" s="48"/>
      <c r="H495" s="48"/>
      <c r="I495" s="48"/>
      <c r="J495" s="48"/>
      <c r="K495" s="48"/>
      <c r="L495" s="48"/>
      <c r="M495" s="48"/>
      <c r="N495" s="48"/>
      <c r="O495" s="48"/>
      <c r="P495" s="48"/>
      <c r="Q495" s="48"/>
      <c r="R495" s="47"/>
      <c r="S495" s="26">
        <f t="shared" si="14"/>
        <v>0</v>
      </c>
      <c r="T495" s="26">
        <f>COUNTIF($V$4:V495,V495)</f>
        <v>484</v>
      </c>
      <c r="U495" s="26" t="str">
        <f>IF(T495=1,COUNTIF($T$4:T495,1),"")</f>
        <v/>
      </c>
      <c r="V495" s="27" t="str">
        <f>'施設状況(要更新)'!$E495&amp;'施設状況(要更新)'!$C495</f>
        <v/>
      </c>
      <c r="W495" s="27">
        <f>'施設状況(要更新)'!$F495</f>
        <v>0</v>
      </c>
      <c r="X495" s="28"/>
      <c r="Y495" s="27"/>
    </row>
    <row r="496" spans="1:25" s="10" customFormat="1" ht="11.25">
      <c r="A496" s="46"/>
      <c r="B496" s="51"/>
      <c r="C496" s="47"/>
      <c r="D496" s="47"/>
      <c r="E496" s="47"/>
      <c r="F496" s="48"/>
      <c r="G496" s="48"/>
      <c r="H496" s="48"/>
      <c r="I496" s="48"/>
      <c r="J496" s="48"/>
      <c r="K496" s="48"/>
      <c r="L496" s="48"/>
      <c r="M496" s="48"/>
      <c r="N496" s="48"/>
      <c r="O496" s="48"/>
      <c r="P496" s="48"/>
      <c r="Q496" s="48"/>
      <c r="R496" s="47"/>
      <c r="S496" s="26">
        <f t="shared" si="14"/>
        <v>0</v>
      </c>
      <c r="T496" s="26">
        <f>COUNTIF($V$4:V496,V496)</f>
        <v>485</v>
      </c>
      <c r="U496" s="26" t="str">
        <f>IF(T496=1,COUNTIF($T$4:T496,1),"")</f>
        <v/>
      </c>
      <c r="V496" s="27" t="str">
        <f>'施設状況(要更新)'!$E496&amp;'施設状況(要更新)'!$C496</f>
        <v/>
      </c>
      <c r="W496" s="27">
        <f>'施設状況(要更新)'!$F496</f>
        <v>0</v>
      </c>
      <c r="X496" s="28"/>
      <c r="Y496" s="27"/>
    </row>
    <row r="497" spans="1:25" s="10" customFormat="1" ht="11.25">
      <c r="A497" s="46"/>
      <c r="B497" s="51"/>
      <c r="C497" s="47"/>
      <c r="D497" s="47"/>
      <c r="E497" s="47"/>
      <c r="F497" s="48"/>
      <c r="G497" s="48"/>
      <c r="H497" s="48"/>
      <c r="I497" s="48"/>
      <c r="J497" s="48"/>
      <c r="K497" s="48"/>
      <c r="L497" s="48"/>
      <c r="M497" s="48"/>
      <c r="N497" s="48"/>
      <c r="O497" s="48"/>
      <c r="P497" s="48"/>
      <c r="Q497" s="48"/>
      <c r="R497" s="47"/>
      <c r="S497" s="26">
        <f t="shared" si="14"/>
        <v>0</v>
      </c>
      <c r="T497" s="26">
        <f>COUNTIF($V$4:V497,V497)</f>
        <v>486</v>
      </c>
      <c r="U497" s="26" t="str">
        <f>IF(T497=1,COUNTIF($T$4:T497,1),"")</f>
        <v/>
      </c>
      <c r="V497" s="27" t="str">
        <f>'施設状況(要更新)'!$E497&amp;'施設状況(要更新)'!$C497</f>
        <v/>
      </c>
      <c r="W497" s="27">
        <f>'施設状況(要更新)'!$F497</f>
        <v>0</v>
      </c>
      <c r="X497" s="28"/>
      <c r="Y497" s="27"/>
    </row>
    <row r="498" spans="1:25" s="10" customFormat="1" ht="11.25">
      <c r="A498" s="46"/>
      <c r="B498" s="51"/>
      <c r="C498" s="47"/>
      <c r="D498" s="47"/>
      <c r="E498" s="47"/>
      <c r="F498" s="48"/>
      <c r="G498" s="48"/>
      <c r="H498" s="48"/>
      <c r="I498" s="48"/>
      <c r="J498" s="48"/>
      <c r="K498" s="48"/>
      <c r="L498" s="48"/>
      <c r="M498" s="48"/>
      <c r="N498" s="48"/>
      <c r="O498" s="48"/>
      <c r="P498" s="48"/>
      <c r="Q498" s="48"/>
      <c r="R498" s="47"/>
      <c r="S498" s="26">
        <f t="shared" si="14"/>
        <v>0</v>
      </c>
      <c r="T498" s="26">
        <f>COUNTIF($V$4:V498,V498)</f>
        <v>487</v>
      </c>
      <c r="U498" s="26" t="str">
        <f>IF(T498=1,COUNTIF($T$4:T498,1),"")</f>
        <v/>
      </c>
      <c r="V498" s="27" t="str">
        <f>'施設状況(要更新)'!$E498&amp;'施設状況(要更新)'!$C498</f>
        <v/>
      </c>
      <c r="W498" s="27">
        <f>'施設状況(要更新)'!$F498</f>
        <v>0</v>
      </c>
      <c r="X498" s="28"/>
      <c r="Y498" s="27"/>
    </row>
    <row r="499" spans="1:25" s="10" customFormat="1" ht="11.25">
      <c r="A499" s="46"/>
      <c r="B499" s="51"/>
      <c r="C499" s="47"/>
      <c r="D499" s="47"/>
      <c r="E499" s="47"/>
      <c r="F499" s="48"/>
      <c r="G499" s="48"/>
      <c r="H499" s="48"/>
      <c r="I499" s="48"/>
      <c r="J499" s="48"/>
      <c r="K499" s="48"/>
      <c r="L499" s="48"/>
      <c r="M499" s="48"/>
      <c r="N499" s="48"/>
      <c r="O499" s="48"/>
      <c r="P499" s="48"/>
      <c r="Q499" s="48"/>
      <c r="R499" s="47"/>
      <c r="S499" s="26">
        <f t="shared" si="14"/>
        <v>0</v>
      </c>
      <c r="T499" s="26">
        <f>COUNTIF($V$4:V499,V499)</f>
        <v>488</v>
      </c>
      <c r="U499" s="26" t="str">
        <f>IF(T499=1,COUNTIF($T$4:T499,1),"")</f>
        <v/>
      </c>
      <c r="V499" s="27" t="str">
        <f>'施設状況(要更新)'!$E499&amp;'施設状況(要更新)'!$C499</f>
        <v/>
      </c>
      <c r="W499" s="27">
        <f>'施設状況(要更新)'!$F499</f>
        <v>0</v>
      </c>
      <c r="X499" s="28"/>
      <c r="Y499" s="27"/>
    </row>
    <row r="500" spans="1:25" s="10" customFormat="1" ht="11.25">
      <c r="A500" s="46"/>
      <c r="B500" s="51"/>
      <c r="C500" s="47"/>
      <c r="D500" s="47"/>
      <c r="E500" s="47"/>
      <c r="F500" s="48"/>
      <c r="G500" s="48"/>
      <c r="H500" s="48"/>
      <c r="I500" s="48"/>
      <c r="J500" s="48"/>
      <c r="K500" s="48"/>
      <c r="L500" s="48"/>
      <c r="M500" s="48"/>
      <c r="N500" s="48"/>
      <c r="O500" s="48"/>
      <c r="P500" s="48"/>
      <c r="Q500" s="48"/>
      <c r="R500" s="47"/>
      <c r="S500" s="26">
        <f t="shared" si="14"/>
        <v>0</v>
      </c>
      <c r="T500" s="26">
        <f>COUNTIF($V$4:V500,V500)</f>
        <v>489</v>
      </c>
      <c r="U500" s="26" t="str">
        <f>IF(T500=1,COUNTIF($T$4:T500,1),"")</f>
        <v/>
      </c>
      <c r="V500" s="27" t="str">
        <f>'施設状況(要更新)'!$E500&amp;'施設状況(要更新)'!$C500</f>
        <v/>
      </c>
      <c r="W500" s="27">
        <f>'施設状況(要更新)'!$F500</f>
        <v>0</v>
      </c>
      <c r="X500" s="28"/>
      <c r="Y500" s="27"/>
    </row>
    <row r="501" spans="1:25" s="10" customFormat="1" ht="11.25">
      <c r="A501" s="46"/>
      <c r="B501" s="51"/>
      <c r="C501" s="47"/>
      <c r="D501" s="47"/>
      <c r="E501" s="47"/>
      <c r="F501" s="48"/>
      <c r="G501" s="48"/>
      <c r="H501" s="48"/>
      <c r="I501" s="48"/>
      <c r="J501" s="48"/>
      <c r="K501" s="48"/>
      <c r="L501" s="48"/>
      <c r="M501" s="48"/>
      <c r="N501" s="48"/>
      <c r="O501" s="48"/>
      <c r="P501" s="48"/>
      <c r="Q501" s="48"/>
      <c r="R501" s="47"/>
      <c r="S501" s="26">
        <f t="shared" si="14"/>
        <v>0</v>
      </c>
      <c r="T501" s="26">
        <f>COUNTIF($V$4:V501,V501)</f>
        <v>490</v>
      </c>
      <c r="U501" s="26" t="str">
        <f>IF(T501=1,COUNTIF($T$4:T501,1),"")</f>
        <v/>
      </c>
      <c r="V501" s="27" t="str">
        <f>'施設状況(要更新)'!$E501&amp;'施設状況(要更新)'!$C501</f>
        <v/>
      </c>
      <c r="W501" s="27">
        <f>'施設状況(要更新)'!$F501</f>
        <v>0</v>
      </c>
      <c r="X501" s="28"/>
      <c r="Y501" s="27"/>
    </row>
    <row r="502" spans="1:25" s="10" customFormat="1" ht="11.25">
      <c r="A502" s="46"/>
      <c r="B502" s="51"/>
      <c r="C502" s="47"/>
      <c r="D502" s="47"/>
      <c r="E502" s="47"/>
      <c r="F502" s="48"/>
      <c r="G502" s="48"/>
      <c r="H502" s="48"/>
      <c r="I502" s="48"/>
      <c r="J502" s="48"/>
      <c r="K502" s="48"/>
      <c r="L502" s="48"/>
      <c r="M502" s="48"/>
      <c r="N502" s="48"/>
      <c r="O502" s="48"/>
      <c r="P502" s="48"/>
      <c r="Q502" s="48"/>
      <c r="R502" s="47"/>
      <c r="S502" s="26">
        <f t="shared" si="14"/>
        <v>0</v>
      </c>
      <c r="T502" s="26">
        <f>COUNTIF($V$4:V502,V502)</f>
        <v>491</v>
      </c>
      <c r="U502" s="26" t="str">
        <f>IF(T502=1,COUNTIF($T$4:T502,1),"")</f>
        <v/>
      </c>
      <c r="V502" s="27" t="str">
        <f>'施設状況(要更新)'!$E502&amp;'施設状況(要更新)'!$C502</f>
        <v/>
      </c>
      <c r="W502" s="27">
        <f>'施設状況(要更新)'!$F502</f>
        <v>0</v>
      </c>
      <c r="X502" s="28"/>
      <c r="Y502" s="27"/>
    </row>
    <row r="503" spans="1:25" s="10" customFormat="1" ht="11.25">
      <c r="A503" s="46"/>
      <c r="B503" s="51"/>
      <c r="C503" s="47"/>
      <c r="D503" s="47"/>
      <c r="E503" s="47"/>
      <c r="F503" s="48"/>
      <c r="G503" s="48"/>
      <c r="H503" s="48"/>
      <c r="I503" s="48"/>
      <c r="J503" s="48"/>
      <c r="K503" s="48"/>
      <c r="L503" s="48"/>
      <c r="M503" s="48"/>
      <c r="N503" s="48"/>
      <c r="O503" s="48"/>
      <c r="P503" s="48"/>
      <c r="Q503" s="48"/>
      <c r="R503" s="47"/>
      <c r="S503" s="26">
        <f t="shared" si="14"/>
        <v>0</v>
      </c>
      <c r="T503" s="26">
        <f>COUNTIF($V$4:V503,V503)</f>
        <v>492</v>
      </c>
      <c r="U503" s="26" t="str">
        <f>IF(T503=1,COUNTIF($T$4:T503,1),"")</f>
        <v/>
      </c>
      <c r="V503" s="27" t="str">
        <f>'施設状況(要更新)'!$E503&amp;'施設状況(要更新)'!$C503</f>
        <v/>
      </c>
      <c r="W503" s="27">
        <f>'施設状況(要更新)'!$F503</f>
        <v>0</v>
      </c>
      <c r="X503" s="28"/>
      <c r="Y503" s="27"/>
    </row>
    <row r="504" spans="1:25" s="10" customFormat="1" ht="11.25">
      <c r="A504" s="46"/>
      <c r="B504" s="51"/>
      <c r="C504" s="47"/>
      <c r="D504" s="47"/>
      <c r="E504" s="47"/>
      <c r="F504" s="48"/>
      <c r="G504" s="48"/>
      <c r="H504" s="48"/>
      <c r="I504" s="48"/>
      <c r="J504" s="48"/>
      <c r="K504" s="48"/>
      <c r="L504" s="48"/>
      <c r="M504" s="48"/>
      <c r="N504" s="48"/>
      <c r="O504" s="48"/>
      <c r="P504" s="48"/>
      <c r="Q504" s="48"/>
      <c r="R504" s="47"/>
      <c r="S504" s="26">
        <f t="shared" si="14"/>
        <v>0</v>
      </c>
      <c r="T504" s="26">
        <f>COUNTIF($V$4:V504,V504)</f>
        <v>493</v>
      </c>
      <c r="U504" s="26" t="str">
        <f>IF(T504=1,COUNTIF($T$4:T504,1),"")</f>
        <v/>
      </c>
      <c r="V504" s="27" t="str">
        <f>'施設状況(要更新)'!$E504&amp;'施設状況(要更新)'!$C504</f>
        <v/>
      </c>
      <c r="W504" s="27">
        <f>'施設状況(要更新)'!$F504</f>
        <v>0</v>
      </c>
      <c r="X504" s="28"/>
      <c r="Y504" s="27"/>
    </row>
    <row r="505" spans="1:25" s="10" customFormat="1" ht="11.25">
      <c r="A505" s="46"/>
      <c r="B505" s="51"/>
      <c r="C505" s="47"/>
      <c r="D505" s="47"/>
      <c r="E505" s="47"/>
      <c r="F505" s="48"/>
      <c r="G505" s="48"/>
      <c r="H505" s="48"/>
      <c r="I505" s="48"/>
      <c r="J505" s="48"/>
      <c r="K505" s="48"/>
      <c r="L505" s="48"/>
      <c r="M505" s="48"/>
      <c r="N505" s="48"/>
      <c r="O505" s="48"/>
      <c r="P505" s="48"/>
      <c r="Q505" s="48"/>
      <c r="R505" s="47"/>
      <c r="S505" s="26">
        <f t="shared" si="14"/>
        <v>0</v>
      </c>
      <c r="T505" s="26">
        <f>COUNTIF($V$4:V505,V505)</f>
        <v>494</v>
      </c>
      <c r="U505" s="26" t="str">
        <f>IF(T505=1,COUNTIF($T$4:T505,1),"")</f>
        <v/>
      </c>
      <c r="V505" s="27" t="str">
        <f>'施設状況(要更新)'!$E505&amp;'施設状況(要更新)'!$C505</f>
        <v/>
      </c>
      <c r="W505" s="27">
        <f>'施設状況(要更新)'!$F505</f>
        <v>0</v>
      </c>
      <c r="X505" s="28"/>
      <c r="Y505" s="27"/>
    </row>
    <row r="506" spans="1:25" s="10" customFormat="1" ht="11.25">
      <c r="A506" s="46"/>
      <c r="B506" s="51"/>
      <c r="C506" s="47"/>
      <c r="D506" s="47"/>
      <c r="E506" s="47"/>
      <c r="F506" s="48"/>
      <c r="G506" s="48"/>
      <c r="H506" s="48"/>
      <c r="I506" s="48"/>
      <c r="J506" s="48"/>
      <c r="K506" s="48"/>
      <c r="L506" s="48"/>
      <c r="M506" s="48"/>
      <c r="N506" s="48"/>
      <c r="O506" s="48"/>
      <c r="P506" s="48"/>
      <c r="Q506" s="48"/>
      <c r="R506" s="47"/>
      <c r="S506" s="26">
        <f t="shared" si="14"/>
        <v>0</v>
      </c>
      <c r="T506" s="26">
        <f>COUNTIF($V$4:V506,V506)</f>
        <v>495</v>
      </c>
      <c r="U506" s="26" t="str">
        <f>IF(T506=1,COUNTIF($T$4:T506,1),"")</f>
        <v/>
      </c>
      <c r="V506" s="27" t="str">
        <f>'施設状況(要更新)'!$E506&amp;'施設状況(要更新)'!$C506</f>
        <v/>
      </c>
      <c r="W506" s="27">
        <f>'施設状況(要更新)'!$F506</f>
        <v>0</v>
      </c>
      <c r="X506" s="28"/>
      <c r="Y506" s="27"/>
    </row>
    <row r="507" spans="1:25" s="10" customFormat="1" ht="11.25">
      <c r="A507" s="46"/>
      <c r="B507" s="51"/>
      <c r="C507" s="47"/>
      <c r="D507" s="47"/>
      <c r="E507" s="47"/>
      <c r="F507" s="48"/>
      <c r="G507" s="48"/>
      <c r="H507" s="48"/>
      <c r="I507" s="48"/>
      <c r="J507" s="48"/>
      <c r="K507" s="48"/>
      <c r="L507" s="48"/>
      <c r="M507" s="48"/>
      <c r="N507" s="48"/>
      <c r="O507" s="48"/>
      <c r="P507" s="48"/>
      <c r="Q507" s="48"/>
      <c r="R507" s="47"/>
      <c r="S507" s="26">
        <f t="shared" si="14"/>
        <v>0</v>
      </c>
      <c r="T507" s="26">
        <f>COUNTIF($V$4:V507,V507)</f>
        <v>496</v>
      </c>
      <c r="U507" s="26" t="str">
        <f>IF(T507=1,COUNTIF($T$4:T507,1),"")</f>
        <v/>
      </c>
      <c r="V507" s="27" t="str">
        <f>'施設状況(要更新)'!$E507&amp;'施設状況(要更新)'!$C507</f>
        <v/>
      </c>
      <c r="W507" s="27">
        <f>'施設状況(要更新)'!$F507</f>
        <v>0</v>
      </c>
      <c r="X507" s="28"/>
      <c r="Y507" s="27"/>
    </row>
    <row r="508" spans="1:25" s="10" customFormat="1" ht="11.25">
      <c r="A508" s="46"/>
      <c r="B508" s="51"/>
      <c r="C508" s="47"/>
      <c r="D508" s="47"/>
      <c r="E508" s="47"/>
      <c r="F508" s="48"/>
      <c r="G508" s="48"/>
      <c r="H508" s="48"/>
      <c r="I508" s="48"/>
      <c r="J508" s="48"/>
      <c r="K508" s="48"/>
      <c r="L508" s="48"/>
      <c r="M508" s="48"/>
      <c r="N508" s="48"/>
      <c r="O508" s="48"/>
      <c r="P508" s="48"/>
      <c r="Q508" s="48"/>
      <c r="R508" s="47"/>
      <c r="S508" s="26">
        <f t="shared" si="14"/>
        <v>0</v>
      </c>
      <c r="T508" s="26">
        <f>COUNTIF($V$4:V508,V508)</f>
        <v>497</v>
      </c>
      <c r="U508" s="26" t="str">
        <f>IF(T508=1,COUNTIF($T$4:T508,1),"")</f>
        <v/>
      </c>
      <c r="V508" s="27" t="str">
        <f>'施設状況(要更新)'!$E508&amp;'施設状況(要更新)'!$C508</f>
        <v/>
      </c>
      <c r="W508" s="27">
        <f>'施設状況(要更新)'!$F508</f>
        <v>0</v>
      </c>
      <c r="X508" s="28"/>
      <c r="Y508" s="27"/>
    </row>
    <row r="509" spans="1:25" s="10" customFormat="1" ht="11.25">
      <c r="A509" s="46"/>
      <c r="B509" s="51"/>
      <c r="C509" s="47"/>
      <c r="D509" s="47"/>
      <c r="E509" s="47"/>
      <c r="F509" s="48"/>
      <c r="G509" s="48"/>
      <c r="H509" s="48"/>
      <c r="I509" s="48"/>
      <c r="J509" s="48"/>
      <c r="K509" s="48"/>
      <c r="L509" s="48"/>
      <c r="M509" s="48"/>
      <c r="N509" s="48"/>
      <c r="O509" s="48"/>
      <c r="P509" s="48"/>
      <c r="Q509" s="48"/>
      <c r="R509" s="47"/>
      <c r="S509" s="26">
        <f t="shared" si="14"/>
        <v>0</v>
      </c>
      <c r="T509" s="26">
        <f>COUNTIF($V$4:V509,V509)</f>
        <v>498</v>
      </c>
      <c r="U509" s="26" t="str">
        <f>IF(T509=1,COUNTIF($T$4:T509,1),"")</f>
        <v/>
      </c>
      <c r="V509" s="27" t="str">
        <f>'施設状況(要更新)'!$E509&amp;'施設状況(要更新)'!$C509</f>
        <v/>
      </c>
      <c r="W509" s="27">
        <f>'施設状況(要更新)'!$F509</f>
        <v>0</v>
      </c>
      <c r="X509" s="28"/>
      <c r="Y509" s="27"/>
    </row>
    <row r="510" spans="1:25" s="10" customFormat="1" ht="11.25">
      <c r="A510" s="46"/>
      <c r="B510" s="51"/>
      <c r="C510" s="47"/>
      <c r="D510" s="47"/>
      <c r="E510" s="47"/>
      <c r="F510" s="48"/>
      <c r="G510" s="48"/>
      <c r="H510" s="48"/>
      <c r="I510" s="48"/>
      <c r="J510" s="48"/>
      <c r="K510" s="48"/>
      <c r="L510" s="48"/>
      <c r="M510" s="48"/>
      <c r="N510" s="48"/>
      <c r="O510" s="48"/>
      <c r="P510" s="48"/>
      <c r="Q510" s="48"/>
      <c r="R510" s="47"/>
      <c r="S510" s="26">
        <f t="shared" si="14"/>
        <v>0</v>
      </c>
      <c r="T510" s="26">
        <f>COUNTIF($V$4:V510,V510)</f>
        <v>499</v>
      </c>
      <c r="U510" s="26" t="str">
        <f>IF(T510=1,COUNTIF($T$4:T510,1),"")</f>
        <v/>
      </c>
      <c r="V510" s="27" t="str">
        <f>'施設状況(要更新)'!$E510&amp;'施設状況(要更新)'!$C510</f>
        <v/>
      </c>
      <c r="W510" s="27">
        <f>'施設状況(要更新)'!$F510</f>
        <v>0</v>
      </c>
      <c r="X510" s="28"/>
      <c r="Y510" s="27"/>
    </row>
    <row r="511" spans="1:25" s="10" customFormat="1" ht="11.25">
      <c r="A511" s="46"/>
      <c r="B511" s="51"/>
      <c r="C511" s="47"/>
      <c r="D511" s="47"/>
      <c r="E511" s="47"/>
      <c r="F511" s="48"/>
      <c r="G511" s="48"/>
      <c r="H511" s="48"/>
      <c r="I511" s="48"/>
      <c r="J511" s="48"/>
      <c r="K511" s="48"/>
      <c r="L511" s="48"/>
      <c r="M511" s="48"/>
      <c r="N511" s="48"/>
      <c r="O511" s="48"/>
      <c r="P511" s="48"/>
      <c r="Q511" s="48"/>
      <c r="R511" s="47"/>
      <c r="S511" s="26">
        <f t="shared" si="14"/>
        <v>0</v>
      </c>
      <c r="T511" s="26">
        <f>COUNTIF($V$4:V511,V511)</f>
        <v>500</v>
      </c>
      <c r="U511" s="26" t="str">
        <f>IF(T511=1,COUNTIF($T$4:T511,1),"")</f>
        <v/>
      </c>
      <c r="V511" s="27" t="str">
        <f>'施設状況(要更新)'!$E511&amp;'施設状況(要更新)'!$C511</f>
        <v/>
      </c>
      <c r="W511" s="27">
        <f>'施設状況(要更新)'!$F511</f>
        <v>0</v>
      </c>
      <c r="X511" s="28"/>
      <c r="Y511" s="27"/>
    </row>
    <row r="512" spans="1:25" s="10" customFormat="1" ht="11.25">
      <c r="A512" s="46"/>
      <c r="B512" s="51"/>
      <c r="C512" s="47"/>
      <c r="D512" s="47"/>
      <c r="E512" s="47"/>
      <c r="F512" s="48"/>
      <c r="G512" s="48"/>
      <c r="H512" s="48"/>
      <c r="I512" s="48"/>
      <c r="J512" s="48"/>
      <c r="K512" s="48"/>
      <c r="L512" s="48"/>
      <c r="M512" s="48"/>
      <c r="N512" s="48"/>
      <c r="O512" s="48"/>
      <c r="P512" s="48"/>
      <c r="Q512" s="48"/>
      <c r="R512" s="47"/>
      <c r="S512" s="26">
        <f t="shared" si="14"/>
        <v>0</v>
      </c>
      <c r="T512" s="26">
        <f>COUNTIF($V$4:V512,V512)</f>
        <v>501</v>
      </c>
      <c r="U512" s="26" t="str">
        <f>IF(T512=1,COUNTIF($T$4:T512,1),"")</f>
        <v/>
      </c>
      <c r="V512" s="27" t="str">
        <f>'施設状況(要更新)'!$E512&amp;'施設状況(要更新)'!$C512</f>
        <v/>
      </c>
      <c r="W512" s="27">
        <f>'施設状況(要更新)'!$F512</f>
        <v>0</v>
      </c>
      <c r="X512" s="28"/>
      <c r="Y512" s="27"/>
    </row>
    <row r="513" spans="1:25" s="10" customFormat="1" ht="11.25">
      <c r="A513" s="46"/>
      <c r="B513" s="51"/>
      <c r="C513" s="47"/>
      <c r="D513" s="47"/>
      <c r="E513" s="47"/>
      <c r="F513" s="48"/>
      <c r="G513" s="48"/>
      <c r="H513" s="48"/>
      <c r="I513" s="48"/>
      <c r="J513" s="48"/>
      <c r="K513" s="48"/>
      <c r="L513" s="48"/>
      <c r="M513" s="48"/>
      <c r="N513" s="48"/>
      <c r="O513" s="48"/>
      <c r="P513" s="48"/>
      <c r="Q513" s="48"/>
      <c r="R513" s="47"/>
      <c r="S513" s="26">
        <f t="shared" si="14"/>
        <v>0</v>
      </c>
      <c r="T513" s="26">
        <f>COUNTIF($V$4:V513,V513)</f>
        <v>502</v>
      </c>
      <c r="U513" s="26" t="str">
        <f>IF(T513=1,COUNTIF($T$4:T513,1),"")</f>
        <v/>
      </c>
      <c r="V513" s="27" t="str">
        <f>'施設状況(要更新)'!$E513&amp;'施設状況(要更新)'!$C513</f>
        <v/>
      </c>
      <c r="W513" s="27">
        <f>'施設状況(要更新)'!$F513</f>
        <v>0</v>
      </c>
      <c r="X513" s="28"/>
      <c r="Y513" s="27"/>
    </row>
    <row r="514" spans="1:25" s="10" customFormat="1" ht="11.25">
      <c r="A514" s="46"/>
      <c r="B514" s="51"/>
      <c r="C514" s="47"/>
      <c r="D514" s="47"/>
      <c r="E514" s="47"/>
      <c r="F514" s="48"/>
      <c r="G514" s="48"/>
      <c r="H514" s="48"/>
      <c r="I514" s="48"/>
      <c r="J514" s="48"/>
      <c r="K514" s="48"/>
      <c r="L514" s="48"/>
      <c r="M514" s="48"/>
      <c r="N514" s="48"/>
      <c r="O514" s="48"/>
      <c r="P514" s="48"/>
      <c r="Q514" s="48"/>
      <c r="R514" s="47"/>
      <c r="S514" s="26">
        <f t="shared" si="14"/>
        <v>0</v>
      </c>
      <c r="T514" s="26">
        <f>COUNTIF($V$4:V514,V514)</f>
        <v>503</v>
      </c>
      <c r="U514" s="26" t="str">
        <f>IF(T514=1,COUNTIF($T$4:T514,1),"")</f>
        <v/>
      </c>
      <c r="V514" s="27" t="str">
        <f>'施設状況(要更新)'!$E514&amp;'施設状況(要更新)'!$C514</f>
        <v/>
      </c>
      <c r="W514" s="27">
        <f>'施設状況(要更新)'!$F514</f>
        <v>0</v>
      </c>
      <c r="X514" s="28"/>
      <c r="Y514" s="27"/>
    </row>
    <row r="515" spans="1:25" s="10" customFormat="1" ht="11.25">
      <c r="A515" s="46"/>
      <c r="B515" s="51"/>
      <c r="C515" s="47"/>
      <c r="D515" s="47"/>
      <c r="E515" s="47"/>
      <c r="F515" s="48"/>
      <c r="G515" s="48"/>
      <c r="H515" s="48"/>
      <c r="I515" s="48"/>
      <c r="J515" s="48"/>
      <c r="K515" s="48"/>
      <c r="L515" s="48"/>
      <c r="M515" s="48"/>
      <c r="N515" s="48"/>
      <c r="O515" s="48"/>
      <c r="P515" s="48"/>
      <c r="Q515" s="48"/>
      <c r="R515" s="47"/>
      <c r="S515" s="26">
        <f t="shared" si="14"/>
        <v>0</v>
      </c>
      <c r="T515" s="26">
        <f>COUNTIF($V$4:V515,V515)</f>
        <v>504</v>
      </c>
      <c r="U515" s="26" t="str">
        <f>IF(T515=1,COUNTIF($T$4:T515,1),"")</f>
        <v/>
      </c>
      <c r="V515" s="27" t="str">
        <f>'施設状況(要更新)'!$E515&amp;'施設状況(要更新)'!$C515</f>
        <v/>
      </c>
      <c r="W515" s="27">
        <f>'施設状況(要更新)'!$F515</f>
        <v>0</v>
      </c>
      <c r="X515" s="28"/>
      <c r="Y515" s="27"/>
    </row>
    <row r="516" spans="1:25" s="10" customFormat="1" ht="11.25">
      <c r="A516" s="46"/>
      <c r="B516" s="51"/>
      <c r="C516" s="47"/>
      <c r="D516" s="47"/>
      <c r="E516" s="47"/>
      <c r="F516" s="48"/>
      <c r="G516" s="48"/>
      <c r="H516" s="48"/>
      <c r="I516" s="48"/>
      <c r="J516" s="48"/>
      <c r="K516" s="48"/>
      <c r="L516" s="48"/>
      <c r="M516" s="48"/>
      <c r="N516" s="48"/>
      <c r="O516" s="48"/>
      <c r="P516" s="48"/>
      <c r="Q516" s="48"/>
      <c r="R516" s="47"/>
      <c r="S516" s="26">
        <f t="shared" si="14"/>
        <v>0</v>
      </c>
      <c r="T516" s="26">
        <f>COUNTIF($V$4:V516,V516)</f>
        <v>505</v>
      </c>
      <c r="U516" s="26" t="str">
        <f>IF(T516=1,COUNTIF($T$4:T516,1),"")</f>
        <v/>
      </c>
      <c r="V516" s="27" t="str">
        <f>'施設状況(要更新)'!$E516&amp;'施設状況(要更新)'!$C516</f>
        <v/>
      </c>
      <c r="W516" s="27">
        <f>'施設状況(要更新)'!$F516</f>
        <v>0</v>
      </c>
      <c r="X516" s="28"/>
      <c r="Y516" s="27"/>
    </row>
    <row r="517" spans="1:25" s="10" customFormat="1" ht="11.25">
      <c r="A517" s="46"/>
      <c r="B517" s="51"/>
      <c r="C517" s="47"/>
      <c r="D517" s="47"/>
      <c r="E517" s="47"/>
      <c r="F517" s="48"/>
      <c r="G517" s="48"/>
      <c r="H517" s="48"/>
      <c r="I517" s="48"/>
      <c r="J517" s="48"/>
      <c r="K517" s="48"/>
      <c r="L517" s="48"/>
      <c r="M517" s="48"/>
      <c r="N517" s="48"/>
      <c r="O517" s="48"/>
      <c r="P517" s="48"/>
      <c r="Q517" s="48"/>
      <c r="R517" s="47"/>
      <c r="S517" s="26">
        <f t="shared" ref="S517:S580" si="15">A517</f>
        <v>0</v>
      </c>
      <c r="T517" s="26">
        <f>COUNTIF($V$4:V517,V517)</f>
        <v>506</v>
      </c>
      <c r="U517" s="26" t="str">
        <f>IF(T517=1,COUNTIF($T$4:T517,1),"")</f>
        <v/>
      </c>
      <c r="V517" s="27" t="str">
        <f>'施設状況(要更新)'!$E517&amp;'施設状況(要更新)'!$C517</f>
        <v/>
      </c>
      <c r="W517" s="27">
        <f>'施設状況(要更新)'!$F517</f>
        <v>0</v>
      </c>
      <c r="X517" s="28"/>
      <c r="Y517" s="27"/>
    </row>
    <row r="518" spans="1:25" s="10" customFormat="1" ht="11.25">
      <c r="A518" s="46"/>
      <c r="B518" s="51"/>
      <c r="C518" s="47"/>
      <c r="D518" s="47"/>
      <c r="E518" s="47"/>
      <c r="F518" s="48"/>
      <c r="G518" s="48"/>
      <c r="H518" s="48"/>
      <c r="I518" s="48"/>
      <c r="J518" s="48"/>
      <c r="K518" s="48"/>
      <c r="L518" s="48"/>
      <c r="M518" s="48"/>
      <c r="N518" s="48"/>
      <c r="O518" s="48"/>
      <c r="P518" s="48"/>
      <c r="Q518" s="48"/>
      <c r="R518" s="47"/>
      <c r="S518" s="26">
        <f t="shared" si="15"/>
        <v>0</v>
      </c>
      <c r="T518" s="26">
        <f>COUNTIF($V$4:V518,V518)</f>
        <v>507</v>
      </c>
      <c r="U518" s="26" t="str">
        <f>IF(T518=1,COUNTIF($T$4:T518,1),"")</f>
        <v/>
      </c>
      <c r="V518" s="27" t="str">
        <f>'施設状況(要更新)'!$E518&amp;'施設状況(要更新)'!$C518</f>
        <v/>
      </c>
      <c r="W518" s="27">
        <f>'施設状況(要更新)'!$F518</f>
        <v>0</v>
      </c>
      <c r="X518" s="28"/>
      <c r="Y518" s="27"/>
    </row>
    <row r="519" spans="1:25" s="10" customFormat="1" ht="11.25">
      <c r="A519" s="46"/>
      <c r="B519" s="51"/>
      <c r="C519" s="47"/>
      <c r="D519" s="47"/>
      <c r="E519" s="47"/>
      <c r="F519" s="48"/>
      <c r="G519" s="48"/>
      <c r="H519" s="48"/>
      <c r="I519" s="48"/>
      <c r="J519" s="48"/>
      <c r="K519" s="48"/>
      <c r="L519" s="48"/>
      <c r="M519" s="48"/>
      <c r="N519" s="48"/>
      <c r="O519" s="48"/>
      <c r="P519" s="48"/>
      <c r="Q519" s="48"/>
      <c r="R519" s="47"/>
      <c r="S519" s="26">
        <f t="shared" si="15"/>
        <v>0</v>
      </c>
      <c r="T519" s="26">
        <f>COUNTIF($V$4:V519,V519)</f>
        <v>508</v>
      </c>
      <c r="U519" s="26" t="str">
        <f>IF(T519=1,COUNTIF($T$4:T519,1),"")</f>
        <v/>
      </c>
      <c r="V519" s="27" t="str">
        <f>'施設状況(要更新)'!$E519&amp;'施設状況(要更新)'!$C519</f>
        <v/>
      </c>
      <c r="W519" s="27">
        <f>'施設状況(要更新)'!$F519</f>
        <v>0</v>
      </c>
      <c r="X519" s="28"/>
      <c r="Y519" s="27"/>
    </row>
    <row r="520" spans="1:25" s="10" customFormat="1" ht="11.25">
      <c r="A520" s="46"/>
      <c r="B520" s="51"/>
      <c r="C520" s="47"/>
      <c r="D520" s="47"/>
      <c r="E520" s="47"/>
      <c r="F520" s="48"/>
      <c r="G520" s="48"/>
      <c r="H520" s="48"/>
      <c r="I520" s="48"/>
      <c r="J520" s="48"/>
      <c r="K520" s="48"/>
      <c r="L520" s="48"/>
      <c r="M520" s="48"/>
      <c r="N520" s="48"/>
      <c r="O520" s="48"/>
      <c r="P520" s="48"/>
      <c r="Q520" s="48"/>
      <c r="R520" s="47"/>
      <c r="S520" s="26">
        <f t="shared" si="15"/>
        <v>0</v>
      </c>
      <c r="T520" s="26">
        <f>COUNTIF($V$4:V520,V520)</f>
        <v>509</v>
      </c>
      <c r="U520" s="26" t="str">
        <f>IF(T520=1,COUNTIF($T$4:T520,1),"")</f>
        <v/>
      </c>
      <c r="V520" s="27" t="str">
        <f>'施設状況(要更新)'!$E520&amp;'施設状況(要更新)'!$C520</f>
        <v/>
      </c>
      <c r="W520" s="27">
        <f>'施設状況(要更新)'!$F520</f>
        <v>0</v>
      </c>
      <c r="X520" s="28"/>
      <c r="Y520" s="27"/>
    </row>
    <row r="521" spans="1:25" s="10" customFormat="1" ht="11.25">
      <c r="A521" s="46"/>
      <c r="B521" s="51"/>
      <c r="C521" s="47"/>
      <c r="D521" s="47"/>
      <c r="E521" s="47"/>
      <c r="F521" s="48"/>
      <c r="G521" s="48"/>
      <c r="H521" s="48"/>
      <c r="I521" s="48"/>
      <c r="J521" s="48"/>
      <c r="K521" s="48"/>
      <c r="L521" s="48"/>
      <c r="M521" s="48"/>
      <c r="N521" s="48"/>
      <c r="O521" s="48"/>
      <c r="P521" s="48"/>
      <c r="Q521" s="48"/>
      <c r="R521" s="47"/>
      <c r="S521" s="26">
        <f t="shared" si="15"/>
        <v>0</v>
      </c>
      <c r="T521" s="26">
        <f>COUNTIF($V$4:V521,V521)</f>
        <v>510</v>
      </c>
      <c r="U521" s="26" t="str">
        <f>IF(T521=1,COUNTIF($T$4:T521,1),"")</f>
        <v/>
      </c>
      <c r="V521" s="27" t="str">
        <f>'施設状況(要更新)'!$E521&amp;'施設状況(要更新)'!$C521</f>
        <v/>
      </c>
      <c r="W521" s="27">
        <f>'施設状況(要更新)'!$F521</f>
        <v>0</v>
      </c>
      <c r="X521" s="28"/>
      <c r="Y521" s="27"/>
    </row>
    <row r="522" spans="1:25" s="10" customFormat="1" ht="11.25">
      <c r="A522" s="46"/>
      <c r="B522" s="51"/>
      <c r="C522" s="47"/>
      <c r="D522" s="47"/>
      <c r="E522" s="47"/>
      <c r="F522" s="48"/>
      <c r="G522" s="48"/>
      <c r="H522" s="48"/>
      <c r="I522" s="48"/>
      <c r="J522" s="48"/>
      <c r="K522" s="48"/>
      <c r="L522" s="48"/>
      <c r="M522" s="48"/>
      <c r="N522" s="48"/>
      <c r="O522" s="48"/>
      <c r="P522" s="48"/>
      <c r="Q522" s="48"/>
      <c r="R522" s="47"/>
      <c r="S522" s="26">
        <f t="shared" si="15"/>
        <v>0</v>
      </c>
      <c r="T522" s="26">
        <f>COUNTIF($V$4:V522,V522)</f>
        <v>511</v>
      </c>
      <c r="U522" s="26" t="str">
        <f>IF(T522=1,COUNTIF($T$4:T522,1),"")</f>
        <v/>
      </c>
      <c r="V522" s="27" t="str">
        <f>'施設状況(要更新)'!$E522&amp;'施設状況(要更新)'!$C522</f>
        <v/>
      </c>
      <c r="W522" s="27">
        <f>'施設状況(要更新)'!$F522</f>
        <v>0</v>
      </c>
      <c r="X522" s="28"/>
      <c r="Y522" s="27"/>
    </row>
    <row r="523" spans="1:25" s="10" customFormat="1" ht="11.25">
      <c r="A523" s="46"/>
      <c r="B523" s="51"/>
      <c r="C523" s="47"/>
      <c r="D523" s="47"/>
      <c r="E523" s="47"/>
      <c r="F523" s="48"/>
      <c r="G523" s="48"/>
      <c r="H523" s="48"/>
      <c r="I523" s="48"/>
      <c r="J523" s="48"/>
      <c r="K523" s="48"/>
      <c r="L523" s="48"/>
      <c r="M523" s="48"/>
      <c r="N523" s="48"/>
      <c r="O523" s="48"/>
      <c r="P523" s="48"/>
      <c r="Q523" s="48"/>
      <c r="R523" s="47"/>
      <c r="S523" s="26">
        <f t="shared" si="15"/>
        <v>0</v>
      </c>
      <c r="T523" s="26">
        <f>COUNTIF($V$4:V523,V523)</f>
        <v>512</v>
      </c>
      <c r="U523" s="26" t="str">
        <f>IF(T523=1,COUNTIF($T$4:T523,1),"")</f>
        <v/>
      </c>
      <c r="V523" s="27" t="str">
        <f>'施設状況(要更新)'!$E523&amp;'施設状況(要更新)'!$C523</f>
        <v/>
      </c>
      <c r="W523" s="27">
        <f>'施設状況(要更新)'!$F523</f>
        <v>0</v>
      </c>
      <c r="X523" s="28"/>
      <c r="Y523" s="27"/>
    </row>
    <row r="524" spans="1:25" s="10" customFormat="1" ht="11.25">
      <c r="A524" s="46"/>
      <c r="B524" s="51"/>
      <c r="C524" s="47"/>
      <c r="D524" s="47"/>
      <c r="E524" s="47"/>
      <c r="F524" s="48"/>
      <c r="G524" s="48"/>
      <c r="H524" s="48"/>
      <c r="I524" s="48"/>
      <c r="J524" s="48"/>
      <c r="K524" s="48"/>
      <c r="L524" s="48"/>
      <c r="M524" s="48"/>
      <c r="N524" s="48"/>
      <c r="O524" s="48"/>
      <c r="P524" s="48"/>
      <c r="Q524" s="48"/>
      <c r="R524" s="47"/>
      <c r="S524" s="26">
        <f t="shared" si="15"/>
        <v>0</v>
      </c>
      <c r="T524" s="26">
        <f>COUNTIF($V$4:V524,V524)</f>
        <v>513</v>
      </c>
      <c r="U524" s="26" t="str">
        <f>IF(T524=1,COUNTIF($T$4:T524,1),"")</f>
        <v/>
      </c>
      <c r="V524" s="27" t="str">
        <f>'施設状況(要更新)'!$E524&amp;'施設状況(要更新)'!$C524</f>
        <v/>
      </c>
      <c r="W524" s="27">
        <f>'施設状況(要更新)'!$F524</f>
        <v>0</v>
      </c>
      <c r="X524" s="28"/>
      <c r="Y524" s="27"/>
    </row>
    <row r="525" spans="1:25" s="10" customFormat="1" ht="11.25">
      <c r="A525" s="46"/>
      <c r="B525" s="51"/>
      <c r="C525" s="47"/>
      <c r="D525" s="47"/>
      <c r="E525" s="47"/>
      <c r="F525" s="48"/>
      <c r="G525" s="48"/>
      <c r="H525" s="48"/>
      <c r="I525" s="48"/>
      <c r="J525" s="48"/>
      <c r="K525" s="48"/>
      <c r="L525" s="48"/>
      <c r="M525" s="48"/>
      <c r="N525" s="48"/>
      <c r="O525" s="48"/>
      <c r="P525" s="48"/>
      <c r="Q525" s="48"/>
      <c r="R525" s="47"/>
      <c r="S525" s="26">
        <f t="shared" si="15"/>
        <v>0</v>
      </c>
      <c r="T525" s="26">
        <f>COUNTIF($V$4:V525,V525)</f>
        <v>514</v>
      </c>
      <c r="U525" s="26" t="str">
        <f>IF(T525=1,COUNTIF($T$4:T525,1),"")</f>
        <v/>
      </c>
      <c r="V525" s="27" t="str">
        <f>'施設状況(要更新)'!$E525&amp;'施設状況(要更新)'!$C525</f>
        <v/>
      </c>
      <c r="W525" s="27">
        <f>'施設状況(要更新)'!$F525</f>
        <v>0</v>
      </c>
      <c r="X525" s="28"/>
      <c r="Y525" s="27"/>
    </row>
    <row r="526" spans="1:25" s="10" customFormat="1" ht="11.25">
      <c r="A526" s="46"/>
      <c r="B526" s="51"/>
      <c r="C526" s="47"/>
      <c r="D526" s="47"/>
      <c r="E526" s="47"/>
      <c r="F526" s="48"/>
      <c r="G526" s="48"/>
      <c r="H526" s="48"/>
      <c r="I526" s="48"/>
      <c r="J526" s="48"/>
      <c r="K526" s="48"/>
      <c r="L526" s="48"/>
      <c r="M526" s="48"/>
      <c r="N526" s="48"/>
      <c r="O526" s="48"/>
      <c r="P526" s="48"/>
      <c r="Q526" s="48"/>
      <c r="R526" s="47"/>
      <c r="S526" s="26">
        <f t="shared" si="15"/>
        <v>0</v>
      </c>
      <c r="T526" s="26">
        <f>COUNTIF($V$4:V526,V526)</f>
        <v>515</v>
      </c>
      <c r="U526" s="26" t="str">
        <f>IF(T526=1,COUNTIF($T$4:T526,1),"")</f>
        <v/>
      </c>
      <c r="V526" s="27" t="str">
        <f>'施設状況(要更新)'!$E526&amp;'施設状況(要更新)'!$C526</f>
        <v/>
      </c>
      <c r="W526" s="27">
        <f>'施設状況(要更新)'!$F526</f>
        <v>0</v>
      </c>
      <c r="X526" s="28"/>
      <c r="Y526" s="27"/>
    </row>
    <row r="527" spans="1:25" s="10" customFormat="1" ht="11.25">
      <c r="A527" s="46"/>
      <c r="B527" s="51"/>
      <c r="C527" s="47"/>
      <c r="D527" s="47"/>
      <c r="E527" s="47"/>
      <c r="F527" s="48"/>
      <c r="G527" s="48"/>
      <c r="H527" s="48"/>
      <c r="I527" s="48"/>
      <c r="J527" s="48"/>
      <c r="K527" s="48"/>
      <c r="L527" s="48"/>
      <c r="M527" s="48"/>
      <c r="N527" s="48"/>
      <c r="O527" s="48"/>
      <c r="P527" s="48"/>
      <c r="Q527" s="48"/>
      <c r="R527" s="47"/>
      <c r="S527" s="26">
        <f t="shared" si="15"/>
        <v>0</v>
      </c>
      <c r="T527" s="26">
        <f>COUNTIF($V$4:V527,V527)</f>
        <v>516</v>
      </c>
      <c r="U527" s="26" t="str">
        <f>IF(T527=1,COUNTIF($T$4:T527,1),"")</f>
        <v/>
      </c>
      <c r="V527" s="27" t="str">
        <f>'施設状況(要更新)'!$E527&amp;'施設状況(要更新)'!$C527</f>
        <v/>
      </c>
      <c r="W527" s="27">
        <f>'施設状況(要更新)'!$F527</f>
        <v>0</v>
      </c>
      <c r="X527" s="28"/>
      <c r="Y527" s="27"/>
    </row>
    <row r="528" spans="1:25" s="10" customFormat="1" ht="11.25">
      <c r="A528" s="46"/>
      <c r="B528" s="51"/>
      <c r="C528" s="47"/>
      <c r="D528" s="47"/>
      <c r="E528" s="47"/>
      <c r="F528" s="48"/>
      <c r="G528" s="48"/>
      <c r="H528" s="48"/>
      <c r="I528" s="48"/>
      <c r="J528" s="48"/>
      <c r="K528" s="48"/>
      <c r="L528" s="48"/>
      <c r="M528" s="48"/>
      <c r="N528" s="48"/>
      <c r="O528" s="48"/>
      <c r="P528" s="48"/>
      <c r="Q528" s="48"/>
      <c r="R528" s="47"/>
      <c r="S528" s="26">
        <f t="shared" si="15"/>
        <v>0</v>
      </c>
      <c r="T528" s="26">
        <f>COUNTIF($V$4:V528,V528)</f>
        <v>517</v>
      </c>
      <c r="U528" s="26" t="str">
        <f>IF(T528=1,COUNTIF($T$4:T528,1),"")</f>
        <v/>
      </c>
      <c r="V528" s="27" t="str">
        <f>'施設状況(要更新)'!$E528&amp;'施設状況(要更新)'!$C528</f>
        <v/>
      </c>
      <c r="W528" s="27">
        <f>'施設状況(要更新)'!$F528</f>
        <v>0</v>
      </c>
      <c r="X528" s="28"/>
      <c r="Y528" s="27"/>
    </row>
    <row r="529" spans="1:25" s="10" customFormat="1" ht="11.25">
      <c r="A529" s="46"/>
      <c r="B529" s="51"/>
      <c r="C529" s="47"/>
      <c r="D529" s="47"/>
      <c r="E529" s="47"/>
      <c r="F529" s="48"/>
      <c r="G529" s="48"/>
      <c r="H529" s="48"/>
      <c r="I529" s="48"/>
      <c r="J529" s="48"/>
      <c r="K529" s="48"/>
      <c r="L529" s="48"/>
      <c r="M529" s="48"/>
      <c r="N529" s="48"/>
      <c r="O529" s="48"/>
      <c r="P529" s="48"/>
      <c r="Q529" s="48"/>
      <c r="R529" s="47"/>
      <c r="S529" s="26">
        <f t="shared" si="15"/>
        <v>0</v>
      </c>
      <c r="T529" s="26">
        <f>COUNTIF($V$4:V529,V529)</f>
        <v>518</v>
      </c>
      <c r="U529" s="26" t="str">
        <f>IF(T529=1,COUNTIF($T$4:T529,1),"")</f>
        <v/>
      </c>
      <c r="V529" s="27" t="str">
        <f>'施設状況(要更新)'!$E529&amp;'施設状況(要更新)'!$C529</f>
        <v/>
      </c>
      <c r="W529" s="27">
        <f>'施設状況(要更新)'!$F529</f>
        <v>0</v>
      </c>
      <c r="X529" s="28"/>
      <c r="Y529" s="27"/>
    </row>
    <row r="530" spans="1:25" s="10" customFormat="1" ht="11.25">
      <c r="A530" s="46"/>
      <c r="B530" s="51"/>
      <c r="C530" s="47"/>
      <c r="D530" s="47"/>
      <c r="E530" s="47"/>
      <c r="F530" s="48"/>
      <c r="G530" s="48"/>
      <c r="H530" s="48"/>
      <c r="I530" s="48"/>
      <c r="J530" s="48"/>
      <c r="K530" s="48"/>
      <c r="L530" s="48"/>
      <c r="M530" s="48"/>
      <c r="N530" s="48"/>
      <c r="O530" s="48"/>
      <c r="P530" s="48"/>
      <c r="Q530" s="48"/>
      <c r="R530" s="47"/>
      <c r="S530" s="26">
        <f t="shared" si="15"/>
        <v>0</v>
      </c>
      <c r="T530" s="26">
        <f>COUNTIF($V$4:V530,V530)</f>
        <v>519</v>
      </c>
      <c r="U530" s="26" t="str">
        <f>IF(T530=1,COUNTIF($T$4:T530,1),"")</f>
        <v/>
      </c>
      <c r="V530" s="27" t="str">
        <f>'施設状況(要更新)'!$E530&amp;'施設状況(要更新)'!$C530</f>
        <v/>
      </c>
      <c r="W530" s="27">
        <f>'施設状況(要更新)'!$F530</f>
        <v>0</v>
      </c>
      <c r="X530" s="28"/>
      <c r="Y530" s="27"/>
    </row>
    <row r="531" spans="1:25" s="10" customFormat="1" ht="11.25">
      <c r="A531" s="46"/>
      <c r="B531" s="51"/>
      <c r="C531" s="47"/>
      <c r="D531" s="47"/>
      <c r="E531" s="47"/>
      <c r="F531" s="48"/>
      <c r="G531" s="48"/>
      <c r="H531" s="48"/>
      <c r="I531" s="48"/>
      <c r="J531" s="48"/>
      <c r="K531" s="48"/>
      <c r="L531" s="48"/>
      <c r="M531" s="48"/>
      <c r="N531" s="48"/>
      <c r="O531" s="48"/>
      <c r="P531" s="48"/>
      <c r="Q531" s="48"/>
      <c r="R531" s="47"/>
      <c r="S531" s="26">
        <f t="shared" si="15"/>
        <v>0</v>
      </c>
      <c r="T531" s="26">
        <f>COUNTIF($V$4:V531,V531)</f>
        <v>520</v>
      </c>
      <c r="U531" s="26" t="str">
        <f>IF(T531=1,COUNTIF($T$4:T531,1),"")</f>
        <v/>
      </c>
      <c r="V531" s="27" t="str">
        <f>'施設状況(要更新)'!$E531&amp;'施設状況(要更新)'!$C531</f>
        <v/>
      </c>
      <c r="W531" s="27">
        <f>'施設状況(要更新)'!$F531</f>
        <v>0</v>
      </c>
      <c r="X531" s="28"/>
      <c r="Y531" s="27"/>
    </row>
    <row r="532" spans="1:25" s="10" customFormat="1" ht="11.25">
      <c r="A532" s="46"/>
      <c r="B532" s="51"/>
      <c r="C532" s="47"/>
      <c r="D532" s="47"/>
      <c r="E532" s="47"/>
      <c r="F532" s="48"/>
      <c r="G532" s="48"/>
      <c r="H532" s="48"/>
      <c r="I532" s="48"/>
      <c r="J532" s="48"/>
      <c r="K532" s="48"/>
      <c r="L532" s="48"/>
      <c r="M532" s="48"/>
      <c r="N532" s="48"/>
      <c r="O532" s="48"/>
      <c r="P532" s="48"/>
      <c r="Q532" s="48"/>
      <c r="R532" s="47"/>
      <c r="S532" s="26">
        <f t="shared" si="15"/>
        <v>0</v>
      </c>
      <c r="T532" s="26">
        <f>COUNTIF($V$4:V532,V532)</f>
        <v>521</v>
      </c>
      <c r="U532" s="26" t="str">
        <f>IF(T532=1,COUNTIF($T$4:T532,1),"")</f>
        <v/>
      </c>
      <c r="V532" s="27" t="str">
        <f>'施設状況(要更新)'!$E532&amp;'施設状況(要更新)'!$C532</f>
        <v/>
      </c>
      <c r="W532" s="27">
        <f>'施設状況(要更新)'!$F532</f>
        <v>0</v>
      </c>
      <c r="X532" s="28"/>
      <c r="Y532" s="27"/>
    </row>
    <row r="533" spans="1:25" s="10" customFormat="1" ht="11.25">
      <c r="A533" s="46"/>
      <c r="B533" s="51"/>
      <c r="C533" s="47"/>
      <c r="D533" s="47"/>
      <c r="E533" s="47"/>
      <c r="F533" s="48"/>
      <c r="G533" s="48"/>
      <c r="H533" s="48"/>
      <c r="I533" s="48"/>
      <c r="J533" s="48"/>
      <c r="K533" s="48"/>
      <c r="L533" s="48"/>
      <c r="M533" s="48"/>
      <c r="N533" s="48"/>
      <c r="O533" s="48"/>
      <c r="P533" s="48"/>
      <c r="Q533" s="48"/>
      <c r="R533" s="47"/>
      <c r="S533" s="26">
        <f t="shared" si="15"/>
        <v>0</v>
      </c>
      <c r="T533" s="26">
        <f>COUNTIF($V$4:V533,V533)</f>
        <v>522</v>
      </c>
      <c r="U533" s="26" t="str">
        <f>IF(T533=1,COUNTIF($T$4:T533,1),"")</f>
        <v/>
      </c>
      <c r="V533" s="27" t="str">
        <f>'施設状況(要更新)'!$E533&amp;'施設状況(要更新)'!$C533</f>
        <v/>
      </c>
      <c r="W533" s="27">
        <f>'施設状況(要更新)'!$F533</f>
        <v>0</v>
      </c>
      <c r="X533" s="28"/>
      <c r="Y533" s="27"/>
    </row>
    <row r="534" spans="1:25" s="10" customFormat="1" ht="11.25">
      <c r="A534" s="46"/>
      <c r="B534" s="51"/>
      <c r="C534" s="47"/>
      <c r="D534" s="47"/>
      <c r="E534" s="47"/>
      <c r="F534" s="48"/>
      <c r="G534" s="48"/>
      <c r="H534" s="48"/>
      <c r="I534" s="48"/>
      <c r="J534" s="48"/>
      <c r="K534" s="48"/>
      <c r="L534" s="48"/>
      <c r="M534" s="48"/>
      <c r="N534" s="48"/>
      <c r="O534" s="48"/>
      <c r="P534" s="48"/>
      <c r="Q534" s="48"/>
      <c r="R534" s="47"/>
      <c r="S534" s="26">
        <f t="shared" si="15"/>
        <v>0</v>
      </c>
      <c r="T534" s="26">
        <f>COUNTIF($V$4:V534,V534)</f>
        <v>523</v>
      </c>
      <c r="U534" s="26" t="str">
        <f>IF(T534=1,COUNTIF($T$4:T534,1),"")</f>
        <v/>
      </c>
      <c r="V534" s="27" t="str">
        <f>'施設状況(要更新)'!$E534&amp;'施設状況(要更新)'!$C534</f>
        <v/>
      </c>
      <c r="W534" s="27">
        <f>'施設状況(要更新)'!$F534</f>
        <v>0</v>
      </c>
      <c r="X534" s="28"/>
      <c r="Y534" s="27"/>
    </row>
    <row r="535" spans="1:25" s="10" customFormat="1" ht="11.25">
      <c r="A535" s="46"/>
      <c r="B535" s="51"/>
      <c r="C535" s="47"/>
      <c r="D535" s="47"/>
      <c r="E535" s="47"/>
      <c r="F535" s="48"/>
      <c r="G535" s="48"/>
      <c r="H535" s="48"/>
      <c r="I535" s="48"/>
      <c r="J535" s="48"/>
      <c r="K535" s="48"/>
      <c r="L535" s="48"/>
      <c r="M535" s="48"/>
      <c r="N535" s="48"/>
      <c r="O535" s="48"/>
      <c r="P535" s="48"/>
      <c r="Q535" s="48"/>
      <c r="R535" s="47"/>
      <c r="S535" s="26">
        <f t="shared" si="15"/>
        <v>0</v>
      </c>
      <c r="T535" s="26">
        <f>COUNTIF($V$4:V535,V535)</f>
        <v>524</v>
      </c>
      <c r="U535" s="26" t="str">
        <f>IF(T535=1,COUNTIF($T$4:T535,1),"")</f>
        <v/>
      </c>
      <c r="V535" s="27" t="str">
        <f>'施設状況(要更新)'!$E535&amp;'施設状況(要更新)'!$C535</f>
        <v/>
      </c>
      <c r="W535" s="27">
        <f>'施設状況(要更新)'!$F535</f>
        <v>0</v>
      </c>
      <c r="X535" s="28"/>
      <c r="Y535" s="27"/>
    </row>
    <row r="536" spans="1:25" s="10" customFormat="1" ht="11.25">
      <c r="A536" s="46"/>
      <c r="B536" s="51"/>
      <c r="C536" s="47"/>
      <c r="D536" s="47"/>
      <c r="E536" s="47"/>
      <c r="F536" s="48"/>
      <c r="G536" s="48"/>
      <c r="H536" s="48"/>
      <c r="I536" s="48"/>
      <c r="J536" s="48"/>
      <c r="K536" s="48"/>
      <c r="L536" s="48"/>
      <c r="M536" s="48"/>
      <c r="N536" s="48"/>
      <c r="O536" s="48"/>
      <c r="P536" s="48"/>
      <c r="Q536" s="48"/>
      <c r="R536" s="47"/>
      <c r="S536" s="26">
        <f t="shared" si="15"/>
        <v>0</v>
      </c>
      <c r="T536" s="26">
        <f>COUNTIF($V$4:V536,V536)</f>
        <v>525</v>
      </c>
      <c r="U536" s="26" t="str">
        <f>IF(T536=1,COUNTIF($T$4:T536,1),"")</f>
        <v/>
      </c>
      <c r="V536" s="27" t="str">
        <f>'施設状況(要更新)'!$E536&amp;'施設状況(要更新)'!$C536</f>
        <v/>
      </c>
      <c r="W536" s="27">
        <f>'施設状況(要更新)'!$F536</f>
        <v>0</v>
      </c>
      <c r="X536" s="28"/>
      <c r="Y536" s="27"/>
    </row>
    <row r="537" spans="1:25" s="10" customFormat="1" ht="11.25">
      <c r="A537" s="46"/>
      <c r="B537" s="51"/>
      <c r="C537" s="47"/>
      <c r="D537" s="47"/>
      <c r="E537" s="47"/>
      <c r="F537" s="48"/>
      <c r="G537" s="48"/>
      <c r="H537" s="48"/>
      <c r="I537" s="48"/>
      <c r="J537" s="48"/>
      <c r="K537" s="48"/>
      <c r="L537" s="48"/>
      <c r="M537" s="48"/>
      <c r="N537" s="48"/>
      <c r="O537" s="48"/>
      <c r="P537" s="48"/>
      <c r="Q537" s="48"/>
      <c r="R537" s="47"/>
      <c r="S537" s="26">
        <f t="shared" si="15"/>
        <v>0</v>
      </c>
      <c r="T537" s="26">
        <f>COUNTIF($V$4:V537,V537)</f>
        <v>526</v>
      </c>
      <c r="U537" s="26" t="str">
        <f>IF(T537=1,COUNTIF($T$4:T537,1),"")</f>
        <v/>
      </c>
      <c r="V537" s="27" t="str">
        <f>'施設状況(要更新)'!$E537&amp;'施設状況(要更新)'!$C537</f>
        <v/>
      </c>
      <c r="W537" s="27">
        <f>'施設状況(要更新)'!$F537</f>
        <v>0</v>
      </c>
      <c r="X537" s="28"/>
      <c r="Y537" s="27"/>
    </row>
    <row r="538" spans="1:25" s="10" customFormat="1" ht="11.25">
      <c r="A538" s="46"/>
      <c r="B538" s="51"/>
      <c r="C538" s="47"/>
      <c r="D538" s="47"/>
      <c r="E538" s="47"/>
      <c r="F538" s="48"/>
      <c r="G538" s="48"/>
      <c r="H538" s="48"/>
      <c r="I538" s="48"/>
      <c r="J538" s="48"/>
      <c r="K538" s="48"/>
      <c r="L538" s="48"/>
      <c r="M538" s="48"/>
      <c r="N538" s="48"/>
      <c r="O538" s="48"/>
      <c r="P538" s="48"/>
      <c r="Q538" s="48"/>
      <c r="R538" s="47"/>
      <c r="S538" s="26">
        <f t="shared" si="15"/>
        <v>0</v>
      </c>
      <c r="T538" s="26">
        <f>COUNTIF($V$4:V538,V538)</f>
        <v>527</v>
      </c>
      <c r="U538" s="26" t="str">
        <f>IF(T538=1,COUNTIF($T$4:T538,1),"")</f>
        <v/>
      </c>
      <c r="V538" s="27" t="str">
        <f>'施設状況(要更新)'!$E538&amp;'施設状況(要更新)'!$C538</f>
        <v/>
      </c>
      <c r="W538" s="27">
        <f>'施設状況(要更新)'!$F538</f>
        <v>0</v>
      </c>
      <c r="X538" s="28"/>
      <c r="Y538" s="27"/>
    </row>
    <row r="539" spans="1:25" s="10" customFormat="1" ht="11.25">
      <c r="A539" s="46"/>
      <c r="B539" s="51"/>
      <c r="C539" s="47"/>
      <c r="D539" s="47"/>
      <c r="E539" s="47"/>
      <c r="F539" s="48"/>
      <c r="G539" s="48"/>
      <c r="H539" s="48"/>
      <c r="I539" s="48"/>
      <c r="J539" s="48"/>
      <c r="K539" s="48"/>
      <c r="L539" s="48"/>
      <c r="M539" s="48"/>
      <c r="N539" s="48"/>
      <c r="O539" s="48"/>
      <c r="P539" s="48"/>
      <c r="Q539" s="48"/>
      <c r="R539" s="47"/>
      <c r="S539" s="26">
        <f t="shared" si="15"/>
        <v>0</v>
      </c>
      <c r="T539" s="26">
        <f>COUNTIF($V$4:V539,V539)</f>
        <v>528</v>
      </c>
      <c r="U539" s="26" t="str">
        <f>IF(T539=1,COUNTIF($T$4:T539,1),"")</f>
        <v/>
      </c>
      <c r="V539" s="27" t="str">
        <f>'施設状況(要更新)'!$E539&amp;'施設状況(要更新)'!$C539</f>
        <v/>
      </c>
      <c r="W539" s="27">
        <f>'施設状況(要更新)'!$F539</f>
        <v>0</v>
      </c>
      <c r="X539" s="28"/>
      <c r="Y539" s="27"/>
    </row>
    <row r="540" spans="1:25" s="10" customFormat="1" ht="11.25">
      <c r="A540" s="46"/>
      <c r="B540" s="51"/>
      <c r="C540" s="47"/>
      <c r="D540" s="47"/>
      <c r="E540" s="47"/>
      <c r="F540" s="48"/>
      <c r="G540" s="48"/>
      <c r="H540" s="48"/>
      <c r="I540" s="48"/>
      <c r="J540" s="48"/>
      <c r="K540" s="48"/>
      <c r="L540" s="48"/>
      <c r="M540" s="48"/>
      <c r="N540" s="48"/>
      <c r="O540" s="48"/>
      <c r="P540" s="48"/>
      <c r="Q540" s="48"/>
      <c r="R540" s="47"/>
      <c r="S540" s="26">
        <f t="shared" si="15"/>
        <v>0</v>
      </c>
      <c r="T540" s="26">
        <f>COUNTIF($V$4:V540,V540)</f>
        <v>529</v>
      </c>
      <c r="U540" s="26" t="str">
        <f>IF(T540=1,COUNTIF($T$4:T540,1),"")</f>
        <v/>
      </c>
      <c r="V540" s="27" t="str">
        <f>'施設状況(要更新)'!$E540&amp;'施設状況(要更新)'!$C540</f>
        <v/>
      </c>
      <c r="W540" s="27">
        <f>'施設状況(要更新)'!$F540</f>
        <v>0</v>
      </c>
      <c r="X540" s="28"/>
      <c r="Y540" s="27"/>
    </row>
    <row r="541" spans="1:25" s="10" customFormat="1" ht="11.25">
      <c r="A541" s="46"/>
      <c r="B541" s="51"/>
      <c r="C541" s="47"/>
      <c r="D541" s="47"/>
      <c r="E541" s="47"/>
      <c r="F541" s="48"/>
      <c r="G541" s="48"/>
      <c r="H541" s="48"/>
      <c r="I541" s="48"/>
      <c r="J541" s="48"/>
      <c r="K541" s="48"/>
      <c r="L541" s="48"/>
      <c r="M541" s="48"/>
      <c r="N541" s="48"/>
      <c r="O541" s="48"/>
      <c r="P541" s="48"/>
      <c r="Q541" s="48"/>
      <c r="R541" s="47"/>
      <c r="S541" s="26">
        <f t="shared" si="15"/>
        <v>0</v>
      </c>
      <c r="T541" s="26">
        <f>COUNTIF($V$4:V541,V541)</f>
        <v>530</v>
      </c>
      <c r="U541" s="26" t="str">
        <f>IF(T541=1,COUNTIF($T$4:T541,1),"")</f>
        <v/>
      </c>
      <c r="V541" s="27" t="str">
        <f>'施設状況(要更新)'!$E541&amp;'施設状況(要更新)'!$C541</f>
        <v/>
      </c>
      <c r="W541" s="27">
        <f>'施設状況(要更新)'!$F541</f>
        <v>0</v>
      </c>
      <c r="X541" s="28"/>
      <c r="Y541" s="27"/>
    </row>
    <row r="542" spans="1:25" s="10" customFormat="1" ht="11.25">
      <c r="A542" s="46"/>
      <c r="B542" s="51"/>
      <c r="C542" s="47"/>
      <c r="D542" s="47"/>
      <c r="E542" s="47"/>
      <c r="F542" s="48"/>
      <c r="G542" s="48"/>
      <c r="H542" s="48"/>
      <c r="I542" s="48"/>
      <c r="J542" s="48"/>
      <c r="K542" s="48"/>
      <c r="L542" s="48"/>
      <c r="M542" s="48"/>
      <c r="N542" s="48"/>
      <c r="O542" s="48"/>
      <c r="P542" s="48"/>
      <c r="Q542" s="48"/>
      <c r="R542" s="47"/>
      <c r="S542" s="26">
        <f t="shared" si="15"/>
        <v>0</v>
      </c>
      <c r="T542" s="26">
        <f>COUNTIF($V$4:V542,V542)</f>
        <v>531</v>
      </c>
      <c r="U542" s="26" t="str">
        <f>IF(T542=1,COUNTIF($T$4:T542,1),"")</f>
        <v/>
      </c>
      <c r="V542" s="27" t="str">
        <f>'施設状況(要更新)'!$E542&amp;'施設状況(要更新)'!$C542</f>
        <v/>
      </c>
      <c r="W542" s="27">
        <f>'施設状況(要更新)'!$F542</f>
        <v>0</v>
      </c>
      <c r="X542" s="28"/>
      <c r="Y542" s="27"/>
    </row>
    <row r="543" spans="1:25" s="10" customFormat="1" ht="11.25">
      <c r="A543" s="46"/>
      <c r="B543" s="51"/>
      <c r="C543" s="47"/>
      <c r="D543" s="47"/>
      <c r="E543" s="47"/>
      <c r="F543" s="48"/>
      <c r="G543" s="48"/>
      <c r="H543" s="48"/>
      <c r="I543" s="48"/>
      <c r="J543" s="48"/>
      <c r="K543" s="48"/>
      <c r="L543" s="48"/>
      <c r="M543" s="48"/>
      <c r="N543" s="48"/>
      <c r="O543" s="48"/>
      <c r="P543" s="48"/>
      <c r="Q543" s="48"/>
      <c r="R543" s="47"/>
      <c r="S543" s="26">
        <f t="shared" si="15"/>
        <v>0</v>
      </c>
      <c r="T543" s="26">
        <f>COUNTIF($V$4:V543,V543)</f>
        <v>532</v>
      </c>
      <c r="U543" s="26" t="str">
        <f>IF(T543=1,COUNTIF($T$4:T543,1),"")</f>
        <v/>
      </c>
      <c r="V543" s="27" t="str">
        <f>'施設状況(要更新)'!$E543&amp;'施設状況(要更新)'!$C543</f>
        <v/>
      </c>
      <c r="W543" s="27">
        <f>'施設状況(要更新)'!$F543</f>
        <v>0</v>
      </c>
      <c r="X543" s="28"/>
      <c r="Y543" s="27"/>
    </row>
    <row r="544" spans="1:25" s="10" customFormat="1" ht="11.25">
      <c r="A544" s="46"/>
      <c r="B544" s="51"/>
      <c r="C544" s="47"/>
      <c r="D544" s="47"/>
      <c r="E544" s="47"/>
      <c r="F544" s="48"/>
      <c r="G544" s="48"/>
      <c r="H544" s="48"/>
      <c r="I544" s="48"/>
      <c r="J544" s="48"/>
      <c r="K544" s="48"/>
      <c r="L544" s="48"/>
      <c r="M544" s="48"/>
      <c r="N544" s="48"/>
      <c r="O544" s="48"/>
      <c r="P544" s="48"/>
      <c r="Q544" s="48"/>
      <c r="R544" s="47"/>
      <c r="S544" s="26">
        <f t="shared" si="15"/>
        <v>0</v>
      </c>
      <c r="T544" s="26">
        <f>COUNTIF($V$4:V544,V544)</f>
        <v>533</v>
      </c>
      <c r="U544" s="26" t="str">
        <f>IF(T544=1,COUNTIF($T$4:T544,1),"")</f>
        <v/>
      </c>
      <c r="V544" s="27" t="str">
        <f>'施設状況(要更新)'!$E544&amp;'施設状況(要更新)'!$C544</f>
        <v/>
      </c>
      <c r="W544" s="27">
        <f>'施設状況(要更新)'!$F544</f>
        <v>0</v>
      </c>
      <c r="X544" s="28"/>
      <c r="Y544" s="27"/>
    </row>
    <row r="545" spans="1:25" s="10" customFormat="1" ht="11.25">
      <c r="A545" s="46"/>
      <c r="B545" s="51"/>
      <c r="C545" s="47"/>
      <c r="D545" s="47"/>
      <c r="E545" s="47"/>
      <c r="F545" s="48"/>
      <c r="G545" s="48"/>
      <c r="H545" s="48"/>
      <c r="I545" s="48"/>
      <c r="J545" s="48"/>
      <c r="K545" s="48"/>
      <c r="L545" s="48"/>
      <c r="M545" s="48"/>
      <c r="N545" s="48"/>
      <c r="O545" s="48"/>
      <c r="P545" s="48"/>
      <c r="Q545" s="48"/>
      <c r="R545" s="47"/>
      <c r="S545" s="26">
        <f t="shared" si="15"/>
        <v>0</v>
      </c>
      <c r="T545" s="26">
        <f>COUNTIF($V$4:V545,V545)</f>
        <v>534</v>
      </c>
      <c r="U545" s="26" t="str">
        <f>IF(T545=1,COUNTIF($T$4:T545,1),"")</f>
        <v/>
      </c>
      <c r="V545" s="27" t="str">
        <f>'施設状況(要更新)'!$E545&amp;'施設状況(要更新)'!$C545</f>
        <v/>
      </c>
      <c r="W545" s="27">
        <f>'施設状況(要更新)'!$F545</f>
        <v>0</v>
      </c>
      <c r="X545" s="28"/>
      <c r="Y545" s="27"/>
    </row>
    <row r="546" spans="1:25" s="10" customFormat="1" ht="11.25">
      <c r="A546" s="46"/>
      <c r="B546" s="51"/>
      <c r="C546" s="47"/>
      <c r="D546" s="47"/>
      <c r="E546" s="47"/>
      <c r="F546" s="48"/>
      <c r="G546" s="48"/>
      <c r="H546" s="48"/>
      <c r="I546" s="48"/>
      <c r="J546" s="50"/>
      <c r="K546" s="50"/>
      <c r="L546" s="50"/>
      <c r="M546" s="50"/>
      <c r="N546" s="50"/>
      <c r="O546" s="50"/>
      <c r="P546" s="50"/>
      <c r="Q546" s="50"/>
      <c r="R546" s="38"/>
      <c r="S546" s="26">
        <f t="shared" si="15"/>
        <v>0</v>
      </c>
      <c r="T546" s="26">
        <f>COUNTIF($V$4:V546,V546)</f>
        <v>535</v>
      </c>
      <c r="U546" s="26" t="str">
        <f>IF(T546=1,COUNTIF($T$4:T546,1),"")</f>
        <v/>
      </c>
      <c r="V546" s="27" t="str">
        <f>'施設状況(要更新)'!$E546&amp;'施設状況(要更新)'!$C546</f>
        <v/>
      </c>
      <c r="W546" s="27">
        <f>'施設状況(要更新)'!$F546</f>
        <v>0</v>
      </c>
      <c r="X546" s="28"/>
      <c r="Y546" s="27"/>
    </row>
    <row r="547" spans="1:25" s="10" customFormat="1" ht="11.25">
      <c r="A547" s="46"/>
      <c r="B547" s="51"/>
      <c r="C547" s="47"/>
      <c r="D547" s="47"/>
      <c r="E547" s="47"/>
      <c r="F547" s="48"/>
      <c r="G547" s="48"/>
      <c r="H547" s="48"/>
      <c r="I547" s="48"/>
      <c r="J547" s="48"/>
      <c r="K547" s="48"/>
      <c r="L547" s="48"/>
      <c r="M547" s="48"/>
      <c r="N547" s="48"/>
      <c r="O547" s="48"/>
      <c r="P547" s="48"/>
      <c r="Q547" s="48"/>
      <c r="R547" s="47"/>
      <c r="S547" s="26">
        <f t="shared" si="15"/>
        <v>0</v>
      </c>
      <c r="T547" s="26">
        <f>COUNTIF($V$4:V547,V547)</f>
        <v>536</v>
      </c>
      <c r="U547" s="26" t="str">
        <f>IF(T547=1,COUNTIF($T$4:T547,1),"")</f>
        <v/>
      </c>
      <c r="V547" s="27" t="str">
        <f>'施設状況(要更新)'!$E547&amp;'施設状況(要更新)'!$C547</f>
        <v/>
      </c>
      <c r="W547" s="27">
        <f>'施設状況(要更新)'!$F547</f>
        <v>0</v>
      </c>
      <c r="X547" s="28"/>
      <c r="Y547" s="27"/>
    </row>
    <row r="548" spans="1:25" s="10" customFormat="1" ht="11.25">
      <c r="A548" s="46"/>
      <c r="B548" s="51"/>
      <c r="C548" s="47"/>
      <c r="D548" s="47"/>
      <c r="E548" s="47"/>
      <c r="F548" s="48"/>
      <c r="G548" s="48"/>
      <c r="H548" s="48"/>
      <c r="I548" s="48"/>
      <c r="J548" s="48"/>
      <c r="K548" s="48"/>
      <c r="L548" s="48"/>
      <c r="M548" s="48"/>
      <c r="N548" s="48"/>
      <c r="O548" s="48"/>
      <c r="P548" s="48"/>
      <c r="Q548" s="48"/>
      <c r="R548" s="47"/>
      <c r="S548" s="26">
        <f t="shared" si="15"/>
        <v>0</v>
      </c>
      <c r="T548" s="26">
        <f>COUNTIF($V$4:V548,V548)</f>
        <v>537</v>
      </c>
      <c r="U548" s="26" t="str">
        <f>IF(T548=1,COUNTIF($T$4:T548,1),"")</f>
        <v/>
      </c>
      <c r="V548" s="27" t="str">
        <f>'施設状況(要更新)'!$E548&amp;'施設状況(要更新)'!$C548</f>
        <v/>
      </c>
      <c r="W548" s="27">
        <f>'施設状況(要更新)'!$F548</f>
        <v>0</v>
      </c>
      <c r="X548" s="28"/>
      <c r="Y548" s="27"/>
    </row>
    <row r="549" spans="1:25" s="10" customFormat="1" ht="11.25">
      <c r="A549" s="46"/>
      <c r="B549" s="51"/>
      <c r="C549" s="47"/>
      <c r="D549" s="47"/>
      <c r="E549" s="47"/>
      <c r="F549" s="48"/>
      <c r="G549" s="48"/>
      <c r="H549" s="48"/>
      <c r="I549" s="48"/>
      <c r="J549" s="48"/>
      <c r="K549" s="48"/>
      <c r="L549" s="48"/>
      <c r="M549" s="48"/>
      <c r="N549" s="48"/>
      <c r="O549" s="48"/>
      <c r="P549" s="48"/>
      <c r="Q549" s="48"/>
      <c r="R549" s="47"/>
      <c r="S549" s="26">
        <f t="shared" si="15"/>
        <v>0</v>
      </c>
      <c r="T549" s="26">
        <f>COUNTIF($V$4:V549,V549)</f>
        <v>538</v>
      </c>
      <c r="U549" s="26" t="str">
        <f>IF(T549=1,COUNTIF($T$4:T549,1),"")</f>
        <v/>
      </c>
      <c r="V549" s="27" t="str">
        <f>'施設状況(要更新)'!$E549&amp;'施設状況(要更新)'!$C549</f>
        <v/>
      </c>
      <c r="W549" s="27">
        <f>'施設状況(要更新)'!$F549</f>
        <v>0</v>
      </c>
      <c r="X549" s="28"/>
      <c r="Y549" s="27"/>
    </row>
    <row r="550" spans="1:25" s="10" customFormat="1" ht="11.25">
      <c r="A550" s="46"/>
      <c r="B550" s="51"/>
      <c r="C550" s="47"/>
      <c r="D550" s="47"/>
      <c r="E550" s="47"/>
      <c r="F550" s="48"/>
      <c r="G550" s="48"/>
      <c r="H550" s="48"/>
      <c r="I550" s="48"/>
      <c r="J550" s="48"/>
      <c r="K550" s="48"/>
      <c r="L550" s="48"/>
      <c r="M550" s="48"/>
      <c r="N550" s="48"/>
      <c r="O550" s="48"/>
      <c r="P550" s="48"/>
      <c r="Q550" s="48"/>
      <c r="R550" s="47"/>
      <c r="S550" s="26">
        <f t="shared" si="15"/>
        <v>0</v>
      </c>
      <c r="T550" s="26">
        <f>COUNTIF($V$4:V550,V550)</f>
        <v>539</v>
      </c>
      <c r="U550" s="26" t="str">
        <f>IF(T550=1,COUNTIF($T$4:T550,1),"")</f>
        <v/>
      </c>
      <c r="V550" s="27" t="str">
        <f>'施設状況(要更新)'!$E550&amp;'施設状況(要更新)'!$C550</f>
        <v/>
      </c>
      <c r="W550" s="27">
        <f>'施設状況(要更新)'!$F550</f>
        <v>0</v>
      </c>
      <c r="X550" s="28"/>
      <c r="Y550" s="27"/>
    </row>
    <row r="551" spans="1:25" s="10" customFormat="1" ht="11.25">
      <c r="A551" s="46"/>
      <c r="B551" s="51"/>
      <c r="C551" s="47"/>
      <c r="D551" s="47"/>
      <c r="E551" s="47"/>
      <c r="F551" s="48"/>
      <c r="G551" s="48"/>
      <c r="H551" s="48"/>
      <c r="I551" s="48"/>
      <c r="J551" s="48"/>
      <c r="K551" s="48"/>
      <c r="L551" s="48"/>
      <c r="M551" s="48"/>
      <c r="N551" s="48"/>
      <c r="O551" s="48"/>
      <c r="P551" s="48"/>
      <c r="Q551" s="48"/>
      <c r="R551" s="47"/>
      <c r="S551" s="26">
        <f t="shared" si="15"/>
        <v>0</v>
      </c>
      <c r="T551" s="26">
        <f>COUNTIF($V$4:V551,V551)</f>
        <v>540</v>
      </c>
      <c r="U551" s="26" t="str">
        <f>IF(T551=1,COUNTIF($T$4:T551,1),"")</f>
        <v/>
      </c>
      <c r="V551" s="27" t="str">
        <f>'施設状況(要更新)'!$E551&amp;'施設状況(要更新)'!$C551</f>
        <v/>
      </c>
      <c r="W551" s="27">
        <f>'施設状況(要更新)'!$F551</f>
        <v>0</v>
      </c>
      <c r="X551" s="28"/>
      <c r="Y551" s="27"/>
    </row>
    <row r="552" spans="1:25" s="10" customFormat="1" ht="11.25">
      <c r="A552" s="46"/>
      <c r="B552" s="51"/>
      <c r="C552" s="47"/>
      <c r="D552" s="47"/>
      <c r="E552" s="47"/>
      <c r="F552" s="48"/>
      <c r="G552" s="48"/>
      <c r="H552" s="48"/>
      <c r="I552" s="48"/>
      <c r="J552" s="48"/>
      <c r="K552" s="48"/>
      <c r="L552" s="48"/>
      <c r="M552" s="48"/>
      <c r="N552" s="48"/>
      <c r="O552" s="48"/>
      <c r="P552" s="48"/>
      <c r="Q552" s="48"/>
      <c r="R552" s="47"/>
      <c r="S552" s="26">
        <f t="shared" si="15"/>
        <v>0</v>
      </c>
      <c r="T552" s="26">
        <f>COUNTIF($V$4:V552,V552)</f>
        <v>541</v>
      </c>
      <c r="U552" s="26" t="str">
        <f>IF(T552=1,COUNTIF($T$4:T552,1),"")</f>
        <v/>
      </c>
      <c r="V552" s="27" t="str">
        <f>'施設状況(要更新)'!$E552&amp;'施設状況(要更新)'!$C552</f>
        <v/>
      </c>
      <c r="W552" s="27">
        <f>'施設状況(要更新)'!$F552</f>
        <v>0</v>
      </c>
      <c r="X552" s="28"/>
      <c r="Y552" s="27"/>
    </row>
    <row r="553" spans="1:25" s="10" customFormat="1" ht="11.25">
      <c r="A553" s="46"/>
      <c r="B553" s="51"/>
      <c r="C553" s="47"/>
      <c r="D553" s="47"/>
      <c r="E553" s="47"/>
      <c r="F553" s="48"/>
      <c r="G553" s="48"/>
      <c r="H553" s="48"/>
      <c r="I553" s="48"/>
      <c r="J553" s="48"/>
      <c r="K553" s="48"/>
      <c r="L553" s="48"/>
      <c r="M553" s="48"/>
      <c r="N553" s="48"/>
      <c r="O553" s="48"/>
      <c r="P553" s="48"/>
      <c r="Q553" s="48"/>
      <c r="R553" s="47"/>
      <c r="S553" s="26">
        <f t="shared" si="15"/>
        <v>0</v>
      </c>
      <c r="T553" s="26">
        <f>COUNTIF($V$4:V553,V553)</f>
        <v>542</v>
      </c>
      <c r="U553" s="26" t="str">
        <f>IF(T553=1,COUNTIF($T$4:T553,1),"")</f>
        <v/>
      </c>
      <c r="V553" s="27" t="str">
        <f>'施設状況(要更新)'!$E553&amp;'施設状況(要更新)'!$C553</f>
        <v/>
      </c>
      <c r="W553" s="27">
        <f>'施設状況(要更新)'!$F553</f>
        <v>0</v>
      </c>
      <c r="X553" s="28"/>
      <c r="Y553" s="27"/>
    </row>
    <row r="554" spans="1:25" s="10" customFormat="1" ht="11.25">
      <c r="A554" s="46"/>
      <c r="B554" s="51"/>
      <c r="C554" s="47"/>
      <c r="D554" s="47"/>
      <c r="E554" s="47"/>
      <c r="F554" s="48"/>
      <c r="G554" s="48"/>
      <c r="H554" s="48"/>
      <c r="I554" s="48"/>
      <c r="J554" s="48"/>
      <c r="K554" s="48"/>
      <c r="L554" s="48"/>
      <c r="M554" s="48"/>
      <c r="N554" s="48"/>
      <c r="O554" s="48"/>
      <c r="P554" s="48"/>
      <c r="Q554" s="48"/>
      <c r="R554" s="47"/>
      <c r="S554" s="26">
        <f t="shared" si="15"/>
        <v>0</v>
      </c>
      <c r="T554" s="26">
        <f>COUNTIF($V$4:V554,V554)</f>
        <v>543</v>
      </c>
      <c r="U554" s="26" t="str">
        <f>IF(T554=1,COUNTIF($T$4:T554,1),"")</f>
        <v/>
      </c>
      <c r="V554" s="27" t="str">
        <f>'施設状況(要更新)'!$E554&amp;'施設状況(要更新)'!$C554</f>
        <v/>
      </c>
      <c r="W554" s="27">
        <f>'施設状況(要更新)'!$F554</f>
        <v>0</v>
      </c>
      <c r="X554" s="28"/>
      <c r="Y554" s="27"/>
    </row>
    <row r="555" spans="1:25" s="10" customFormat="1" ht="11.25">
      <c r="A555" s="46"/>
      <c r="B555" s="51"/>
      <c r="C555" s="47"/>
      <c r="D555" s="47"/>
      <c r="E555" s="47"/>
      <c r="F555" s="48"/>
      <c r="G555" s="48"/>
      <c r="H555" s="48"/>
      <c r="I555" s="48"/>
      <c r="J555" s="48"/>
      <c r="K555" s="48"/>
      <c r="L555" s="48"/>
      <c r="M555" s="48"/>
      <c r="N555" s="48"/>
      <c r="O555" s="48"/>
      <c r="P555" s="48"/>
      <c r="Q555" s="48"/>
      <c r="R555" s="47"/>
      <c r="S555" s="26">
        <f t="shared" si="15"/>
        <v>0</v>
      </c>
      <c r="T555" s="26">
        <f>COUNTIF($V$4:V555,V555)</f>
        <v>544</v>
      </c>
      <c r="U555" s="26" t="str">
        <f>IF(T555=1,COUNTIF($T$4:T555,1),"")</f>
        <v/>
      </c>
      <c r="V555" s="27" t="str">
        <f>'施設状況(要更新)'!$E555&amp;'施設状況(要更新)'!$C555</f>
        <v/>
      </c>
      <c r="W555" s="27">
        <f>'施設状況(要更新)'!$F555</f>
        <v>0</v>
      </c>
      <c r="X555" s="28"/>
      <c r="Y555" s="27"/>
    </row>
    <row r="556" spans="1:25" s="10" customFormat="1" ht="11.25">
      <c r="A556" s="46"/>
      <c r="B556" s="51"/>
      <c r="C556" s="47"/>
      <c r="D556" s="47"/>
      <c r="E556" s="47"/>
      <c r="F556" s="48"/>
      <c r="G556" s="48"/>
      <c r="H556" s="48"/>
      <c r="I556" s="48"/>
      <c r="J556" s="48"/>
      <c r="K556" s="48"/>
      <c r="L556" s="48"/>
      <c r="M556" s="48"/>
      <c r="N556" s="48"/>
      <c r="O556" s="48"/>
      <c r="P556" s="48"/>
      <c r="Q556" s="48"/>
      <c r="R556" s="47"/>
      <c r="S556" s="26">
        <f t="shared" si="15"/>
        <v>0</v>
      </c>
      <c r="T556" s="26">
        <f>COUNTIF($V$4:V556,V556)</f>
        <v>545</v>
      </c>
      <c r="U556" s="26" t="str">
        <f>IF(T556=1,COUNTIF($T$4:T556,1),"")</f>
        <v/>
      </c>
      <c r="V556" s="27" t="str">
        <f>'施設状況(要更新)'!$E556&amp;'施設状況(要更新)'!$C556</f>
        <v/>
      </c>
      <c r="W556" s="27">
        <f>'施設状況(要更新)'!$F556</f>
        <v>0</v>
      </c>
      <c r="X556" s="28"/>
      <c r="Y556" s="27"/>
    </row>
    <row r="557" spans="1:25" s="10" customFormat="1" ht="11.25">
      <c r="A557" s="46"/>
      <c r="B557" s="51"/>
      <c r="C557" s="47"/>
      <c r="D557" s="47"/>
      <c r="E557" s="47"/>
      <c r="F557" s="48"/>
      <c r="G557" s="48"/>
      <c r="H557" s="48"/>
      <c r="I557" s="48"/>
      <c r="J557" s="48"/>
      <c r="K557" s="48"/>
      <c r="L557" s="48"/>
      <c r="M557" s="48"/>
      <c r="N557" s="48"/>
      <c r="O557" s="48"/>
      <c r="P557" s="48"/>
      <c r="Q557" s="48"/>
      <c r="R557" s="47"/>
      <c r="S557" s="26">
        <f t="shared" si="15"/>
        <v>0</v>
      </c>
      <c r="T557" s="26">
        <f>COUNTIF($V$4:V557,V557)</f>
        <v>546</v>
      </c>
      <c r="U557" s="26" t="str">
        <f>IF(T557=1,COUNTIF($T$4:T557,1),"")</f>
        <v/>
      </c>
      <c r="V557" s="27" t="str">
        <f>'施設状況(要更新)'!$E557&amp;'施設状況(要更新)'!$C557</f>
        <v/>
      </c>
      <c r="W557" s="27">
        <f>'施設状況(要更新)'!$F557</f>
        <v>0</v>
      </c>
      <c r="X557" s="28"/>
      <c r="Y557" s="27"/>
    </row>
    <row r="558" spans="1:25" s="10" customFormat="1" ht="11.25">
      <c r="A558" s="46"/>
      <c r="B558" s="51"/>
      <c r="C558" s="47"/>
      <c r="D558" s="47"/>
      <c r="E558" s="47"/>
      <c r="F558" s="48"/>
      <c r="G558" s="48"/>
      <c r="H558" s="48"/>
      <c r="I558" s="48"/>
      <c r="J558" s="48"/>
      <c r="K558" s="48"/>
      <c r="L558" s="48"/>
      <c r="M558" s="48"/>
      <c r="N558" s="48"/>
      <c r="O558" s="48"/>
      <c r="P558" s="48"/>
      <c r="Q558" s="48"/>
      <c r="R558" s="47"/>
      <c r="S558" s="26">
        <f t="shared" si="15"/>
        <v>0</v>
      </c>
      <c r="T558" s="26">
        <f>COUNTIF($V$4:V558,V558)</f>
        <v>547</v>
      </c>
      <c r="U558" s="26" t="str">
        <f>IF(T558=1,COUNTIF($T$4:T558,1),"")</f>
        <v/>
      </c>
      <c r="V558" s="27" t="str">
        <f>'施設状況(要更新)'!$E558&amp;'施設状況(要更新)'!$C558</f>
        <v/>
      </c>
      <c r="W558" s="27">
        <f>'施設状況(要更新)'!$F558</f>
        <v>0</v>
      </c>
      <c r="X558" s="28"/>
      <c r="Y558" s="27"/>
    </row>
    <row r="559" spans="1:25" s="10" customFormat="1" ht="11.25">
      <c r="A559" s="46"/>
      <c r="B559" s="51"/>
      <c r="C559" s="47"/>
      <c r="D559" s="47"/>
      <c r="E559" s="47"/>
      <c r="F559" s="48"/>
      <c r="G559" s="48"/>
      <c r="H559" s="48"/>
      <c r="I559" s="48"/>
      <c r="J559" s="48"/>
      <c r="K559" s="48"/>
      <c r="L559" s="48"/>
      <c r="M559" s="48"/>
      <c r="N559" s="48"/>
      <c r="O559" s="48"/>
      <c r="P559" s="48"/>
      <c r="Q559" s="48"/>
      <c r="R559" s="47"/>
      <c r="S559" s="26">
        <f t="shared" si="15"/>
        <v>0</v>
      </c>
      <c r="T559" s="26">
        <f>COUNTIF($V$4:V559,V559)</f>
        <v>548</v>
      </c>
      <c r="U559" s="26" t="str">
        <f>IF(T559=1,COUNTIF($T$4:T559,1),"")</f>
        <v/>
      </c>
      <c r="V559" s="27" t="str">
        <f>'施設状況(要更新)'!$E559&amp;'施設状況(要更新)'!$C559</f>
        <v/>
      </c>
      <c r="W559" s="27">
        <f>'施設状況(要更新)'!$F559</f>
        <v>0</v>
      </c>
      <c r="X559" s="28"/>
      <c r="Y559" s="27"/>
    </row>
    <row r="560" spans="1:25" s="10" customFormat="1" ht="11.25">
      <c r="A560" s="46"/>
      <c r="B560" s="51"/>
      <c r="C560" s="47"/>
      <c r="D560" s="47"/>
      <c r="E560" s="47"/>
      <c r="F560" s="48"/>
      <c r="G560" s="48"/>
      <c r="H560" s="48"/>
      <c r="I560" s="48"/>
      <c r="J560" s="48"/>
      <c r="K560" s="48"/>
      <c r="L560" s="48"/>
      <c r="M560" s="48"/>
      <c r="N560" s="48"/>
      <c r="O560" s="48"/>
      <c r="P560" s="48"/>
      <c r="Q560" s="48"/>
      <c r="R560" s="47"/>
      <c r="S560" s="26">
        <f t="shared" si="15"/>
        <v>0</v>
      </c>
      <c r="T560" s="26">
        <f>COUNTIF($V$4:V560,V560)</f>
        <v>549</v>
      </c>
      <c r="U560" s="26" t="str">
        <f>IF(T560=1,COUNTIF($T$4:T560,1),"")</f>
        <v/>
      </c>
      <c r="V560" s="27" t="str">
        <f>'施設状況(要更新)'!$E560&amp;'施設状況(要更新)'!$C560</f>
        <v/>
      </c>
      <c r="W560" s="27">
        <f>'施設状況(要更新)'!$F560</f>
        <v>0</v>
      </c>
      <c r="X560" s="28"/>
      <c r="Y560" s="27"/>
    </row>
    <row r="561" spans="1:25" s="10" customFormat="1" ht="11.25">
      <c r="A561" s="46"/>
      <c r="B561" s="51"/>
      <c r="C561" s="47"/>
      <c r="D561" s="47"/>
      <c r="E561" s="47"/>
      <c r="F561" s="48"/>
      <c r="G561" s="48"/>
      <c r="H561" s="48"/>
      <c r="I561" s="48"/>
      <c r="J561" s="48"/>
      <c r="K561" s="48"/>
      <c r="L561" s="48"/>
      <c r="M561" s="48"/>
      <c r="N561" s="48"/>
      <c r="O561" s="48"/>
      <c r="P561" s="48"/>
      <c r="Q561" s="48"/>
      <c r="R561" s="47"/>
      <c r="S561" s="26">
        <f t="shared" si="15"/>
        <v>0</v>
      </c>
      <c r="T561" s="26">
        <f>COUNTIF($V$4:V561,V561)</f>
        <v>550</v>
      </c>
      <c r="U561" s="26" t="str">
        <f>IF(T561=1,COUNTIF($T$4:T561,1),"")</f>
        <v/>
      </c>
      <c r="V561" s="27" t="str">
        <f>'施設状況(要更新)'!$E561&amp;'施設状況(要更新)'!$C561</f>
        <v/>
      </c>
      <c r="W561" s="27">
        <f>'施設状況(要更新)'!$F561</f>
        <v>0</v>
      </c>
      <c r="X561" s="28"/>
      <c r="Y561" s="27"/>
    </row>
    <row r="562" spans="1:25" s="10" customFormat="1" ht="11.25">
      <c r="A562" s="46"/>
      <c r="B562" s="51"/>
      <c r="C562" s="47"/>
      <c r="D562" s="47"/>
      <c r="E562" s="47"/>
      <c r="F562" s="48"/>
      <c r="G562" s="48"/>
      <c r="H562" s="48"/>
      <c r="I562" s="48"/>
      <c r="J562" s="48"/>
      <c r="K562" s="48"/>
      <c r="L562" s="48"/>
      <c r="M562" s="48"/>
      <c r="N562" s="48"/>
      <c r="O562" s="48"/>
      <c r="P562" s="48"/>
      <c r="Q562" s="48"/>
      <c r="R562" s="47"/>
      <c r="S562" s="26">
        <f t="shared" si="15"/>
        <v>0</v>
      </c>
      <c r="T562" s="26">
        <f>COUNTIF($V$4:V562,V562)</f>
        <v>551</v>
      </c>
      <c r="U562" s="26" t="str">
        <f>IF(T562=1,COUNTIF($T$4:T562,1),"")</f>
        <v/>
      </c>
      <c r="V562" s="27" t="str">
        <f>'施設状況(要更新)'!$E562&amp;'施設状況(要更新)'!$C562</f>
        <v/>
      </c>
      <c r="W562" s="27">
        <f>'施設状況(要更新)'!$F562</f>
        <v>0</v>
      </c>
      <c r="X562" s="28"/>
      <c r="Y562" s="27"/>
    </row>
    <row r="563" spans="1:25" s="10" customFormat="1" ht="11.25">
      <c r="A563" s="46"/>
      <c r="B563" s="51"/>
      <c r="C563" s="47"/>
      <c r="D563" s="47"/>
      <c r="E563" s="47"/>
      <c r="F563" s="48"/>
      <c r="G563" s="48"/>
      <c r="H563" s="48"/>
      <c r="I563" s="48"/>
      <c r="J563" s="48"/>
      <c r="K563" s="48"/>
      <c r="L563" s="48"/>
      <c r="M563" s="48"/>
      <c r="N563" s="48"/>
      <c r="O563" s="48"/>
      <c r="P563" s="48"/>
      <c r="Q563" s="48"/>
      <c r="R563" s="47"/>
      <c r="S563" s="26">
        <f t="shared" si="15"/>
        <v>0</v>
      </c>
      <c r="T563" s="26">
        <f>COUNTIF($V$4:V563,V563)</f>
        <v>552</v>
      </c>
      <c r="U563" s="26" t="str">
        <f>IF(T563=1,COUNTIF($T$4:T563,1),"")</f>
        <v/>
      </c>
      <c r="V563" s="27" t="str">
        <f>'施設状況(要更新)'!$E563&amp;'施設状況(要更新)'!$C563</f>
        <v/>
      </c>
      <c r="W563" s="27">
        <f>'施設状況(要更新)'!$F563</f>
        <v>0</v>
      </c>
      <c r="X563" s="28"/>
      <c r="Y563" s="27"/>
    </row>
    <row r="564" spans="1:25" s="10" customFormat="1" ht="11.25">
      <c r="A564" s="46"/>
      <c r="B564" s="51"/>
      <c r="C564" s="47"/>
      <c r="D564" s="47"/>
      <c r="E564" s="47"/>
      <c r="F564" s="48"/>
      <c r="G564" s="48"/>
      <c r="H564" s="48"/>
      <c r="I564" s="48"/>
      <c r="J564" s="48"/>
      <c r="K564" s="48"/>
      <c r="L564" s="48"/>
      <c r="M564" s="48"/>
      <c r="N564" s="48"/>
      <c r="O564" s="48"/>
      <c r="P564" s="48"/>
      <c r="Q564" s="48"/>
      <c r="R564" s="47"/>
      <c r="S564" s="26">
        <f t="shared" si="15"/>
        <v>0</v>
      </c>
      <c r="T564" s="26">
        <f>COUNTIF($V$4:V564,V564)</f>
        <v>553</v>
      </c>
      <c r="U564" s="26" t="str">
        <f>IF(T564=1,COUNTIF($T$4:T564,1),"")</f>
        <v/>
      </c>
      <c r="V564" s="27" t="str">
        <f>'施設状況(要更新)'!$E564&amp;'施設状況(要更新)'!$C564</f>
        <v/>
      </c>
      <c r="W564" s="27">
        <f>'施設状況(要更新)'!$F564</f>
        <v>0</v>
      </c>
      <c r="X564" s="28"/>
      <c r="Y564" s="27"/>
    </row>
    <row r="565" spans="1:25" s="10" customFormat="1" ht="11.25">
      <c r="A565" s="46"/>
      <c r="B565" s="51"/>
      <c r="C565" s="47"/>
      <c r="D565" s="47"/>
      <c r="E565" s="47"/>
      <c r="F565" s="48"/>
      <c r="G565" s="48"/>
      <c r="H565" s="48"/>
      <c r="I565" s="48"/>
      <c r="J565" s="48"/>
      <c r="K565" s="48"/>
      <c r="L565" s="48"/>
      <c r="M565" s="48"/>
      <c r="N565" s="48"/>
      <c r="O565" s="48"/>
      <c r="P565" s="48"/>
      <c r="Q565" s="48"/>
      <c r="R565" s="47"/>
      <c r="S565" s="26">
        <f t="shared" si="15"/>
        <v>0</v>
      </c>
      <c r="T565" s="26">
        <f>COUNTIF($V$4:V565,V565)</f>
        <v>554</v>
      </c>
      <c r="U565" s="26" t="str">
        <f>IF(T565=1,COUNTIF($T$4:T565,1),"")</f>
        <v/>
      </c>
      <c r="V565" s="27" t="str">
        <f>'施設状況(要更新)'!$E565&amp;'施設状況(要更新)'!$C565</f>
        <v/>
      </c>
      <c r="W565" s="27">
        <f>'施設状況(要更新)'!$F565</f>
        <v>0</v>
      </c>
      <c r="X565" s="28"/>
      <c r="Y565" s="27"/>
    </row>
    <row r="566" spans="1:25" s="10" customFormat="1" ht="11.25">
      <c r="A566" s="46"/>
      <c r="B566" s="51"/>
      <c r="C566" s="47"/>
      <c r="D566" s="47"/>
      <c r="E566" s="47"/>
      <c r="F566" s="48"/>
      <c r="G566" s="48"/>
      <c r="H566" s="48"/>
      <c r="I566" s="48"/>
      <c r="J566" s="48"/>
      <c r="K566" s="48"/>
      <c r="L566" s="48"/>
      <c r="M566" s="48"/>
      <c r="N566" s="48"/>
      <c r="O566" s="48"/>
      <c r="P566" s="48"/>
      <c r="Q566" s="48"/>
      <c r="R566" s="47"/>
      <c r="S566" s="26">
        <f t="shared" si="15"/>
        <v>0</v>
      </c>
      <c r="T566" s="26">
        <f>COUNTIF($V$4:V566,V566)</f>
        <v>555</v>
      </c>
      <c r="U566" s="26" t="str">
        <f>IF(T566=1,COUNTIF($T$4:T566,1),"")</f>
        <v/>
      </c>
      <c r="V566" s="27" t="str">
        <f>'施設状況(要更新)'!$E566&amp;'施設状況(要更新)'!$C566</f>
        <v/>
      </c>
      <c r="W566" s="27">
        <f>'施設状況(要更新)'!$F566</f>
        <v>0</v>
      </c>
      <c r="X566" s="28"/>
      <c r="Y566" s="27"/>
    </row>
    <row r="567" spans="1:25" s="10" customFormat="1" ht="11.25">
      <c r="A567" s="46"/>
      <c r="B567" s="51"/>
      <c r="C567" s="47"/>
      <c r="D567" s="47"/>
      <c r="E567" s="47"/>
      <c r="F567" s="48"/>
      <c r="G567" s="48"/>
      <c r="H567" s="48"/>
      <c r="I567" s="48"/>
      <c r="J567" s="48"/>
      <c r="K567" s="48"/>
      <c r="L567" s="48"/>
      <c r="M567" s="48"/>
      <c r="N567" s="48"/>
      <c r="O567" s="48"/>
      <c r="P567" s="48"/>
      <c r="Q567" s="48"/>
      <c r="R567" s="47"/>
      <c r="S567" s="26">
        <f t="shared" si="15"/>
        <v>0</v>
      </c>
      <c r="T567" s="26">
        <f>COUNTIF($V$4:V567,V567)</f>
        <v>556</v>
      </c>
      <c r="U567" s="26" t="str">
        <f>IF(T567=1,COUNTIF($T$4:T567,1),"")</f>
        <v/>
      </c>
      <c r="V567" s="27" t="str">
        <f>'施設状況(要更新)'!$E567&amp;'施設状況(要更新)'!$C567</f>
        <v/>
      </c>
      <c r="W567" s="27">
        <f>'施設状況(要更新)'!$F567</f>
        <v>0</v>
      </c>
      <c r="X567" s="28"/>
      <c r="Y567" s="27"/>
    </row>
    <row r="568" spans="1:25" s="10" customFormat="1" ht="11.25">
      <c r="A568" s="46"/>
      <c r="B568" s="51"/>
      <c r="C568" s="47"/>
      <c r="D568" s="47"/>
      <c r="E568" s="47"/>
      <c r="F568" s="48"/>
      <c r="G568" s="48"/>
      <c r="H568" s="48"/>
      <c r="I568" s="48"/>
      <c r="J568" s="48"/>
      <c r="K568" s="48"/>
      <c r="L568" s="48"/>
      <c r="M568" s="48"/>
      <c r="N568" s="48"/>
      <c r="O568" s="48"/>
      <c r="P568" s="48"/>
      <c r="Q568" s="48"/>
      <c r="R568" s="47"/>
      <c r="S568" s="26">
        <f t="shared" si="15"/>
        <v>0</v>
      </c>
      <c r="T568" s="26">
        <f>COUNTIF($V$4:V568,V568)</f>
        <v>557</v>
      </c>
      <c r="U568" s="26" t="str">
        <f>IF(T568=1,COUNTIF($T$4:T568,1),"")</f>
        <v/>
      </c>
      <c r="V568" s="27" t="str">
        <f>'施設状況(要更新)'!$E568&amp;'施設状況(要更新)'!$C568</f>
        <v/>
      </c>
      <c r="W568" s="27">
        <f>'施設状況(要更新)'!$F568</f>
        <v>0</v>
      </c>
      <c r="X568" s="28"/>
      <c r="Y568" s="27"/>
    </row>
    <row r="569" spans="1:25" s="10" customFormat="1" ht="11.25">
      <c r="A569" s="46"/>
      <c r="B569" s="51"/>
      <c r="C569" s="47"/>
      <c r="D569" s="47"/>
      <c r="E569" s="47"/>
      <c r="F569" s="48"/>
      <c r="G569" s="48"/>
      <c r="H569" s="48"/>
      <c r="I569" s="48"/>
      <c r="J569" s="48"/>
      <c r="K569" s="48"/>
      <c r="L569" s="48"/>
      <c r="M569" s="48"/>
      <c r="N569" s="48"/>
      <c r="O569" s="48"/>
      <c r="P569" s="48"/>
      <c r="Q569" s="48"/>
      <c r="R569" s="47"/>
      <c r="S569" s="26">
        <f t="shared" si="15"/>
        <v>0</v>
      </c>
      <c r="T569" s="26">
        <f>COUNTIF($V$4:V569,V569)</f>
        <v>558</v>
      </c>
      <c r="U569" s="26" t="str">
        <f>IF(T569=1,COUNTIF($T$4:T569,1),"")</f>
        <v/>
      </c>
      <c r="V569" s="27" t="str">
        <f>'施設状況(要更新)'!$E569&amp;'施設状況(要更新)'!$C569</f>
        <v/>
      </c>
      <c r="W569" s="27">
        <f>'施設状況(要更新)'!$F569</f>
        <v>0</v>
      </c>
      <c r="X569" s="28"/>
      <c r="Y569" s="27"/>
    </row>
    <row r="570" spans="1:25" s="10" customFormat="1" ht="11.25">
      <c r="A570" s="46"/>
      <c r="B570" s="51"/>
      <c r="C570" s="47"/>
      <c r="D570" s="47"/>
      <c r="E570" s="47"/>
      <c r="F570" s="48"/>
      <c r="G570" s="48"/>
      <c r="H570" s="48"/>
      <c r="I570" s="48"/>
      <c r="J570" s="48"/>
      <c r="K570" s="48"/>
      <c r="L570" s="48"/>
      <c r="M570" s="48"/>
      <c r="N570" s="48"/>
      <c r="O570" s="48"/>
      <c r="P570" s="48"/>
      <c r="Q570" s="48"/>
      <c r="R570" s="47"/>
      <c r="S570" s="26">
        <f t="shared" si="15"/>
        <v>0</v>
      </c>
      <c r="T570" s="26">
        <f>COUNTIF($V$4:V570,V570)</f>
        <v>559</v>
      </c>
      <c r="U570" s="26" t="str">
        <f>IF(T570=1,COUNTIF($T$4:T570,1),"")</f>
        <v/>
      </c>
      <c r="V570" s="27" t="str">
        <f>'施設状況(要更新)'!$E570&amp;'施設状況(要更新)'!$C570</f>
        <v/>
      </c>
      <c r="W570" s="27">
        <f>'施設状況(要更新)'!$F570</f>
        <v>0</v>
      </c>
      <c r="X570" s="28"/>
      <c r="Y570" s="27"/>
    </row>
    <row r="571" spans="1:25" s="10" customFormat="1" ht="11.25">
      <c r="A571" s="46"/>
      <c r="B571" s="51"/>
      <c r="C571" s="47"/>
      <c r="D571" s="47"/>
      <c r="E571" s="47"/>
      <c r="F571" s="48"/>
      <c r="G571" s="48"/>
      <c r="H571" s="48"/>
      <c r="I571" s="48"/>
      <c r="J571" s="48"/>
      <c r="K571" s="48"/>
      <c r="L571" s="48"/>
      <c r="M571" s="48"/>
      <c r="N571" s="48"/>
      <c r="O571" s="48"/>
      <c r="P571" s="48"/>
      <c r="Q571" s="48"/>
      <c r="R571" s="47"/>
      <c r="S571" s="26">
        <f t="shared" si="15"/>
        <v>0</v>
      </c>
      <c r="T571" s="26">
        <f>COUNTIF($V$4:V571,V571)</f>
        <v>560</v>
      </c>
      <c r="U571" s="26" t="str">
        <f>IF(T571=1,COUNTIF($T$4:T571,1),"")</f>
        <v/>
      </c>
      <c r="V571" s="27" t="str">
        <f>'施設状況(要更新)'!$E571&amp;'施設状況(要更新)'!$C571</f>
        <v/>
      </c>
      <c r="W571" s="27">
        <f>'施設状況(要更新)'!$F571</f>
        <v>0</v>
      </c>
      <c r="X571" s="28"/>
      <c r="Y571" s="27"/>
    </row>
    <row r="572" spans="1:25" s="10" customFormat="1" ht="11.25">
      <c r="A572" s="46"/>
      <c r="B572" s="51"/>
      <c r="C572" s="47"/>
      <c r="D572" s="47"/>
      <c r="E572" s="47"/>
      <c r="F572" s="48"/>
      <c r="G572" s="48"/>
      <c r="H572" s="48"/>
      <c r="I572" s="48"/>
      <c r="J572" s="48"/>
      <c r="K572" s="48"/>
      <c r="L572" s="48"/>
      <c r="M572" s="48"/>
      <c r="N572" s="48"/>
      <c r="O572" s="48"/>
      <c r="P572" s="48"/>
      <c r="Q572" s="48"/>
      <c r="R572" s="47"/>
      <c r="S572" s="26">
        <f t="shared" si="15"/>
        <v>0</v>
      </c>
      <c r="T572" s="26">
        <f>COUNTIF($V$4:V572,V572)</f>
        <v>561</v>
      </c>
      <c r="U572" s="26" t="str">
        <f>IF(T572=1,COUNTIF($T$4:T572,1),"")</f>
        <v/>
      </c>
      <c r="V572" s="27" t="str">
        <f>'施設状況(要更新)'!$E572&amp;'施設状況(要更新)'!$C572</f>
        <v/>
      </c>
      <c r="W572" s="27">
        <f>'施設状況(要更新)'!$F572</f>
        <v>0</v>
      </c>
      <c r="X572" s="28"/>
      <c r="Y572" s="27"/>
    </row>
    <row r="573" spans="1:25" s="10" customFormat="1" ht="11.25">
      <c r="A573" s="46"/>
      <c r="B573" s="51"/>
      <c r="C573" s="47"/>
      <c r="D573" s="47"/>
      <c r="E573" s="47"/>
      <c r="F573" s="48"/>
      <c r="G573" s="48"/>
      <c r="H573" s="48"/>
      <c r="I573" s="48"/>
      <c r="J573" s="48"/>
      <c r="K573" s="48"/>
      <c r="L573" s="48"/>
      <c r="M573" s="48"/>
      <c r="N573" s="48"/>
      <c r="O573" s="48"/>
      <c r="P573" s="48"/>
      <c r="Q573" s="48"/>
      <c r="R573" s="47"/>
      <c r="S573" s="26">
        <f t="shared" si="15"/>
        <v>0</v>
      </c>
      <c r="T573" s="26">
        <f>COUNTIF($V$4:V573,V573)</f>
        <v>562</v>
      </c>
      <c r="U573" s="26" t="str">
        <f>IF(T573=1,COUNTIF($T$4:T573,1),"")</f>
        <v/>
      </c>
      <c r="V573" s="27" t="str">
        <f>'施設状況(要更新)'!$E573&amp;'施設状況(要更新)'!$C573</f>
        <v/>
      </c>
      <c r="W573" s="27">
        <f>'施設状況(要更新)'!$F573</f>
        <v>0</v>
      </c>
      <c r="X573" s="28"/>
      <c r="Y573" s="27"/>
    </row>
    <row r="574" spans="1:25" s="10" customFormat="1" ht="11.25">
      <c r="A574" s="46"/>
      <c r="B574" s="51"/>
      <c r="C574" s="47"/>
      <c r="D574" s="47"/>
      <c r="E574" s="47"/>
      <c r="F574" s="48"/>
      <c r="G574" s="48"/>
      <c r="H574" s="48"/>
      <c r="I574" s="48"/>
      <c r="J574" s="48"/>
      <c r="K574" s="48"/>
      <c r="L574" s="48"/>
      <c r="M574" s="48"/>
      <c r="N574" s="48"/>
      <c r="O574" s="48"/>
      <c r="P574" s="48"/>
      <c r="Q574" s="48"/>
      <c r="R574" s="47"/>
      <c r="S574" s="26">
        <f t="shared" si="15"/>
        <v>0</v>
      </c>
      <c r="T574" s="26">
        <f>COUNTIF($V$4:V574,V574)</f>
        <v>563</v>
      </c>
      <c r="U574" s="26" t="str">
        <f>IF(T574=1,COUNTIF($T$4:T574,1),"")</f>
        <v/>
      </c>
      <c r="V574" s="27" t="str">
        <f>'施設状況(要更新)'!$E574&amp;'施設状況(要更新)'!$C574</f>
        <v/>
      </c>
      <c r="W574" s="27">
        <f>'施設状況(要更新)'!$F574</f>
        <v>0</v>
      </c>
      <c r="X574" s="28"/>
      <c r="Y574" s="27"/>
    </row>
    <row r="575" spans="1:25" s="10" customFormat="1" ht="11.25">
      <c r="A575" s="46"/>
      <c r="B575" s="51"/>
      <c r="C575" s="47"/>
      <c r="D575" s="47"/>
      <c r="E575" s="47"/>
      <c r="F575" s="48"/>
      <c r="G575" s="48"/>
      <c r="H575" s="48"/>
      <c r="I575" s="48"/>
      <c r="J575" s="48"/>
      <c r="K575" s="48"/>
      <c r="L575" s="48"/>
      <c r="M575" s="48"/>
      <c r="N575" s="48"/>
      <c r="O575" s="48"/>
      <c r="P575" s="48"/>
      <c r="Q575" s="48"/>
      <c r="R575" s="47"/>
      <c r="S575" s="26">
        <f t="shared" si="15"/>
        <v>0</v>
      </c>
      <c r="T575" s="26">
        <f>COUNTIF($V$4:V575,V575)</f>
        <v>564</v>
      </c>
      <c r="U575" s="26" t="str">
        <f>IF(T575=1,COUNTIF($T$4:T575,1),"")</f>
        <v/>
      </c>
      <c r="V575" s="27" t="str">
        <f>'施設状況(要更新)'!$E575&amp;'施設状況(要更新)'!$C575</f>
        <v/>
      </c>
      <c r="W575" s="27">
        <f>'施設状況(要更新)'!$F575</f>
        <v>0</v>
      </c>
      <c r="X575" s="28"/>
      <c r="Y575" s="27"/>
    </row>
    <row r="576" spans="1:25" s="10" customFormat="1" ht="11.25">
      <c r="A576" s="46"/>
      <c r="B576" s="51"/>
      <c r="C576" s="47"/>
      <c r="D576" s="47"/>
      <c r="E576" s="47"/>
      <c r="F576" s="48"/>
      <c r="G576" s="48"/>
      <c r="H576" s="48"/>
      <c r="I576" s="48"/>
      <c r="J576" s="48"/>
      <c r="K576" s="48"/>
      <c r="L576" s="48"/>
      <c r="M576" s="48"/>
      <c r="N576" s="48"/>
      <c r="O576" s="48"/>
      <c r="P576" s="48"/>
      <c r="Q576" s="48"/>
      <c r="R576" s="47"/>
      <c r="S576" s="26">
        <f t="shared" si="15"/>
        <v>0</v>
      </c>
      <c r="T576" s="26">
        <f>COUNTIF($V$4:V576,V576)</f>
        <v>565</v>
      </c>
      <c r="U576" s="26" t="str">
        <f>IF(T576=1,COUNTIF($T$4:T576,1),"")</f>
        <v/>
      </c>
      <c r="V576" s="27" t="str">
        <f>'施設状況(要更新)'!$E576&amp;'施設状況(要更新)'!$C576</f>
        <v/>
      </c>
      <c r="W576" s="27">
        <f>'施設状況(要更新)'!$F576</f>
        <v>0</v>
      </c>
      <c r="X576" s="28"/>
      <c r="Y576" s="27"/>
    </row>
    <row r="577" spans="1:25" s="10" customFormat="1" ht="11.25">
      <c r="A577" s="46"/>
      <c r="B577" s="51"/>
      <c r="C577" s="47"/>
      <c r="D577" s="47"/>
      <c r="E577" s="47"/>
      <c r="F577" s="48"/>
      <c r="G577" s="48"/>
      <c r="H577" s="48"/>
      <c r="I577" s="48"/>
      <c r="J577" s="48"/>
      <c r="K577" s="48"/>
      <c r="L577" s="48"/>
      <c r="M577" s="48"/>
      <c r="N577" s="48"/>
      <c r="O577" s="48"/>
      <c r="P577" s="48"/>
      <c r="Q577" s="48"/>
      <c r="R577" s="47"/>
      <c r="S577" s="26">
        <f t="shared" si="15"/>
        <v>0</v>
      </c>
      <c r="T577" s="26">
        <f>COUNTIF($V$4:V577,V577)</f>
        <v>566</v>
      </c>
      <c r="U577" s="26" t="str">
        <f>IF(T577=1,COUNTIF($T$4:T577,1),"")</f>
        <v/>
      </c>
      <c r="V577" s="27" t="str">
        <f>'施設状況(要更新)'!$E577&amp;'施設状況(要更新)'!$C577</f>
        <v/>
      </c>
      <c r="W577" s="27">
        <f>'施設状況(要更新)'!$F577</f>
        <v>0</v>
      </c>
      <c r="X577" s="28"/>
      <c r="Y577" s="27"/>
    </row>
    <row r="578" spans="1:25" s="10" customFormat="1" ht="11.25">
      <c r="A578" s="46"/>
      <c r="B578" s="51"/>
      <c r="C578" s="47"/>
      <c r="D578" s="47"/>
      <c r="E578" s="47"/>
      <c r="F578" s="48"/>
      <c r="G578" s="48"/>
      <c r="H578" s="48"/>
      <c r="I578" s="48"/>
      <c r="J578" s="48"/>
      <c r="K578" s="48"/>
      <c r="L578" s="48"/>
      <c r="M578" s="48"/>
      <c r="N578" s="48"/>
      <c r="O578" s="48"/>
      <c r="P578" s="48"/>
      <c r="Q578" s="48"/>
      <c r="R578" s="47"/>
      <c r="S578" s="26">
        <f t="shared" si="15"/>
        <v>0</v>
      </c>
      <c r="T578" s="26">
        <f>COUNTIF($V$4:V578,V578)</f>
        <v>567</v>
      </c>
      <c r="U578" s="26" t="str">
        <f>IF(T578=1,COUNTIF($T$4:T578,1),"")</f>
        <v/>
      </c>
      <c r="V578" s="27" t="str">
        <f>'施設状況(要更新)'!$E578&amp;'施設状況(要更新)'!$C578</f>
        <v/>
      </c>
      <c r="W578" s="27">
        <f>'施設状況(要更新)'!$F578</f>
        <v>0</v>
      </c>
      <c r="X578" s="28"/>
      <c r="Y578" s="27"/>
    </row>
    <row r="579" spans="1:25" s="10" customFormat="1" ht="11.25">
      <c r="A579" s="46"/>
      <c r="B579" s="51"/>
      <c r="C579" s="47"/>
      <c r="D579" s="47"/>
      <c r="E579" s="47"/>
      <c r="F579" s="48"/>
      <c r="G579" s="48"/>
      <c r="H579" s="48"/>
      <c r="I579" s="48"/>
      <c r="J579" s="48"/>
      <c r="K579" s="48"/>
      <c r="L579" s="48"/>
      <c r="M579" s="48"/>
      <c r="N579" s="48"/>
      <c r="O579" s="48"/>
      <c r="P579" s="48"/>
      <c r="Q579" s="48"/>
      <c r="R579" s="47"/>
      <c r="S579" s="26">
        <f t="shared" si="15"/>
        <v>0</v>
      </c>
      <c r="T579" s="26">
        <f>COUNTIF($V$4:V579,V579)</f>
        <v>568</v>
      </c>
      <c r="U579" s="26" t="str">
        <f>IF(T579=1,COUNTIF($T$4:T579,1),"")</f>
        <v/>
      </c>
      <c r="V579" s="27" t="str">
        <f>'施設状況(要更新)'!$E579&amp;'施設状況(要更新)'!$C579</f>
        <v/>
      </c>
      <c r="W579" s="27">
        <f>'施設状況(要更新)'!$F579</f>
        <v>0</v>
      </c>
      <c r="X579" s="28"/>
      <c r="Y579" s="27"/>
    </row>
    <row r="580" spans="1:25" s="10" customFormat="1" ht="11.25">
      <c r="A580" s="46"/>
      <c r="B580" s="51"/>
      <c r="C580" s="47"/>
      <c r="D580" s="47"/>
      <c r="E580" s="47"/>
      <c r="F580" s="48"/>
      <c r="G580" s="48"/>
      <c r="H580" s="48"/>
      <c r="I580" s="48"/>
      <c r="J580" s="48"/>
      <c r="K580" s="48"/>
      <c r="L580" s="48"/>
      <c r="M580" s="48"/>
      <c r="N580" s="48"/>
      <c r="O580" s="48"/>
      <c r="P580" s="48"/>
      <c r="Q580" s="48"/>
      <c r="R580" s="47"/>
      <c r="S580" s="26">
        <f t="shared" si="15"/>
        <v>0</v>
      </c>
      <c r="T580" s="26">
        <f>COUNTIF($V$4:V580,V580)</f>
        <v>569</v>
      </c>
      <c r="U580" s="26" t="str">
        <f>IF(T580=1,COUNTIF($T$4:T580,1),"")</f>
        <v/>
      </c>
      <c r="V580" s="27" t="str">
        <f>'施設状況(要更新)'!$E580&amp;'施設状況(要更新)'!$C580</f>
        <v/>
      </c>
      <c r="W580" s="27">
        <f>'施設状況(要更新)'!$F580</f>
        <v>0</v>
      </c>
      <c r="X580" s="28"/>
      <c r="Y580" s="27"/>
    </row>
    <row r="581" spans="1:25" s="10" customFormat="1" ht="11.25">
      <c r="A581" s="46"/>
      <c r="B581" s="51"/>
      <c r="C581" s="47"/>
      <c r="D581" s="47"/>
      <c r="E581" s="47"/>
      <c r="F581" s="48"/>
      <c r="G581" s="48"/>
      <c r="H581" s="48"/>
      <c r="I581" s="48"/>
      <c r="J581" s="48"/>
      <c r="K581" s="48"/>
      <c r="L581" s="48"/>
      <c r="M581" s="48"/>
      <c r="N581" s="48"/>
      <c r="O581" s="48"/>
      <c r="P581" s="48"/>
      <c r="Q581" s="48"/>
      <c r="R581" s="47"/>
      <c r="S581" s="26">
        <f t="shared" ref="S581:S644" si="16">A581</f>
        <v>0</v>
      </c>
      <c r="T581" s="26">
        <f>COUNTIF($V$4:V581,V581)</f>
        <v>570</v>
      </c>
      <c r="U581" s="26" t="str">
        <f>IF(T581=1,COUNTIF($T$4:T581,1),"")</f>
        <v/>
      </c>
      <c r="V581" s="27" t="str">
        <f>'施設状況(要更新)'!$E581&amp;'施設状況(要更新)'!$C581</f>
        <v/>
      </c>
      <c r="W581" s="27">
        <f>'施設状況(要更新)'!$F581</f>
        <v>0</v>
      </c>
      <c r="X581" s="28"/>
      <c r="Y581" s="27"/>
    </row>
    <row r="582" spans="1:25" s="10" customFormat="1" ht="11.25">
      <c r="A582" s="46"/>
      <c r="B582" s="51"/>
      <c r="C582" s="47"/>
      <c r="D582" s="47"/>
      <c r="E582" s="47"/>
      <c r="F582" s="48"/>
      <c r="G582" s="48"/>
      <c r="H582" s="48"/>
      <c r="I582" s="48"/>
      <c r="J582" s="48"/>
      <c r="K582" s="48"/>
      <c r="L582" s="48"/>
      <c r="M582" s="48"/>
      <c r="N582" s="48"/>
      <c r="O582" s="48"/>
      <c r="P582" s="48"/>
      <c r="Q582" s="48"/>
      <c r="R582" s="47"/>
      <c r="S582" s="26">
        <f t="shared" si="16"/>
        <v>0</v>
      </c>
      <c r="T582" s="26">
        <f>COUNTIF($V$4:V582,V582)</f>
        <v>571</v>
      </c>
      <c r="U582" s="26" t="str">
        <f>IF(T582=1,COUNTIF($T$4:T582,1),"")</f>
        <v/>
      </c>
      <c r="V582" s="27" t="str">
        <f>'施設状況(要更新)'!$E582&amp;'施設状況(要更新)'!$C582</f>
        <v/>
      </c>
      <c r="W582" s="27">
        <f>'施設状況(要更新)'!$F582</f>
        <v>0</v>
      </c>
      <c r="X582" s="28"/>
      <c r="Y582" s="27"/>
    </row>
    <row r="583" spans="1:25" s="10" customFormat="1" ht="11.25">
      <c r="A583" s="46"/>
      <c r="B583" s="51"/>
      <c r="C583" s="47"/>
      <c r="D583" s="47"/>
      <c r="E583" s="47"/>
      <c r="F583" s="48"/>
      <c r="G583" s="48"/>
      <c r="H583" s="48"/>
      <c r="I583" s="48"/>
      <c r="J583" s="48"/>
      <c r="K583" s="48"/>
      <c r="L583" s="48"/>
      <c r="M583" s="48"/>
      <c r="N583" s="48"/>
      <c r="O583" s="48"/>
      <c r="P583" s="48"/>
      <c r="Q583" s="48"/>
      <c r="R583" s="47"/>
      <c r="S583" s="26">
        <f t="shared" si="16"/>
        <v>0</v>
      </c>
      <c r="T583" s="26">
        <f>COUNTIF($V$4:V583,V583)</f>
        <v>572</v>
      </c>
      <c r="U583" s="26" t="str">
        <f>IF(T583=1,COUNTIF($T$4:T583,1),"")</f>
        <v/>
      </c>
      <c r="V583" s="27" t="str">
        <f>'施設状況(要更新)'!$E583&amp;'施設状況(要更新)'!$C583</f>
        <v/>
      </c>
      <c r="W583" s="27">
        <f>'施設状況(要更新)'!$F583</f>
        <v>0</v>
      </c>
      <c r="X583" s="28"/>
      <c r="Y583" s="27"/>
    </row>
    <row r="584" spans="1:25" s="10" customFormat="1" ht="11.25">
      <c r="A584" s="46"/>
      <c r="B584" s="51"/>
      <c r="C584" s="47"/>
      <c r="D584" s="47"/>
      <c r="E584" s="47"/>
      <c r="F584" s="48"/>
      <c r="G584" s="48"/>
      <c r="H584" s="48"/>
      <c r="I584" s="48"/>
      <c r="J584" s="48"/>
      <c r="K584" s="48"/>
      <c r="L584" s="48"/>
      <c r="M584" s="48"/>
      <c r="N584" s="48"/>
      <c r="O584" s="48"/>
      <c r="P584" s="48"/>
      <c r="Q584" s="48"/>
      <c r="R584" s="47"/>
      <c r="S584" s="26">
        <f t="shared" si="16"/>
        <v>0</v>
      </c>
      <c r="T584" s="26">
        <f>COUNTIF($V$4:V584,V584)</f>
        <v>573</v>
      </c>
      <c r="U584" s="26" t="str">
        <f>IF(T584=1,COUNTIF($T$4:T584,1),"")</f>
        <v/>
      </c>
      <c r="V584" s="27" t="str">
        <f>'施設状況(要更新)'!$E584&amp;'施設状況(要更新)'!$C584</f>
        <v/>
      </c>
      <c r="W584" s="27">
        <f>'施設状況(要更新)'!$F584</f>
        <v>0</v>
      </c>
      <c r="X584" s="28"/>
      <c r="Y584" s="27"/>
    </row>
    <row r="585" spans="1:25" s="10" customFormat="1" ht="11.25">
      <c r="A585" s="46"/>
      <c r="B585" s="51"/>
      <c r="C585" s="47"/>
      <c r="D585" s="47"/>
      <c r="E585" s="47"/>
      <c r="F585" s="48"/>
      <c r="G585" s="48"/>
      <c r="H585" s="48"/>
      <c r="I585" s="48"/>
      <c r="J585" s="48"/>
      <c r="K585" s="48"/>
      <c r="L585" s="48"/>
      <c r="M585" s="48"/>
      <c r="N585" s="48"/>
      <c r="O585" s="48"/>
      <c r="P585" s="48"/>
      <c r="Q585" s="48"/>
      <c r="R585" s="47"/>
      <c r="S585" s="26">
        <f t="shared" si="16"/>
        <v>0</v>
      </c>
      <c r="T585" s="26">
        <f>COUNTIF($V$4:V585,V585)</f>
        <v>574</v>
      </c>
      <c r="U585" s="26" t="str">
        <f>IF(T585=1,COUNTIF($T$4:T585,1),"")</f>
        <v/>
      </c>
      <c r="V585" s="27" t="str">
        <f>'施設状況(要更新)'!$E585&amp;'施設状況(要更新)'!$C585</f>
        <v/>
      </c>
      <c r="W585" s="27">
        <f>'施設状況(要更新)'!$F585</f>
        <v>0</v>
      </c>
      <c r="X585" s="28"/>
      <c r="Y585" s="27"/>
    </row>
    <row r="586" spans="1:25" s="10" customFormat="1" ht="11.25">
      <c r="A586" s="46"/>
      <c r="B586" s="51"/>
      <c r="C586" s="47"/>
      <c r="D586" s="47"/>
      <c r="E586" s="47"/>
      <c r="F586" s="48"/>
      <c r="G586" s="48"/>
      <c r="H586" s="48"/>
      <c r="I586" s="48"/>
      <c r="J586" s="48"/>
      <c r="K586" s="48"/>
      <c r="L586" s="48"/>
      <c r="M586" s="48"/>
      <c r="N586" s="48"/>
      <c r="O586" s="48"/>
      <c r="P586" s="48"/>
      <c r="Q586" s="48"/>
      <c r="R586" s="47"/>
      <c r="S586" s="26">
        <f t="shared" si="16"/>
        <v>0</v>
      </c>
      <c r="T586" s="26">
        <f>COUNTIF($V$4:V586,V586)</f>
        <v>575</v>
      </c>
      <c r="U586" s="26" t="str">
        <f>IF(T586=1,COUNTIF($T$4:T586,1),"")</f>
        <v/>
      </c>
      <c r="V586" s="27" t="str">
        <f>'施設状況(要更新)'!$E586&amp;'施設状況(要更新)'!$C586</f>
        <v/>
      </c>
      <c r="W586" s="27">
        <f>'施設状況(要更新)'!$F586</f>
        <v>0</v>
      </c>
      <c r="X586" s="28"/>
      <c r="Y586" s="27"/>
    </row>
    <row r="587" spans="1:25" s="10" customFormat="1" ht="11.25">
      <c r="A587" s="46"/>
      <c r="B587" s="51"/>
      <c r="C587" s="47"/>
      <c r="D587" s="47"/>
      <c r="E587" s="47"/>
      <c r="F587" s="48"/>
      <c r="G587" s="48"/>
      <c r="H587" s="48"/>
      <c r="I587" s="48"/>
      <c r="J587" s="48"/>
      <c r="K587" s="48"/>
      <c r="L587" s="48"/>
      <c r="M587" s="48"/>
      <c r="N587" s="48"/>
      <c r="O587" s="48"/>
      <c r="P587" s="48"/>
      <c r="Q587" s="48"/>
      <c r="R587" s="47"/>
      <c r="S587" s="26">
        <f t="shared" si="16"/>
        <v>0</v>
      </c>
      <c r="T587" s="26">
        <f>COUNTIF($V$4:V587,V587)</f>
        <v>576</v>
      </c>
      <c r="U587" s="26" t="str">
        <f>IF(T587=1,COUNTIF($T$4:T587,1),"")</f>
        <v/>
      </c>
      <c r="V587" s="27" t="str">
        <f>'施設状況(要更新)'!$E587&amp;'施設状況(要更新)'!$C587</f>
        <v/>
      </c>
      <c r="W587" s="27">
        <f>'施設状況(要更新)'!$F587</f>
        <v>0</v>
      </c>
      <c r="X587" s="28"/>
      <c r="Y587" s="27"/>
    </row>
    <row r="588" spans="1:25" s="10" customFormat="1" ht="11.25">
      <c r="A588" s="46"/>
      <c r="B588" s="51"/>
      <c r="C588" s="47"/>
      <c r="D588" s="47"/>
      <c r="E588" s="47"/>
      <c r="F588" s="48"/>
      <c r="G588" s="48"/>
      <c r="H588" s="48"/>
      <c r="I588" s="48"/>
      <c r="J588" s="48"/>
      <c r="K588" s="48"/>
      <c r="L588" s="48"/>
      <c r="M588" s="48"/>
      <c r="N588" s="48"/>
      <c r="O588" s="48"/>
      <c r="P588" s="48"/>
      <c r="Q588" s="48"/>
      <c r="R588" s="47"/>
      <c r="S588" s="26">
        <f t="shared" si="16"/>
        <v>0</v>
      </c>
      <c r="T588" s="26">
        <f>COUNTIF($V$4:V588,V588)</f>
        <v>577</v>
      </c>
      <c r="U588" s="26" t="str">
        <f>IF(T588=1,COUNTIF($T$4:T588,1),"")</f>
        <v/>
      </c>
      <c r="V588" s="27" t="str">
        <f>'施設状況(要更新)'!$E588&amp;'施設状況(要更新)'!$C588</f>
        <v/>
      </c>
      <c r="W588" s="27">
        <f>'施設状況(要更新)'!$F588</f>
        <v>0</v>
      </c>
      <c r="X588" s="28"/>
      <c r="Y588" s="27"/>
    </row>
    <row r="589" spans="1:25" s="10" customFormat="1" ht="11.25">
      <c r="A589" s="46"/>
      <c r="B589" s="51"/>
      <c r="C589" s="47"/>
      <c r="D589" s="47"/>
      <c r="E589" s="47"/>
      <c r="F589" s="48"/>
      <c r="G589" s="48"/>
      <c r="H589" s="48"/>
      <c r="I589" s="48"/>
      <c r="J589" s="48"/>
      <c r="K589" s="48"/>
      <c r="L589" s="48"/>
      <c r="M589" s="48"/>
      <c r="N589" s="48"/>
      <c r="O589" s="48"/>
      <c r="P589" s="48"/>
      <c r="Q589" s="48"/>
      <c r="R589" s="47"/>
      <c r="S589" s="26">
        <f t="shared" si="16"/>
        <v>0</v>
      </c>
      <c r="T589" s="26">
        <f>COUNTIF($V$4:V589,V589)</f>
        <v>578</v>
      </c>
      <c r="U589" s="26" t="str">
        <f>IF(T589=1,COUNTIF($T$4:T589,1),"")</f>
        <v/>
      </c>
      <c r="V589" s="27" t="str">
        <f>'施設状況(要更新)'!$E589&amp;'施設状況(要更新)'!$C589</f>
        <v/>
      </c>
      <c r="W589" s="27">
        <f>'施設状況(要更新)'!$F589</f>
        <v>0</v>
      </c>
      <c r="X589" s="28"/>
      <c r="Y589" s="27"/>
    </row>
    <row r="590" spans="1:25" s="10" customFormat="1" ht="11.25">
      <c r="A590" s="46"/>
      <c r="B590" s="51"/>
      <c r="C590" s="47"/>
      <c r="D590" s="47"/>
      <c r="E590" s="47"/>
      <c r="F590" s="48"/>
      <c r="G590" s="48"/>
      <c r="H590" s="48"/>
      <c r="I590" s="48"/>
      <c r="J590" s="48"/>
      <c r="K590" s="48"/>
      <c r="L590" s="48"/>
      <c r="M590" s="48"/>
      <c r="N590" s="48"/>
      <c r="O590" s="48"/>
      <c r="P590" s="48"/>
      <c r="Q590" s="48"/>
      <c r="R590" s="47"/>
      <c r="S590" s="26">
        <f t="shared" si="16"/>
        <v>0</v>
      </c>
      <c r="T590" s="26">
        <f>COUNTIF($V$4:V590,V590)</f>
        <v>579</v>
      </c>
      <c r="U590" s="26" t="str">
        <f>IF(T590=1,COUNTIF($T$4:T590,1),"")</f>
        <v/>
      </c>
      <c r="V590" s="27" t="str">
        <f>'施設状況(要更新)'!$E590&amp;'施設状況(要更新)'!$C590</f>
        <v/>
      </c>
      <c r="W590" s="27">
        <f>'施設状況(要更新)'!$F590</f>
        <v>0</v>
      </c>
      <c r="X590" s="28"/>
      <c r="Y590" s="27"/>
    </row>
    <row r="591" spans="1:25" s="10" customFormat="1" ht="11.25">
      <c r="A591" s="46"/>
      <c r="B591" s="51"/>
      <c r="C591" s="47"/>
      <c r="D591" s="47"/>
      <c r="E591" s="47"/>
      <c r="F591" s="48"/>
      <c r="G591" s="48"/>
      <c r="H591" s="48"/>
      <c r="I591" s="48"/>
      <c r="J591" s="48"/>
      <c r="K591" s="48"/>
      <c r="L591" s="48"/>
      <c r="M591" s="48"/>
      <c r="N591" s="48"/>
      <c r="O591" s="48"/>
      <c r="P591" s="48"/>
      <c r="Q591" s="48"/>
      <c r="R591" s="47"/>
      <c r="S591" s="26">
        <f t="shared" si="16"/>
        <v>0</v>
      </c>
      <c r="T591" s="26">
        <f>COUNTIF($V$4:V591,V591)</f>
        <v>580</v>
      </c>
      <c r="U591" s="26" t="str">
        <f>IF(T591=1,COUNTIF($T$4:T591,1),"")</f>
        <v/>
      </c>
      <c r="V591" s="27" t="str">
        <f>'施設状況(要更新)'!$E591&amp;'施設状況(要更新)'!$C591</f>
        <v/>
      </c>
      <c r="W591" s="27">
        <f>'施設状況(要更新)'!$F591</f>
        <v>0</v>
      </c>
      <c r="X591" s="28"/>
      <c r="Y591" s="27"/>
    </row>
    <row r="592" spans="1:25" s="10" customFormat="1" ht="11.25">
      <c r="A592" s="46"/>
      <c r="B592" s="51"/>
      <c r="C592" s="47"/>
      <c r="D592" s="47"/>
      <c r="E592" s="47"/>
      <c r="F592" s="48"/>
      <c r="G592" s="48"/>
      <c r="H592" s="48"/>
      <c r="I592" s="48"/>
      <c r="J592" s="48"/>
      <c r="K592" s="48"/>
      <c r="L592" s="48"/>
      <c r="M592" s="48"/>
      <c r="N592" s="48"/>
      <c r="O592" s="48"/>
      <c r="P592" s="48"/>
      <c r="Q592" s="48"/>
      <c r="R592" s="47"/>
      <c r="S592" s="26">
        <f t="shared" si="16"/>
        <v>0</v>
      </c>
      <c r="T592" s="26">
        <f>COUNTIF($V$4:V592,V592)</f>
        <v>581</v>
      </c>
      <c r="U592" s="26" t="str">
        <f>IF(T592=1,COUNTIF($T$4:T592,1),"")</f>
        <v/>
      </c>
      <c r="V592" s="27" t="str">
        <f>'施設状況(要更新)'!$E592&amp;'施設状況(要更新)'!$C592</f>
        <v/>
      </c>
      <c r="W592" s="27">
        <f>'施設状況(要更新)'!$F592</f>
        <v>0</v>
      </c>
      <c r="X592" s="28"/>
      <c r="Y592" s="27"/>
    </row>
    <row r="593" spans="1:25" s="10" customFormat="1" ht="11.25">
      <c r="A593" s="46"/>
      <c r="B593" s="51"/>
      <c r="C593" s="47"/>
      <c r="D593" s="47"/>
      <c r="E593" s="47"/>
      <c r="F593" s="48"/>
      <c r="G593" s="48"/>
      <c r="H593" s="48"/>
      <c r="I593" s="48"/>
      <c r="J593" s="48"/>
      <c r="K593" s="48"/>
      <c r="L593" s="48"/>
      <c r="M593" s="48"/>
      <c r="N593" s="48"/>
      <c r="O593" s="48"/>
      <c r="P593" s="48"/>
      <c r="Q593" s="48"/>
      <c r="R593" s="47"/>
      <c r="S593" s="26">
        <f t="shared" si="16"/>
        <v>0</v>
      </c>
      <c r="T593" s="26">
        <f>COUNTIF($V$4:V593,V593)</f>
        <v>582</v>
      </c>
      <c r="U593" s="26" t="str">
        <f>IF(T593=1,COUNTIF($T$4:T593,1),"")</f>
        <v/>
      </c>
      <c r="V593" s="27" t="str">
        <f>'施設状況(要更新)'!$E593&amp;'施設状況(要更新)'!$C593</f>
        <v/>
      </c>
      <c r="W593" s="27">
        <f>'施設状況(要更新)'!$F593</f>
        <v>0</v>
      </c>
      <c r="X593" s="28"/>
      <c r="Y593" s="27"/>
    </row>
    <row r="594" spans="1:25" s="10" customFormat="1" ht="11.25">
      <c r="A594" s="46"/>
      <c r="B594" s="51"/>
      <c r="C594" s="47"/>
      <c r="D594" s="47"/>
      <c r="E594" s="47"/>
      <c r="F594" s="48"/>
      <c r="G594" s="48"/>
      <c r="H594" s="48"/>
      <c r="I594" s="48"/>
      <c r="J594" s="48"/>
      <c r="K594" s="48"/>
      <c r="L594" s="48"/>
      <c r="M594" s="48"/>
      <c r="N594" s="48"/>
      <c r="O594" s="48"/>
      <c r="P594" s="48"/>
      <c r="Q594" s="48"/>
      <c r="R594" s="47"/>
      <c r="S594" s="26">
        <f t="shared" si="16"/>
        <v>0</v>
      </c>
      <c r="T594" s="26">
        <f>COUNTIF($V$4:V594,V594)</f>
        <v>583</v>
      </c>
      <c r="U594" s="26" t="str">
        <f>IF(T594=1,COUNTIF($T$4:T594,1),"")</f>
        <v/>
      </c>
      <c r="V594" s="27" t="str">
        <f>'施設状況(要更新)'!$E594&amp;'施設状況(要更新)'!$C594</f>
        <v/>
      </c>
      <c r="W594" s="27">
        <f>'施設状況(要更新)'!$F594</f>
        <v>0</v>
      </c>
      <c r="X594" s="28"/>
      <c r="Y594" s="27"/>
    </row>
    <row r="595" spans="1:25" s="10" customFormat="1" ht="11.25">
      <c r="A595" s="46"/>
      <c r="B595" s="51"/>
      <c r="C595" s="47"/>
      <c r="D595" s="47"/>
      <c r="E595" s="47"/>
      <c r="F595" s="48"/>
      <c r="G595" s="48"/>
      <c r="H595" s="48"/>
      <c r="I595" s="48"/>
      <c r="J595" s="48"/>
      <c r="K595" s="48"/>
      <c r="L595" s="48"/>
      <c r="M595" s="48"/>
      <c r="N595" s="48"/>
      <c r="O595" s="48"/>
      <c r="P595" s="48"/>
      <c r="Q595" s="48"/>
      <c r="R595" s="47"/>
      <c r="S595" s="26">
        <f t="shared" si="16"/>
        <v>0</v>
      </c>
      <c r="T595" s="26">
        <f>COUNTIF($V$4:V595,V595)</f>
        <v>584</v>
      </c>
      <c r="U595" s="26" t="str">
        <f>IF(T595=1,COUNTIF($T$4:T595,1),"")</f>
        <v/>
      </c>
      <c r="V595" s="27" t="str">
        <f>'施設状況(要更新)'!$E595&amp;'施設状況(要更新)'!$C595</f>
        <v/>
      </c>
      <c r="W595" s="27">
        <f>'施設状況(要更新)'!$F595</f>
        <v>0</v>
      </c>
      <c r="X595" s="28"/>
      <c r="Y595" s="27"/>
    </row>
    <row r="596" spans="1:25" s="10" customFormat="1" ht="11.25">
      <c r="A596" s="46"/>
      <c r="B596" s="51"/>
      <c r="C596" s="47"/>
      <c r="D596" s="47"/>
      <c r="E596" s="47"/>
      <c r="F596" s="48"/>
      <c r="G596" s="48"/>
      <c r="H596" s="48"/>
      <c r="I596" s="48"/>
      <c r="J596" s="48"/>
      <c r="K596" s="48"/>
      <c r="L596" s="48"/>
      <c r="M596" s="48"/>
      <c r="N596" s="48"/>
      <c r="O596" s="48"/>
      <c r="P596" s="48"/>
      <c r="Q596" s="48"/>
      <c r="R596" s="47"/>
      <c r="S596" s="26">
        <f t="shared" si="16"/>
        <v>0</v>
      </c>
      <c r="T596" s="26">
        <f>COUNTIF($V$4:V596,V596)</f>
        <v>585</v>
      </c>
      <c r="U596" s="26" t="str">
        <f>IF(T596=1,COUNTIF($T$4:T596,1),"")</f>
        <v/>
      </c>
      <c r="V596" s="27" t="str">
        <f>'施設状況(要更新)'!$E596&amp;'施設状況(要更新)'!$C596</f>
        <v/>
      </c>
      <c r="W596" s="27">
        <f>'施設状況(要更新)'!$F596</f>
        <v>0</v>
      </c>
      <c r="X596" s="28"/>
      <c r="Y596" s="27"/>
    </row>
    <row r="597" spans="1:25" s="10" customFormat="1" ht="11.25">
      <c r="A597" s="46"/>
      <c r="B597" s="51"/>
      <c r="C597" s="47"/>
      <c r="D597" s="47"/>
      <c r="E597" s="47"/>
      <c r="F597" s="48"/>
      <c r="G597" s="48"/>
      <c r="H597" s="48"/>
      <c r="I597" s="48"/>
      <c r="J597" s="48"/>
      <c r="K597" s="48"/>
      <c r="L597" s="48"/>
      <c r="M597" s="48"/>
      <c r="N597" s="48"/>
      <c r="O597" s="48"/>
      <c r="P597" s="48"/>
      <c r="Q597" s="48"/>
      <c r="R597" s="47"/>
      <c r="S597" s="26">
        <f t="shared" si="16"/>
        <v>0</v>
      </c>
      <c r="T597" s="26">
        <f>COUNTIF($V$4:V597,V597)</f>
        <v>586</v>
      </c>
      <c r="U597" s="26" t="str">
        <f>IF(T597=1,COUNTIF($T$4:T597,1),"")</f>
        <v/>
      </c>
      <c r="V597" s="27" t="str">
        <f>'施設状況(要更新)'!$E597&amp;'施設状況(要更新)'!$C597</f>
        <v/>
      </c>
      <c r="W597" s="27">
        <f>'施設状況(要更新)'!$F597</f>
        <v>0</v>
      </c>
      <c r="X597" s="28"/>
      <c r="Y597" s="27"/>
    </row>
    <row r="598" spans="1:25" s="10" customFormat="1" ht="11.25">
      <c r="A598" s="46"/>
      <c r="B598" s="51"/>
      <c r="C598" s="47"/>
      <c r="D598" s="47"/>
      <c r="E598" s="47"/>
      <c r="F598" s="48"/>
      <c r="G598" s="48"/>
      <c r="H598" s="48"/>
      <c r="I598" s="48"/>
      <c r="J598" s="48"/>
      <c r="K598" s="48"/>
      <c r="L598" s="48"/>
      <c r="M598" s="48"/>
      <c r="N598" s="48"/>
      <c r="O598" s="48"/>
      <c r="P598" s="48"/>
      <c r="Q598" s="48"/>
      <c r="R598" s="47"/>
      <c r="S598" s="26">
        <f t="shared" si="16"/>
        <v>0</v>
      </c>
      <c r="T598" s="26">
        <f>COUNTIF($V$4:V598,V598)</f>
        <v>587</v>
      </c>
      <c r="U598" s="26" t="str">
        <f>IF(T598=1,COUNTIF($T$4:T598,1),"")</f>
        <v/>
      </c>
      <c r="V598" s="27" t="str">
        <f>'施設状況(要更新)'!$E598&amp;'施設状況(要更新)'!$C598</f>
        <v/>
      </c>
      <c r="W598" s="27">
        <f>'施設状況(要更新)'!$F598</f>
        <v>0</v>
      </c>
      <c r="X598" s="28"/>
      <c r="Y598" s="27"/>
    </row>
    <row r="599" spans="1:25" s="10" customFormat="1" ht="11.25">
      <c r="A599" s="46"/>
      <c r="B599" s="51"/>
      <c r="C599" s="47"/>
      <c r="D599" s="47"/>
      <c r="E599" s="47"/>
      <c r="F599" s="48"/>
      <c r="G599" s="48"/>
      <c r="H599" s="48"/>
      <c r="I599" s="48"/>
      <c r="J599" s="48"/>
      <c r="K599" s="48"/>
      <c r="L599" s="48"/>
      <c r="M599" s="48"/>
      <c r="N599" s="48"/>
      <c r="O599" s="48"/>
      <c r="P599" s="48"/>
      <c r="Q599" s="48"/>
      <c r="R599" s="47"/>
      <c r="S599" s="26">
        <f t="shared" si="16"/>
        <v>0</v>
      </c>
      <c r="T599" s="26">
        <f>COUNTIF($V$4:V599,V599)</f>
        <v>588</v>
      </c>
      <c r="U599" s="26" t="str">
        <f>IF(T599=1,COUNTIF($T$4:T599,1),"")</f>
        <v/>
      </c>
      <c r="V599" s="27" t="str">
        <f>'施設状況(要更新)'!$E599&amp;'施設状況(要更新)'!$C599</f>
        <v/>
      </c>
      <c r="W599" s="27">
        <f>'施設状況(要更新)'!$F599</f>
        <v>0</v>
      </c>
      <c r="X599" s="28"/>
      <c r="Y599" s="27"/>
    </row>
    <row r="600" spans="1:25" s="10" customFormat="1" ht="11.25">
      <c r="A600" s="46"/>
      <c r="B600" s="51"/>
      <c r="C600" s="47"/>
      <c r="D600" s="47"/>
      <c r="E600" s="47"/>
      <c r="F600" s="48"/>
      <c r="G600" s="48"/>
      <c r="H600" s="48"/>
      <c r="I600" s="48"/>
      <c r="J600" s="48"/>
      <c r="K600" s="48"/>
      <c r="L600" s="48"/>
      <c r="M600" s="48"/>
      <c r="N600" s="48"/>
      <c r="O600" s="48"/>
      <c r="P600" s="48"/>
      <c r="Q600" s="48"/>
      <c r="R600" s="47"/>
      <c r="S600" s="26">
        <f t="shared" si="16"/>
        <v>0</v>
      </c>
      <c r="T600" s="26">
        <f>COUNTIF($V$4:V600,V600)</f>
        <v>589</v>
      </c>
      <c r="U600" s="26" t="str">
        <f>IF(T600=1,COUNTIF($T$4:T600,1),"")</f>
        <v/>
      </c>
      <c r="V600" s="27" t="str">
        <f>'施設状況(要更新)'!$E600&amp;'施設状況(要更新)'!$C600</f>
        <v/>
      </c>
      <c r="W600" s="27">
        <f>'施設状況(要更新)'!$F600</f>
        <v>0</v>
      </c>
      <c r="X600" s="28"/>
      <c r="Y600" s="27"/>
    </row>
    <row r="601" spans="1:25" s="10" customFormat="1" ht="11.25">
      <c r="A601" s="46"/>
      <c r="B601" s="51"/>
      <c r="C601" s="47"/>
      <c r="D601" s="47"/>
      <c r="E601" s="47"/>
      <c r="F601" s="48"/>
      <c r="G601" s="48"/>
      <c r="H601" s="48"/>
      <c r="I601" s="48"/>
      <c r="J601" s="48"/>
      <c r="K601" s="48"/>
      <c r="L601" s="48"/>
      <c r="M601" s="48"/>
      <c r="N601" s="48"/>
      <c r="O601" s="48"/>
      <c r="P601" s="48"/>
      <c r="Q601" s="48"/>
      <c r="R601" s="47"/>
      <c r="S601" s="26">
        <f t="shared" si="16"/>
        <v>0</v>
      </c>
      <c r="T601" s="26">
        <f>COUNTIF($V$4:V601,V601)</f>
        <v>590</v>
      </c>
      <c r="U601" s="26" t="str">
        <f>IF(T601=1,COUNTIF($T$4:T601,1),"")</f>
        <v/>
      </c>
      <c r="V601" s="27" t="str">
        <f>'施設状況(要更新)'!$E601&amp;'施設状況(要更新)'!$C601</f>
        <v/>
      </c>
      <c r="W601" s="27">
        <f>'施設状況(要更新)'!$F601</f>
        <v>0</v>
      </c>
      <c r="X601" s="28"/>
      <c r="Y601" s="27"/>
    </row>
    <row r="602" spans="1:25" s="10" customFormat="1" ht="11.25">
      <c r="A602" s="46"/>
      <c r="B602" s="51"/>
      <c r="C602" s="47"/>
      <c r="D602" s="47"/>
      <c r="E602" s="47"/>
      <c r="F602" s="48"/>
      <c r="G602" s="48"/>
      <c r="H602" s="48"/>
      <c r="I602" s="48"/>
      <c r="J602" s="48"/>
      <c r="K602" s="48"/>
      <c r="L602" s="48"/>
      <c r="M602" s="48"/>
      <c r="N602" s="48"/>
      <c r="O602" s="48"/>
      <c r="P602" s="48"/>
      <c r="Q602" s="48"/>
      <c r="R602" s="47"/>
      <c r="S602" s="26">
        <f t="shared" si="16"/>
        <v>0</v>
      </c>
      <c r="T602" s="26">
        <f>COUNTIF($V$4:V602,V602)</f>
        <v>591</v>
      </c>
      <c r="U602" s="26" t="str">
        <f>IF(T602=1,COUNTIF($T$4:T602,1),"")</f>
        <v/>
      </c>
      <c r="V602" s="27" t="str">
        <f>'施設状況(要更新)'!$E602&amp;'施設状況(要更新)'!$C602</f>
        <v/>
      </c>
      <c r="W602" s="27">
        <f>'施設状況(要更新)'!$F602</f>
        <v>0</v>
      </c>
      <c r="X602" s="28"/>
    </row>
    <row r="603" spans="1:25">
      <c r="A603" s="46"/>
      <c r="B603" s="51"/>
      <c r="C603" s="47"/>
      <c r="D603" s="47"/>
      <c r="E603" s="47"/>
      <c r="F603" s="48"/>
      <c r="G603" s="48"/>
      <c r="H603" s="48"/>
      <c r="I603" s="48"/>
      <c r="J603" s="48"/>
      <c r="K603" s="48"/>
      <c r="L603" s="48"/>
      <c r="M603" s="48"/>
      <c r="N603" s="48"/>
      <c r="O603" s="48"/>
      <c r="P603" s="48"/>
      <c r="Q603" s="48"/>
      <c r="R603" s="47"/>
      <c r="S603" s="26">
        <f t="shared" si="16"/>
        <v>0</v>
      </c>
      <c r="T603" s="26">
        <f>COUNTIF($V$4:V603,V603)</f>
        <v>592</v>
      </c>
      <c r="U603" s="26" t="str">
        <f>IF(T603=1,COUNTIF($T$4:T603,1),"")</f>
        <v/>
      </c>
      <c r="V603" s="27" t="str">
        <f>'施設状況(要更新)'!$E603&amp;'施設状況(要更新)'!$C603</f>
        <v/>
      </c>
      <c r="W603" s="27">
        <f>'施設状況(要更新)'!$F603</f>
        <v>0</v>
      </c>
      <c r="X603" s="28"/>
    </row>
    <row r="604" spans="1:25">
      <c r="A604" s="46"/>
      <c r="B604" s="51"/>
      <c r="C604" s="47"/>
      <c r="D604" s="47"/>
      <c r="E604" s="47"/>
      <c r="F604" s="48"/>
      <c r="G604" s="48"/>
      <c r="H604" s="48"/>
      <c r="I604" s="48"/>
      <c r="J604" s="48"/>
      <c r="K604" s="48"/>
      <c r="L604" s="48"/>
      <c r="M604" s="48"/>
      <c r="N604" s="48"/>
      <c r="O604" s="48"/>
      <c r="P604" s="48"/>
      <c r="Q604" s="48"/>
      <c r="R604" s="47"/>
      <c r="S604" s="26">
        <f t="shared" si="16"/>
        <v>0</v>
      </c>
      <c r="T604" s="26">
        <f>COUNTIF($V$4:V604,V604)</f>
        <v>593</v>
      </c>
      <c r="U604" s="26" t="str">
        <f>IF(T604=1,COUNTIF($T$4:T604,1),"")</f>
        <v/>
      </c>
      <c r="V604" s="27" t="str">
        <f>'施設状況(要更新)'!$E604&amp;'施設状況(要更新)'!$C604</f>
        <v/>
      </c>
      <c r="W604" s="27">
        <f>'施設状況(要更新)'!$F604</f>
        <v>0</v>
      </c>
      <c r="X604" s="28"/>
    </row>
    <row r="605" spans="1:25">
      <c r="A605" s="46"/>
      <c r="B605" s="51"/>
      <c r="C605" s="47"/>
      <c r="D605" s="47"/>
      <c r="E605" s="47"/>
      <c r="F605" s="48"/>
      <c r="G605" s="48"/>
      <c r="H605" s="48"/>
      <c r="I605" s="48"/>
      <c r="J605" s="48"/>
      <c r="K605" s="48"/>
      <c r="L605" s="48"/>
      <c r="M605" s="48"/>
      <c r="N605" s="48"/>
      <c r="O605" s="48"/>
      <c r="P605" s="48"/>
      <c r="Q605" s="48"/>
      <c r="R605" s="47"/>
      <c r="S605" s="26">
        <f t="shared" si="16"/>
        <v>0</v>
      </c>
      <c r="T605" s="26">
        <f>COUNTIF($V$4:V605,V605)</f>
        <v>594</v>
      </c>
      <c r="U605" s="26" t="str">
        <f>IF(T605=1,COUNTIF($T$4:T605,1),"")</f>
        <v/>
      </c>
      <c r="V605" s="27" t="str">
        <f>'施設状況(要更新)'!$E605&amp;'施設状況(要更新)'!$C605</f>
        <v/>
      </c>
      <c r="W605" s="27">
        <f>'施設状況(要更新)'!$F605</f>
        <v>0</v>
      </c>
      <c r="X605" s="28"/>
    </row>
    <row r="606" spans="1:25">
      <c r="A606" s="46"/>
      <c r="B606" s="51"/>
      <c r="C606" s="47"/>
      <c r="D606" s="47"/>
      <c r="E606" s="47"/>
      <c r="F606" s="48"/>
      <c r="G606" s="48"/>
      <c r="H606" s="48"/>
      <c r="I606" s="48"/>
      <c r="J606" s="48"/>
      <c r="K606" s="48"/>
      <c r="L606" s="48"/>
      <c r="M606" s="48"/>
      <c r="N606" s="48"/>
      <c r="O606" s="48"/>
      <c r="P606" s="48"/>
      <c r="Q606" s="48"/>
      <c r="R606" s="47"/>
      <c r="S606" s="26">
        <f t="shared" si="16"/>
        <v>0</v>
      </c>
      <c r="T606" s="26">
        <f>COUNTIF($V$4:V606,V606)</f>
        <v>595</v>
      </c>
      <c r="U606" s="26" t="str">
        <f>IF(T606=1,COUNTIF($T$4:T606,1),"")</f>
        <v/>
      </c>
      <c r="V606" s="27" t="str">
        <f>'施設状況(要更新)'!$E606&amp;'施設状況(要更新)'!$C606</f>
        <v/>
      </c>
      <c r="W606" s="27">
        <f>'施設状況(要更新)'!$F606</f>
        <v>0</v>
      </c>
      <c r="X606" s="28"/>
    </row>
    <row r="607" spans="1:25">
      <c r="A607" s="46"/>
      <c r="B607" s="51"/>
      <c r="C607" s="47"/>
      <c r="D607" s="47"/>
      <c r="E607" s="47"/>
      <c r="F607" s="48"/>
      <c r="G607" s="48"/>
      <c r="H607" s="48"/>
      <c r="I607" s="48"/>
      <c r="J607" s="48"/>
      <c r="K607" s="48"/>
      <c r="L607" s="48"/>
      <c r="M607" s="48"/>
      <c r="N607" s="48"/>
      <c r="O607" s="48"/>
      <c r="P607" s="48"/>
      <c r="Q607" s="48"/>
      <c r="R607" s="47"/>
      <c r="S607" s="26">
        <f t="shared" si="16"/>
        <v>0</v>
      </c>
      <c r="T607" s="26">
        <f>COUNTIF($V$4:V607,V607)</f>
        <v>596</v>
      </c>
      <c r="U607" s="26" t="str">
        <f>IF(T607=1,COUNTIF($T$4:T607,1),"")</f>
        <v/>
      </c>
      <c r="V607" s="27" t="str">
        <f>'施設状況(要更新)'!$E607&amp;'施設状況(要更新)'!$C607</f>
        <v/>
      </c>
      <c r="W607" s="27">
        <f>'施設状況(要更新)'!$F607</f>
        <v>0</v>
      </c>
      <c r="X607" s="28"/>
    </row>
    <row r="608" spans="1:25">
      <c r="A608" s="46"/>
      <c r="B608" s="51"/>
      <c r="C608" s="47"/>
      <c r="D608" s="47"/>
      <c r="E608" s="47"/>
      <c r="F608" s="48"/>
      <c r="G608" s="48"/>
      <c r="H608" s="48"/>
      <c r="I608" s="48"/>
      <c r="J608" s="48"/>
      <c r="K608" s="48"/>
      <c r="L608" s="48"/>
      <c r="M608" s="48"/>
      <c r="N608" s="48"/>
      <c r="O608" s="48"/>
      <c r="P608" s="48"/>
      <c r="Q608" s="48"/>
      <c r="R608" s="47"/>
      <c r="S608" s="26">
        <f t="shared" si="16"/>
        <v>0</v>
      </c>
      <c r="T608" s="26">
        <f>COUNTIF($V$4:V608,V608)</f>
        <v>597</v>
      </c>
      <c r="U608" s="26" t="str">
        <f>IF(T608=1,COUNTIF($T$4:T608,1),"")</f>
        <v/>
      </c>
      <c r="V608" s="27" t="str">
        <f>'施設状況(要更新)'!$E608&amp;'施設状況(要更新)'!$C608</f>
        <v/>
      </c>
      <c r="W608" s="27">
        <f>'施設状況(要更新)'!$F608</f>
        <v>0</v>
      </c>
      <c r="X608" s="28"/>
    </row>
    <row r="609" spans="1:24">
      <c r="A609" s="46"/>
      <c r="B609" s="51"/>
      <c r="C609" s="47"/>
      <c r="D609" s="47"/>
      <c r="E609" s="47"/>
      <c r="F609" s="48"/>
      <c r="G609" s="48"/>
      <c r="H609" s="48"/>
      <c r="I609" s="48"/>
      <c r="J609" s="48"/>
      <c r="K609" s="48"/>
      <c r="L609" s="48"/>
      <c r="M609" s="48"/>
      <c r="N609" s="48"/>
      <c r="O609" s="48"/>
      <c r="P609" s="48"/>
      <c r="Q609" s="48"/>
      <c r="R609" s="47"/>
      <c r="S609" s="26">
        <f t="shared" si="16"/>
        <v>0</v>
      </c>
      <c r="T609" s="26">
        <f>COUNTIF($V$4:V609,V609)</f>
        <v>598</v>
      </c>
      <c r="U609" s="26" t="str">
        <f>IF(T609=1,COUNTIF($T$4:T609,1),"")</f>
        <v/>
      </c>
      <c r="V609" s="27" t="str">
        <f>'施設状況(要更新)'!$E609&amp;'施設状況(要更新)'!$C609</f>
        <v/>
      </c>
      <c r="W609" s="27">
        <f>'施設状況(要更新)'!$F609</f>
        <v>0</v>
      </c>
      <c r="X609" s="28"/>
    </row>
    <row r="610" spans="1:24">
      <c r="A610" s="46"/>
      <c r="B610" s="51"/>
      <c r="C610" s="47"/>
      <c r="D610" s="47"/>
      <c r="E610" s="47"/>
      <c r="F610" s="48"/>
      <c r="G610" s="48"/>
      <c r="H610" s="48"/>
      <c r="I610" s="48"/>
      <c r="J610" s="48"/>
      <c r="K610" s="48"/>
      <c r="L610" s="48"/>
      <c r="M610" s="48"/>
      <c r="N610" s="48"/>
      <c r="O610" s="48"/>
      <c r="P610" s="48"/>
      <c r="Q610" s="48"/>
      <c r="R610" s="47"/>
      <c r="S610" s="26">
        <f t="shared" si="16"/>
        <v>0</v>
      </c>
      <c r="T610" s="26">
        <f>COUNTIF($V$4:V610,V610)</f>
        <v>599</v>
      </c>
      <c r="U610" s="26" t="str">
        <f>IF(T610=1,COUNTIF($T$4:T610,1),"")</f>
        <v/>
      </c>
      <c r="V610" s="27" t="str">
        <f>'施設状況(要更新)'!$E610&amp;'施設状況(要更新)'!$C610</f>
        <v/>
      </c>
      <c r="W610" s="27">
        <f>'施設状況(要更新)'!$F610</f>
        <v>0</v>
      </c>
      <c r="X610" s="28"/>
    </row>
    <row r="611" spans="1:24">
      <c r="A611" s="46"/>
      <c r="B611" s="51"/>
      <c r="C611" s="47"/>
      <c r="D611" s="47"/>
      <c r="E611" s="47"/>
      <c r="F611" s="48"/>
      <c r="G611" s="48"/>
      <c r="H611" s="48"/>
      <c r="I611" s="48"/>
      <c r="J611" s="48"/>
      <c r="K611" s="48"/>
      <c r="L611" s="48"/>
      <c r="M611" s="48"/>
      <c r="N611" s="48"/>
      <c r="O611" s="48"/>
      <c r="P611" s="48"/>
      <c r="Q611" s="48"/>
      <c r="R611" s="47"/>
      <c r="S611" s="26">
        <f t="shared" si="16"/>
        <v>0</v>
      </c>
      <c r="T611" s="26">
        <f>COUNTIF($V$4:V611,V611)</f>
        <v>600</v>
      </c>
      <c r="U611" s="26" t="str">
        <f>IF(T611=1,COUNTIF($T$4:T611,1),"")</f>
        <v/>
      </c>
      <c r="V611" s="27" t="str">
        <f>'施設状況(要更新)'!$E611&amp;'施設状況(要更新)'!$C611</f>
        <v/>
      </c>
      <c r="W611" s="27">
        <f>'施設状況(要更新)'!$F611</f>
        <v>0</v>
      </c>
      <c r="X611" s="28"/>
    </row>
    <row r="612" spans="1:24">
      <c r="A612" s="46"/>
      <c r="B612" s="51"/>
      <c r="C612" s="47"/>
      <c r="D612" s="47"/>
      <c r="E612" s="47"/>
      <c r="F612" s="48"/>
      <c r="G612" s="48"/>
      <c r="H612" s="48"/>
      <c r="I612" s="48"/>
      <c r="J612" s="48"/>
      <c r="K612" s="48"/>
      <c r="L612" s="48"/>
      <c r="M612" s="48"/>
      <c r="N612" s="48"/>
      <c r="O612" s="48"/>
      <c r="P612" s="48"/>
      <c r="Q612" s="48"/>
      <c r="R612" s="47"/>
      <c r="S612" s="26">
        <f t="shared" si="16"/>
        <v>0</v>
      </c>
      <c r="T612" s="26">
        <f>COUNTIF($V$4:V612,V612)</f>
        <v>601</v>
      </c>
      <c r="U612" s="26" t="str">
        <f>IF(T612=1,COUNTIF($T$4:T612,1),"")</f>
        <v/>
      </c>
      <c r="V612" s="27" t="str">
        <f>'施設状況(要更新)'!$E612&amp;'施設状況(要更新)'!$C612</f>
        <v/>
      </c>
      <c r="W612" s="27">
        <f>'施設状況(要更新)'!$F612</f>
        <v>0</v>
      </c>
      <c r="X612" s="28"/>
    </row>
    <row r="613" spans="1:24">
      <c r="A613" s="46"/>
      <c r="B613" s="51"/>
      <c r="C613" s="47"/>
      <c r="D613" s="47"/>
      <c r="E613" s="47"/>
      <c r="F613" s="48"/>
      <c r="G613" s="48"/>
      <c r="H613" s="48"/>
      <c r="I613" s="48"/>
      <c r="J613" s="48"/>
      <c r="K613" s="48"/>
      <c r="L613" s="48"/>
      <c r="M613" s="48"/>
      <c r="N613" s="48"/>
      <c r="O613" s="48"/>
      <c r="P613" s="48"/>
      <c r="Q613" s="48"/>
      <c r="R613" s="47"/>
      <c r="S613" s="26">
        <f t="shared" si="16"/>
        <v>0</v>
      </c>
      <c r="T613" s="26">
        <f>COUNTIF($V$4:V613,V613)</f>
        <v>602</v>
      </c>
      <c r="U613" s="26" t="str">
        <f>IF(T613=1,COUNTIF($T$4:T613,1),"")</f>
        <v/>
      </c>
      <c r="V613" s="27" t="str">
        <f>'施設状況(要更新)'!$E613&amp;'施設状況(要更新)'!$C613</f>
        <v/>
      </c>
      <c r="W613" s="27">
        <f>'施設状況(要更新)'!$F613</f>
        <v>0</v>
      </c>
      <c r="X613" s="28"/>
    </row>
    <row r="614" spans="1:24">
      <c r="A614" s="46"/>
      <c r="B614" s="51"/>
      <c r="C614" s="47"/>
      <c r="D614" s="47"/>
      <c r="E614" s="47"/>
      <c r="F614" s="48"/>
      <c r="G614" s="48"/>
      <c r="H614" s="48"/>
      <c r="I614" s="48"/>
      <c r="J614" s="48"/>
      <c r="K614" s="48"/>
      <c r="L614" s="48"/>
      <c r="M614" s="48"/>
      <c r="N614" s="48"/>
      <c r="O614" s="48"/>
      <c r="P614" s="48"/>
      <c r="Q614" s="48"/>
      <c r="R614" s="47"/>
      <c r="S614" s="26">
        <f t="shared" si="16"/>
        <v>0</v>
      </c>
      <c r="T614" s="26">
        <f>COUNTIF($V$4:V614,V614)</f>
        <v>603</v>
      </c>
      <c r="U614" s="26" t="str">
        <f>IF(T614=1,COUNTIF($T$4:T614,1),"")</f>
        <v/>
      </c>
      <c r="V614" s="27" t="str">
        <f>'施設状況(要更新)'!$E614&amp;'施設状況(要更新)'!$C614</f>
        <v/>
      </c>
      <c r="W614" s="27">
        <f>'施設状況(要更新)'!$F614</f>
        <v>0</v>
      </c>
      <c r="X614" s="28"/>
    </row>
    <row r="615" spans="1:24">
      <c r="A615" s="46"/>
      <c r="B615" s="51"/>
      <c r="C615" s="47"/>
      <c r="D615" s="47"/>
      <c r="E615" s="47"/>
      <c r="F615" s="48"/>
      <c r="G615" s="48"/>
      <c r="H615" s="48"/>
      <c r="I615" s="48"/>
      <c r="J615" s="48"/>
      <c r="K615" s="48"/>
      <c r="L615" s="48"/>
      <c r="M615" s="48"/>
      <c r="N615" s="48"/>
      <c r="O615" s="48"/>
      <c r="P615" s="48"/>
      <c r="Q615" s="48"/>
      <c r="R615" s="47"/>
      <c r="S615" s="26">
        <f t="shared" si="16"/>
        <v>0</v>
      </c>
      <c r="T615" s="26">
        <f>COUNTIF($V$4:V615,V615)</f>
        <v>604</v>
      </c>
      <c r="U615" s="26" t="str">
        <f>IF(T615=1,COUNTIF($T$4:T615,1),"")</f>
        <v/>
      </c>
      <c r="V615" s="27" t="str">
        <f>'施設状況(要更新)'!$E615&amp;'施設状況(要更新)'!$C615</f>
        <v/>
      </c>
      <c r="W615" s="27">
        <f>'施設状況(要更新)'!$F615</f>
        <v>0</v>
      </c>
      <c r="X615" s="28"/>
    </row>
    <row r="616" spans="1:24">
      <c r="A616" s="46"/>
      <c r="B616" s="51"/>
      <c r="C616" s="47"/>
      <c r="D616" s="47"/>
      <c r="E616" s="47"/>
      <c r="F616" s="48"/>
      <c r="G616" s="48"/>
      <c r="H616" s="48"/>
      <c r="I616" s="48"/>
      <c r="J616" s="48"/>
      <c r="K616" s="48"/>
      <c r="L616" s="48"/>
      <c r="M616" s="48"/>
      <c r="N616" s="48"/>
      <c r="O616" s="48"/>
      <c r="P616" s="48"/>
      <c r="Q616" s="48"/>
      <c r="R616" s="47"/>
      <c r="S616" s="26">
        <f t="shared" si="16"/>
        <v>0</v>
      </c>
      <c r="T616" s="26">
        <f>COUNTIF($V$4:V616,V616)</f>
        <v>605</v>
      </c>
      <c r="U616" s="26" t="str">
        <f>IF(T616=1,COUNTIF($T$4:T616,1),"")</f>
        <v/>
      </c>
      <c r="V616" s="27" t="str">
        <f>'施設状況(要更新)'!$E616&amp;'施設状況(要更新)'!$C616</f>
        <v/>
      </c>
      <c r="W616" s="27">
        <f>'施設状況(要更新)'!$F616</f>
        <v>0</v>
      </c>
      <c r="X616" s="28"/>
    </row>
    <row r="617" spans="1:24">
      <c r="A617" s="46"/>
      <c r="B617" s="51"/>
      <c r="C617" s="47"/>
      <c r="D617" s="47"/>
      <c r="E617" s="47"/>
      <c r="F617" s="48"/>
      <c r="G617" s="48"/>
      <c r="H617" s="48"/>
      <c r="I617" s="48"/>
      <c r="J617" s="48"/>
      <c r="K617" s="48"/>
      <c r="L617" s="48"/>
      <c r="M617" s="48"/>
      <c r="N617" s="48"/>
      <c r="O617" s="48"/>
      <c r="P617" s="48"/>
      <c r="Q617" s="48"/>
      <c r="R617" s="47"/>
      <c r="S617" s="26">
        <f t="shared" si="16"/>
        <v>0</v>
      </c>
      <c r="T617" s="26">
        <f>COUNTIF($V$4:V617,V617)</f>
        <v>606</v>
      </c>
      <c r="U617" s="26" t="str">
        <f>IF(T617=1,COUNTIF($T$4:T617,1),"")</f>
        <v/>
      </c>
      <c r="V617" s="27" t="str">
        <f>'施設状況(要更新)'!$E617&amp;'施設状況(要更新)'!$C617</f>
        <v/>
      </c>
      <c r="W617" s="27">
        <f>'施設状況(要更新)'!$F617</f>
        <v>0</v>
      </c>
      <c r="X617" s="28"/>
    </row>
    <row r="618" spans="1:24">
      <c r="A618" s="46"/>
      <c r="B618" s="51"/>
      <c r="C618" s="47"/>
      <c r="D618" s="47"/>
      <c r="E618" s="47"/>
      <c r="F618" s="48"/>
      <c r="G618" s="48"/>
      <c r="H618" s="48"/>
      <c r="I618" s="48"/>
      <c r="J618" s="48"/>
      <c r="K618" s="48"/>
      <c r="L618" s="48"/>
      <c r="M618" s="48"/>
      <c r="N618" s="48"/>
      <c r="O618" s="48"/>
      <c r="P618" s="48"/>
      <c r="Q618" s="48"/>
      <c r="R618" s="47"/>
      <c r="S618" s="26">
        <f t="shared" si="16"/>
        <v>0</v>
      </c>
      <c r="T618" s="26">
        <f>COUNTIF($V$4:V618,V618)</f>
        <v>607</v>
      </c>
      <c r="U618" s="26" t="str">
        <f>IF(T618=1,COUNTIF($T$4:T618,1),"")</f>
        <v/>
      </c>
      <c r="V618" s="27" t="str">
        <f>'施設状況(要更新)'!$E618&amp;'施設状況(要更新)'!$C618</f>
        <v/>
      </c>
      <c r="W618" s="27">
        <f>'施設状況(要更新)'!$F618</f>
        <v>0</v>
      </c>
      <c r="X618" s="28"/>
    </row>
    <row r="619" spans="1:24">
      <c r="A619" s="46"/>
      <c r="B619" s="51"/>
      <c r="C619" s="47"/>
      <c r="D619" s="47"/>
      <c r="E619" s="47"/>
      <c r="F619" s="48"/>
      <c r="G619" s="48"/>
      <c r="H619" s="48"/>
      <c r="I619" s="48"/>
      <c r="J619" s="48"/>
      <c r="K619" s="48"/>
      <c r="L619" s="48"/>
      <c r="M619" s="48"/>
      <c r="N619" s="48"/>
      <c r="O619" s="48"/>
      <c r="P619" s="48"/>
      <c r="Q619" s="48"/>
      <c r="R619" s="47"/>
      <c r="S619" s="26">
        <f t="shared" si="16"/>
        <v>0</v>
      </c>
      <c r="T619" s="26">
        <f>COUNTIF($V$4:V619,V619)</f>
        <v>608</v>
      </c>
      <c r="U619" s="26" t="str">
        <f>IF(T619=1,COUNTIF($T$4:T619,1),"")</f>
        <v/>
      </c>
      <c r="V619" s="27" t="str">
        <f>'施設状況(要更新)'!$E619&amp;'施設状況(要更新)'!$C619</f>
        <v/>
      </c>
      <c r="W619" s="27">
        <f>'施設状況(要更新)'!$F619</f>
        <v>0</v>
      </c>
      <c r="X619" s="28"/>
    </row>
    <row r="620" spans="1:24">
      <c r="A620" s="46"/>
      <c r="B620" s="51"/>
      <c r="C620" s="47"/>
      <c r="D620" s="47"/>
      <c r="E620" s="47"/>
      <c r="F620" s="48"/>
      <c r="G620" s="48"/>
      <c r="H620" s="48"/>
      <c r="I620" s="48"/>
      <c r="J620" s="48"/>
      <c r="K620" s="48"/>
      <c r="L620" s="48"/>
      <c r="M620" s="48"/>
      <c r="N620" s="48"/>
      <c r="O620" s="48"/>
      <c r="P620" s="48"/>
      <c r="Q620" s="48"/>
      <c r="R620" s="47"/>
      <c r="S620" s="26">
        <f t="shared" si="16"/>
        <v>0</v>
      </c>
      <c r="T620" s="26">
        <f>COUNTIF($V$4:V620,V620)</f>
        <v>609</v>
      </c>
      <c r="U620" s="26" t="str">
        <f>IF(T620=1,COUNTIF($T$4:T620,1),"")</f>
        <v/>
      </c>
      <c r="V620" s="27" t="str">
        <f>'施設状況(要更新)'!$E620&amp;'施設状況(要更新)'!$C620</f>
        <v/>
      </c>
      <c r="W620" s="27">
        <f>'施設状況(要更新)'!$F620</f>
        <v>0</v>
      </c>
      <c r="X620" s="28"/>
    </row>
    <row r="621" spans="1:24">
      <c r="A621" s="46"/>
      <c r="B621" s="51"/>
      <c r="C621" s="47"/>
      <c r="D621" s="47"/>
      <c r="E621" s="47"/>
      <c r="F621" s="48"/>
      <c r="G621" s="48"/>
      <c r="H621" s="48"/>
      <c r="I621" s="48"/>
      <c r="J621" s="48"/>
      <c r="K621" s="48"/>
      <c r="L621" s="48"/>
      <c r="M621" s="48"/>
      <c r="N621" s="48"/>
      <c r="O621" s="48"/>
      <c r="P621" s="48"/>
      <c r="Q621" s="48"/>
      <c r="R621" s="47"/>
      <c r="S621" s="26">
        <f t="shared" si="16"/>
        <v>0</v>
      </c>
      <c r="T621" s="26">
        <f>COUNTIF($V$4:V621,V621)</f>
        <v>610</v>
      </c>
      <c r="U621" s="26" t="str">
        <f>IF(T621=1,COUNTIF($T$4:T621,1),"")</f>
        <v/>
      </c>
      <c r="V621" s="27" t="str">
        <f>'施設状況(要更新)'!$E621&amp;'施設状況(要更新)'!$C621</f>
        <v/>
      </c>
      <c r="W621" s="27">
        <f>'施設状況(要更新)'!$F621</f>
        <v>0</v>
      </c>
      <c r="X621" s="28"/>
    </row>
    <row r="622" spans="1:24">
      <c r="A622" s="46"/>
      <c r="B622" s="51"/>
      <c r="C622" s="47"/>
      <c r="D622" s="47"/>
      <c r="E622" s="47"/>
      <c r="F622" s="48"/>
      <c r="G622" s="48"/>
      <c r="H622" s="48"/>
      <c r="I622" s="48"/>
      <c r="J622" s="48"/>
      <c r="K622" s="48"/>
      <c r="L622" s="48"/>
      <c r="M622" s="48"/>
      <c r="N622" s="48"/>
      <c r="O622" s="48"/>
      <c r="P622" s="48"/>
      <c r="Q622" s="48"/>
      <c r="R622" s="47"/>
      <c r="S622" s="26">
        <f t="shared" si="16"/>
        <v>0</v>
      </c>
      <c r="T622" s="26">
        <f>COUNTIF($V$4:V622,V622)</f>
        <v>611</v>
      </c>
      <c r="U622" s="26" t="str">
        <f>IF(T622=1,COUNTIF($T$4:T622,1),"")</f>
        <v/>
      </c>
      <c r="V622" s="27" t="str">
        <f>'施設状況(要更新)'!$E622&amp;'施設状況(要更新)'!$C622</f>
        <v/>
      </c>
      <c r="W622" s="27">
        <f>'施設状況(要更新)'!$F622</f>
        <v>0</v>
      </c>
      <c r="X622" s="28"/>
    </row>
    <row r="623" spans="1:24">
      <c r="A623" s="46"/>
      <c r="B623" s="51"/>
      <c r="C623" s="47"/>
      <c r="D623" s="47"/>
      <c r="E623" s="47"/>
      <c r="F623" s="48"/>
      <c r="G623" s="48"/>
      <c r="H623" s="48"/>
      <c r="I623" s="48"/>
      <c r="J623" s="48"/>
      <c r="K623" s="48"/>
      <c r="L623" s="48"/>
      <c r="M623" s="48"/>
      <c r="N623" s="48"/>
      <c r="O623" s="48"/>
      <c r="P623" s="48"/>
      <c r="Q623" s="48"/>
      <c r="R623" s="47"/>
      <c r="S623" s="26">
        <f t="shared" si="16"/>
        <v>0</v>
      </c>
      <c r="T623" s="26">
        <f>COUNTIF($V$4:V623,V623)</f>
        <v>612</v>
      </c>
      <c r="U623" s="26" t="str">
        <f>IF(T623=1,COUNTIF($T$4:T623,1),"")</f>
        <v/>
      </c>
      <c r="V623" s="27" t="str">
        <f>'施設状況(要更新)'!$E623&amp;'施設状況(要更新)'!$C623</f>
        <v/>
      </c>
      <c r="W623" s="27">
        <f>'施設状況(要更新)'!$F623</f>
        <v>0</v>
      </c>
      <c r="X623" s="28"/>
    </row>
    <row r="624" spans="1:24">
      <c r="A624" s="46"/>
      <c r="B624" s="51"/>
      <c r="C624" s="47"/>
      <c r="D624" s="47"/>
      <c r="E624" s="47"/>
      <c r="F624" s="48"/>
      <c r="G624" s="48"/>
      <c r="H624" s="48"/>
      <c r="I624" s="48"/>
      <c r="J624" s="48"/>
      <c r="K624" s="48"/>
      <c r="L624" s="48"/>
      <c r="M624" s="48"/>
      <c r="N624" s="48"/>
      <c r="O624" s="48"/>
      <c r="P624" s="48"/>
      <c r="Q624" s="48"/>
      <c r="R624" s="47"/>
      <c r="S624" s="26">
        <f t="shared" si="16"/>
        <v>0</v>
      </c>
      <c r="T624" s="26">
        <f>COUNTIF($V$4:V624,V624)</f>
        <v>613</v>
      </c>
      <c r="U624" s="26" t="str">
        <f>IF(T624=1,COUNTIF($T$4:T624,1),"")</f>
        <v/>
      </c>
      <c r="V624" s="27" t="str">
        <f>'施設状況(要更新)'!$E624&amp;'施設状況(要更新)'!$C624</f>
        <v/>
      </c>
      <c r="W624" s="27">
        <f>'施設状況(要更新)'!$F624</f>
        <v>0</v>
      </c>
      <c r="X624" s="28"/>
    </row>
    <row r="625" spans="1:24">
      <c r="A625" s="46"/>
      <c r="B625" s="51"/>
      <c r="C625" s="47"/>
      <c r="D625" s="47"/>
      <c r="E625" s="47"/>
      <c r="F625" s="48"/>
      <c r="G625" s="48"/>
      <c r="H625" s="48"/>
      <c r="I625" s="48"/>
      <c r="J625" s="48"/>
      <c r="K625" s="48"/>
      <c r="L625" s="48"/>
      <c r="M625" s="48"/>
      <c r="N625" s="48"/>
      <c r="O625" s="48"/>
      <c r="P625" s="48"/>
      <c r="Q625" s="48"/>
      <c r="R625" s="47"/>
      <c r="S625" s="26">
        <f t="shared" si="16"/>
        <v>0</v>
      </c>
      <c r="T625" s="26">
        <f>COUNTIF($V$4:V625,V625)</f>
        <v>614</v>
      </c>
      <c r="U625" s="26" t="str">
        <f>IF(T625=1,COUNTIF($T$4:T625,1),"")</f>
        <v/>
      </c>
      <c r="V625" s="27" t="str">
        <f>'施設状況(要更新)'!$E625&amp;'施設状況(要更新)'!$C625</f>
        <v/>
      </c>
      <c r="W625" s="27">
        <f>'施設状況(要更新)'!$F625</f>
        <v>0</v>
      </c>
      <c r="X625" s="28"/>
    </row>
    <row r="626" spans="1:24">
      <c r="A626" s="46"/>
      <c r="B626" s="51"/>
      <c r="C626" s="47"/>
      <c r="D626" s="47"/>
      <c r="E626" s="47"/>
      <c r="F626" s="48"/>
      <c r="G626" s="48"/>
      <c r="H626" s="48"/>
      <c r="I626" s="48"/>
      <c r="J626" s="48"/>
      <c r="K626" s="48"/>
      <c r="L626" s="48"/>
      <c r="M626" s="48"/>
      <c r="N626" s="48"/>
      <c r="O626" s="48"/>
      <c r="P626" s="48"/>
      <c r="Q626" s="48"/>
      <c r="R626" s="47"/>
      <c r="S626" s="26">
        <f t="shared" si="16"/>
        <v>0</v>
      </c>
      <c r="T626" s="26">
        <f>COUNTIF($V$4:V626,V626)</f>
        <v>615</v>
      </c>
      <c r="U626" s="26" t="str">
        <f>IF(T626=1,COUNTIF($T$4:T626,1),"")</f>
        <v/>
      </c>
      <c r="V626" s="27" t="str">
        <f>'施設状況(要更新)'!$E626&amp;'施設状況(要更新)'!$C626</f>
        <v/>
      </c>
      <c r="W626" s="27">
        <f>'施設状況(要更新)'!$F626</f>
        <v>0</v>
      </c>
      <c r="X626" s="28"/>
    </row>
    <row r="627" spans="1:24">
      <c r="A627" s="46"/>
      <c r="B627" s="51"/>
      <c r="C627" s="47"/>
      <c r="D627" s="47"/>
      <c r="E627" s="47"/>
      <c r="F627" s="48"/>
      <c r="G627" s="48"/>
      <c r="H627" s="48"/>
      <c r="I627" s="48"/>
      <c r="J627" s="48"/>
      <c r="K627" s="48"/>
      <c r="L627" s="48"/>
      <c r="M627" s="48"/>
      <c r="N627" s="48"/>
      <c r="O627" s="48"/>
      <c r="P627" s="48"/>
      <c r="Q627" s="48"/>
      <c r="R627" s="47"/>
      <c r="S627" s="26">
        <f t="shared" si="16"/>
        <v>0</v>
      </c>
      <c r="T627" s="26">
        <f>COUNTIF($V$4:V627,V627)</f>
        <v>616</v>
      </c>
      <c r="U627" s="26" t="str">
        <f>IF(T627=1,COUNTIF($T$4:T627,1),"")</f>
        <v/>
      </c>
      <c r="V627" s="27" t="str">
        <f>'施設状況(要更新)'!$E627&amp;'施設状況(要更新)'!$C627</f>
        <v/>
      </c>
      <c r="W627" s="27">
        <f>'施設状況(要更新)'!$F627</f>
        <v>0</v>
      </c>
      <c r="X627" s="28"/>
    </row>
    <row r="628" spans="1:24">
      <c r="A628" s="46"/>
      <c r="B628" s="51"/>
      <c r="C628" s="47"/>
      <c r="D628" s="47"/>
      <c r="E628" s="47"/>
      <c r="F628" s="48"/>
      <c r="G628" s="48"/>
      <c r="H628" s="48"/>
      <c r="I628" s="48"/>
      <c r="J628" s="48"/>
      <c r="K628" s="48"/>
      <c r="L628" s="48"/>
      <c r="M628" s="48"/>
      <c r="N628" s="48"/>
      <c r="O628" s="48"/>
      <c r="P628" s="48"/>
      <c r="Q628" s="48"/>
      <c r="R628" s="47"/>
      <c r="S628" s="26">
        <f t="shared" si="16"/>
        <v>0</v>
      </c>
      <c r="T628" s="26">
        <f>COUNTIF($V$4:V628,V628)</f>
        <v>617</v>
      </c>
      <c r="U628" s="26" t="str">
        <f>IF(T628=1,COUNTIF($T$4:T628,1),"")</f>
        <v/>
      </c>
      <c r="V628" s="27" t="str">
        <f>'施設状況(要更新)'!$E628&amp;'施設状況(要更新)'!$C628</f>
        <v/>
      </c>
      <c r="W628" s="27">
        <f>'施設状況(要更新)'!$F628</f>
        <v>0</v>
      </c>
      <c r="X628" s="28"/>
    </row>
    <row r="629" spans="1:24">
      <c r="A629" s="46"/>
      <c r="B629" s="51"/>
      <c r="C629" s="47"/>
      <c r="D629" s="47"/>
      <c r="E629" s="47"/>
      <c r="F629" s="48"/>
      <c r="G629" s="48"/>
      <c r="H629" s="48"/>
      <c r="I629" s="48"/>
      <c r="J629" s="48"/>
      <c r="K629" s="48"/>
      <c r="L629" s="48"/>
      <c r="M629" s="48"/>
      <c r="N629" s="48"/>
      <c r="O629" s="48"/>
      <c r="P629" s="48"/>
      <c r="Q629" s="48"/>
      <c r="R629" s="47"/>
      <c r="S629" s="26">
        <f t="shared" si="16"/>
        <v>0</v>
      </c>
      <c r="T629" s="26">
        <f>COUNTIF($V$4:V629,V629)</f>
        <v>618</v>
      </c>
      <c r="U629" s="26" t="str">
        <f>IF(T629=1,COUNTIF($T$4:T629,1),"")</f>
        <v/>
      </c>
      <c r="V629" s="27" t="str">
        <f>'施設状況(要更新)'!$E629&amp;'施設状況(要更新)'!$C629</f>
        <v/>
      </c>
      <c r="W629" s="27">
        <f>'施設状況(要更新)'!$F629</f>
        <v>0</v>
      </c>
      <c r="X629" s="28"/>
    </row>
    <row r="630" spans="1:24">
      <c r="A630" s="46"/>
      <c r="B630" s="51"/>
      <c r="C630" s="47"/>
      <c r="D630" s="47"/>
      <c r="E630" s="47"/>
      <c r="F630" s="48"/>
      <c r="G630" s="48"/>
      <c r="H630" s="48"/>
      <c r="I630" s="48"/>
      <c r="J630" s="48"/>
      <c r="K630" s="48"/>
      <c r="L630" s="48"/>
      <c r="M630" s="48"/>
      <c r="N630" s="48"/>
      <c r="O630" s="48"/>
      <c r="P630" s="48"/>
      <c r="Q630" s="48"/>
      <c r="R630" s="47"/>
      <c r="S630" s="26">
        <f t="shared" si="16"/>
        <v>0</v>
      </c>
      <c r="T630" s="26">
        <f>COUNTIF($V$4:V630,V630)</f>
        <v>619</v>
      </c>
      <c r="U630" s="26" t="str">
        <f>IF(T630=1,COUNTIF($T$4:T630,1),"")</f>
        <v/>
      </c>
      <c r="V630" s="27" t="str">
        <f>'施設状況(要更新)'!$E630&amp;'施設状況(要更新)'!$C630</f>
        <v/>
      </c>
      <c r="W630" s="27">
        <f>'施設状況(要更新)'!$F630</f>
        <v>0</v>
      </c>
      <c r="X630" s="28"/>
    </row>
    <row r="631" spans="1:24">
      <c r="A631" s="46"/>
      <c r="B631" s="51"/>
      <c r="C631" s="47"/>
      <c r="D631" s="47"/>
      <c r="E631" s="47"/>
      <c r="F631" s="48"/>
      <c r="G631" s="48"/>
      <c r="H631" s="48"/>
      <c r="I631" s="48"/>
      <c r="J631" s="48"/>
      <c r="K631" s="48"/>
      <c r="L631" s="48"/>
      <c r="M631" s="48"/>
      <c r="N631" s="48"/>
      <c r="O631" s="48"/>
      <c r="P631" s="48"/>
      <c r="Q631" s="48"/>
      <c r="R631" s="47"/>
      <c r="S631" s="26">
        <f t="shared" si="16"/>
        <v>0</v>
      </c>
      <c r="T631" s="26">
        <f>COUNTIF($V$4:V631,V631)</f>
        <v>620</v>
      </c>
      <c r="U631" s="26" t="str">
        <f>IF(T631=1,COUNTIF($T$4:T631,1),"")</f>
        <v/>
      </c>
      <c r="V631" s="27" t="str">
        <f>'施設状況(要更新)'!$E631&amp;'施設状況(要更新)'!$C631</f>
        <v/>
      </c>
      <c r="W631" s="27">
        <f>'施設状況(要更新)'!$F631</f>
        <v>0</v>
      </c>
      <c r="X631" s="28"/>
    </row>
    <row r="632" spans="1:24">
      <c r="A632" s="46"/>
      <c r="B632" s="51"/>
      <c r="C632" s="47"/>
      <c r="D632" s="47"/>
      <c r="E632" s="47"/>
      <c r="F632" s="48"/>
      <c r="G632" s="48"/>
      <c r="H632" s="48"/>
      <c r="I632" s="48"/>
      <c r="J632" s="48"/>
      <c r="K632" s="48"/>
      <c r="L632" s="48"/>
      <c r="M632" s="48"/>
      <c r="N632" s="48"/>
      <c r="O632" s="48"/>
      <c r="P632" s="48"/>
      <c r="Q632" s="48"/>
      <c r="R632" s="47"/>
      <c r="S632" s="26">
        <f t="shared" si="16"/>
        <v>0</v>
      </c>
      <c r="T632" s="26">
        <f>COUNTIF($V$4:V632,V632)</f>
        <v>621</v>
      </c>
      <c r="U632" s="26" t="str">
        <f>IF(T632=1,COUNTIF($T$4:T632,1),"")</f>
        <v/>
      </c>
      <c r="V632" s="27" t="str">
        <f>'施設状況(要更新)'!$E632&amp;'施設状況(要更新)'!$C632</f>
        <v/>
      </c>
      <c r="W632" s="27">
        <f>'施設状況(要更新)'!$F632</f>
        <v>0</v>
      </c>
      <c r="X632" s="28"/>
    </row>
    <row r="633" spans="1:24">
      <c r="A633" s="46"/>
      <c r="B633" s="51"/>
      <c r="C633" s="47"/>
      <c r="D633" s="47"/>
      <c r="E633" s="47"/>
      <c r="F633" s="48"/>
      <c r="G633" s="48"/>
      <c r="H633" s="48"/>
      <c r="I633" s="48"/>
      <c r="J633" s="48"/>
      <c r="K633" s="48"/>
      <c r="L633" s="48"/>
      <c r="M633" s="48"/>
      <c r="N633" s="48"/>
      <c r="O633" s="48"/>
      <c r="P633" s="48"/>
      <c r="Q633" s="48"/>
      <c r="R633" s="47"/>
      <c r="S633" s="26">
        <f t="shared" si="16"/>
        <v>0</v>
      </c>
      <c r="T633" s="26">
        <f>COUNTIF($V$4:V633,V633)</f>
        <v>622</v>
      </c>
      <c r="U633" s="26" t="str">
        <f>IF(T633=1,COUNTIF($T$4:T633,1),"")</f>
        <v/>
      </c>
      <c r="V633" s="27" t="str">
        <f>'施設状況(要更新)'!$E633&amp;'施設状況(要更新)'!$C633</f>
        <v/>
      </c>
      <c r="W633" s="27">
        <f>'施設状況(要更新)'!$F633</f>
        <v>0</v>
      </c>
      <c r="X633" s="28"/>
    </row>
    <row r="634" spans="1:24">
      <c r="A634" s="46"/>
      <c r="B634" s="51"/>
      <c r="C634" s="47"/>
      <c r="D634" s="47"/>
      <c r="E634" s="47"/>
      <c r="F634" s="48"/>
      <c r="G634" s="48"/>
      <c r="H634" s="48"/>
      <c r="I634" s="48"/>
      <c r="J634" s="48"/>
      <c r="K634" s="48"/>
      <c r="L634" s="48"/>
      <c r="M634" s="48"/>
      <c r="N634" s="48"/>
      <c r="O634" s="48"/>
      <c r="P634" s="48"/>
      <c r="Q634" s="48"/>
      <c r="R634" s="47"/>
      <c r="S634" s="26">
        <f t="shared" si="16"/>
        <v>0</v>
      </c>
      <c r="T634" s="26">
        <f>COUNTIF($V$4:V634,V634)</f>
        <v>623</v>
      </c>
      <c r="U634" s="26" t="str">
        <f>IF(T634=1,COUNTIF($T$4:T634,1),"")</f>
        <v/>
      </c>
      <c r="V634" s="27" t="str">
        <f>'施設状況(要更新)'!$E634&amp;'施設状況(要更新)'!$C634</f>
        <v/>
      </c>
      <c r="W634" s="27">
        <f>'施設状況(要更新)'!$F634</f>
        <v>0</v>
      </c>
      <c r="X634" s="28"/>
    </row>
    <row r="635" spans="1:24">
      <c r="A635" s="46"/>
      <c r="B635" s="51"/>
      <c r="C635" s="47"/>
      <c r="D635" s="47"/>
      <c r="E635" s="47"/>
      <c r="F635" s="48"/>
      <c r="G635" s="48"/>
      <c r="H635" s="48"/>
      <c r="I635" s="48"/>
      <c r="J635" s="48"/>
      <c r="K635" s="48"/>
      <c r="L635" s="48"/>
      <c r="M635" s="48"/>
      <c r="N635" s="48"/>
      <c r="O635" s="48"/>
      <c r="P635" s="48"/>
      <c r="Q635" s="48"/>
      <c r="R635" s="47"/>
      <c r="S635" s="26">
        <f t="shared" si="16"/>
        <v>0</v>
      </c>
      <c r="T635" s="26">
        <f>COUNTIF($V$4:V635,V635)</f>
        <v>624</v>
      </c>
      <c r="U635" s="26" t="str">
        <f>IF(T635=1,COUNTIF($T$4:T635,1),"")</f>
        <v/>
      </c>
      <c r="V635" s="27" t="str">
        <f>'施設状況(要更新)'!$E635&amp;'施設状況(要更新)'!$C635</f>
        <v/>
      </c>
      <c r="W635" s="27">
        <f>'施設状況(要更新)'!$F635</f>
        <v>0</v>
      </c>
      <c r="X635" s="28"/>
    </row>
    <row r="636" spans="1:24">
      <c r="A636" s="46"/>
      <c r="B636" s="51"/>
      <c r="C636" s="47"/>
      <c r="D636" s="47"/>
      <c r="E636" s="47"/>
      <c r="F636" s="48"/>
      <c r="G636" s="48"/>
      <c r="H636" s="48"/>
      <c r="I636" s="48"/>
      <c r="J636" s="48"/>
      <c r="K636" s="48"/>
      <c r="L636" s="48"/>
      <c r="M636" s="48"/>
      <c r="N636" s="48"/>
      <c r="O636" s="48"/>
      <c r="P636" s="48"/>
      <c r="Q636" s="48"/>
      <c r="R636" s="47"/>
      <c r="S636" s="26">
        <f t="shared" si="16"/>
        <v>0</v>
      </c>
      <c r="T636" s="26">
        <f>COUNTIF($V$4:V636,V636)</f>
        <v>625</v>
      </c>
      <c r="U636" s="26" t="str">
        <f>IF(T636=1,COUNTIF($T$4:T636,1),"")</f>
        <v/>
      </c>
      <c r="V636" s="27" t="str">
        <f>'施設状況(要更新)'!$E636&amp;'施設状況(要更新)'!$C636</f>
        <v/>
      </c>
      <c r="W636" s="27">
        <f>'施設状況(要更新)'!$F636</f>
        <v>0</v>
      </c>
      <c r="X636" s="28"/>
    </row>
    <row r="637" spans="1:24">
      <c r="A637" s="46"/>
      <c r="B637" s="51"/>
      <c r="C637" s="47"/>
      <c r="D637" s="47"/>
      <c r="E637" s="47"/>
      <c r="F637" s="48"/>
      <c r="G637" s="48"/>
      <c r="H637" s="48"/>
      <c r="I637" s="48"/>
      <c r="J637" s="48"/>
      <c r="K637" s="48"/>
      <c r="L637" s="48"/>
      <c r="M637" s="48"/>
      <c r="N637" s="48"/>
      <c r="O637" s="48"/>
      <c r="P637" s="48"/>
      <c r="Q637" s="48"/>
      <c r="R637" s="47"/>
      <c r="S637" s="26">
        <f t="shared" si="16"/>
        <v>0</v>
      </c>
      <c r="T637" s="26">
        <f>COUNTIF($V$4:V637,V637)</f>
        <v>626</v>
      </c>
      <c r="U637" s="26" t="str">
        <f>IF(T637=1,COUNTIF($T$4:T637,1),"")</f>
        <v/>
      </c>
      <c r="V637" s="27" t="str">
        <f>'施設状況(要更新)'!$E637&amp;'施設状況(要更新)'!$C637</f>
        <v/>
      </c>
      <c r="W637" s="27">
        <f>'施設状況(要更新)'!$F637</f>
        <v>0</v>
      </c>
      <c r="X637" s="28"/>
    </row>
    <row r="638" spans="1:24">
      <c r="A638" s="46"/>
      <c r="B638" s="51"/>
      <c r="C638" s="47"/>
      <c r="D638" s="47"/>
      <c r="E638" s="47"/>
      <c r="F638" s="48"/>
      <c r="G638" s="48"/>
      <c r="H638" s="48"/>
      <c r="I638" s="48"/>
      <c r="J638" s="48"/>
      <c r="K638" s="48"/>
      <c r="L638" s="48"/>
      <c r="M638" s="48"/>
      <c r="N638" s="48"/>
      <c r="O638" s="48"/>
      <c r="P638" s="48"/>
      <c r="Q638" s="48"/>
      <c r="R638" s="47"/>
      <c r="S638" s="26">
        <f t="shared" si="16"/>
        <v>0</v>
      </c>
      <c r="T638" s="26">
        <f>COUNTIF($V$4:V638,V638)</f>
        <v>627</v>
      </c>
      <c r="U638" s="26" t="str">
        <f>IF(T638=1,COUNTIF($T$4:T638,1),"")</f>
        <v/>
      </c>
      <c r="V638" s="27" t="str">
        <f>'施設状況(要更新)'!$E638&amp;'施設状況(要更新)'!$C638</f>
        <v/>
      </c>
      <c r="W638" s="27">
        <f>'施設状況(要更新)'!$F638</f>
        <v>0</v>
      </c>
      <c r="X638" s="28"/>
    </row>
    <row r="639" spans="1:24">
      <c r="A639" s="46"/>
      <c r="B639" s="51"/>
      <c r="C639" s="47"/>
      <c r="D639" s="47"/>
      <c r="E639" s="47"/>
      <c r="F639" s="48"/>
      <c r="G639" s="48"/>
      <c r="H639" s="48"/>
      <c r="I639" s="48"/>
      <c r="J639" s="48"/>
      <c r="K639" s="48"/>
      <c r="L639" s="48"/>
      <c r="M639" s="48"/>
      <c r="N639" s="48"/>
      <c r="O639" s="48"/>
      <c r="P639" s="48"/>
      <c r="Q639" s="48"/>
      <c r="R639" s="47"/>
      <c r="S639" s="26">
        <f t="shared" si="16"/>
        <v>0</v>
      </c>
      <c r="T639" s="26">
        <f>COUNTIF($V$4:V639,V639)</f>
        <v>628</v>
      </c>
      <c r="U639" s="26" t="str">
        <f>IF(T639=1,COUNTIF($T$4:T639,1),"")</f>
        <v/>
      </c>
      <c r="V639" s="27" t="str">
        <f>'施設状況(要更新)'!$E639&amp;'施設状況(要更新)'!$C639</f>
        <v/>
      </c>
      <c r="W639" s="27">
        <f>'施設状況(要更新)'!$F639</f>
        <v>0</v>
      </c>
      <c r="X639" s="28"/>
    </row>
    <row r="640" spans="1:24">
      <c r="A640" s="46"/>
      <c r="B640" s="51"/>
      <c r="C640" s="47"/>
      <c r="D640" s="47"/>
      <c r="E640" s="47"/>
      <c r="F640" s="48"/>
      <c r="G640" s="48"/>
      <c r="H640" s="48"/>
      <c r="I640" s="48"/>
      <c r="J640" s="48"/>
      <c r="K640" s="48"/>
      <c r="L640" s="48"/>
      <c r="M640" s="48"/>
      <c r="N640" s="48"/>
      <c r="O640" s="48"/>
      <c r="P640" s="48"/>
      <c r="Q640" s="48"/>
      <c r="R640" s="47"/>
      <c r="S640" s="26">
        <f t="shared" si="16"/>
        <v>0</v>
      </c>
      <c r="T640" s="26">
        <f>COUNTIF($V$4:V640,V640)</f>
        <v>629</v>
      </c>
      <c r="U640" s="26" t="str">
        <f>IF(T640=1,COUNTIF($T$4:T640,1),"")</f>
        <v/>
      </c>
      <c r="V640" s="27" t="str">
        <f>'施設状況(要更新)'!$E640&amp;'施設状況(要更新)'!$C640</f>
        <v/>
      </c>
      <c r="W640" s="27">
        <f>'施設状況(要更新)'!$F640</f>
        <v>0</v>
      </c>
      <c r="X640" s="28"/>
    </row>
    <row r="641" spans="1:24">
      <c r="A641" s="46"/>
      <c r="B641" s="51"/>
      <c r="C641" s="47"/>
      <c r="D641" s="47"/>
      <c r="E641" s="47"/>
      <c r="F641" s="48"/>
      <c r="G641" s="48"/>
      <c r="H641" s="48"/>
      <c r="I641" s="48"/>
      <c r="J641" s="48"/>
      <c r="K641" s="48"/>
      <c r="L641" s="48"/>
      <c r="M641" s="48"/>
      <c r="N641" s="48"/>
      <c r="O641" s="48"/>
      <c r="P641" s="48"/>
      <c r="Q641" s="48"/>
      <c r="R641" s="47"/>
      <c r="S641" s="26">
        <f t="shared" si="16"/>
        <v>0</v>
      </c>
      <c r="T641" s="26">
        <f>COUNTIF($V$4:V641,V641)</f>
        <v>630</v>
      </c>
      <c r="U641" s="26" t="str">
        <f>IF(T641=1,COUNTIF($T$4:T641,1),"")</f>
        <v/>
      </c>
      <c r="V641" s="27" t="str">
        <f>'施設状況(要更新)'!$E641&amp;'施設状況(要更新)'!$C641</f>
        <v/>
      </c>
      <c r="W641" s="27">
        <f>'施設状況(要更新)'!$F641</f>
        <v>0</v>
      </c>
      <c r="X641" s="28"/>
    </row>
    <row r="642" spans="1:24">
      <c r="A642" s="46"/>
      <c r="B642" s="51"/>
      <c r="C642" s="47"/>
      <c r="D642" s="47"/>
      <c r="E642" s="47"/>
      <c r="F642" s="48"/>
      <c r="G642" s="48"/>
      <c r="H642" s="48"/>
      <c r="I642" s="48"/>
      <c r="J642" s="48"/>
      <c r="K642" s="48"/>
      <c r="L642" s="48"/>
      <c r="M642" s="48"/>
      <c r="N642" s="48"/>
      <c r="O642" s="48"/>
      <c r="P642" s="48"/>
      <c r="Q642" s="48"/>
      <c r="R642" s="47"/>
      <c r="S642" s="26">
        <f t="shared" si="16"/>
        <v>0</v>
      </c>
      <c r="T642" s="26">
        <f>COUNTIF($V$4:V642,V642)</f>
        <v>631</v>
      </c>
      <c r="U642" s="26" t="str">
        <f>IF(T642=1,COUNTIF($T$4:T642,1),"")</f>
        <v/>
      </c>
      <c r="V642" s="27" t="str">
        <f>'施設状況(要更新)'!$E642&amp;'施設状況(要更新)'!$C642</f>
        <v/>
      </c>
      <c r="W642" s="27">
        <f>'施設状況(要更新)'!$F642</f>
        <v>0</v>
      </c>
      <c r="X642" s="28"/>
    </row>
    <row r="643" spans="1:24">
      <c r="A643" s="46"/>
      <c r="B643" s="51"/>
      <c r="C643" s="47"/>
      <c r="D643" s="47"/>
      <c r="E643" s="47"/>
      <c r="F643" s="48"/>
      <c r="G643" s="48"/>
      <c r="H643" s="48"/>
      <c r="I643" s="48"/>
      <c r="J643" s="48"/>
      <c r="K643" s="48"/>
      <c r="L643" s="48"/>
      <c r="M643" s="48"/>
      <c r="N643" s="48"/>
      <c r="O643" s="48"/>
      <c r="P643" s="48"/>
      <c r="Q643" s="48"/>
      <c r="R643" s="47"/>
      <c r="S643" s="26">
        <f t="shared" si="16"/>
        <v>0</v>
      </c>
      <c r="T643" s="26">
        <f>COUNTIF($V$4:V643,V643)</f>
        <v>632</v>
      </c>
      <c r="U643" s="26" t="str">
        <f>IF(T643=1,COUNTIF($T$4:T643,1),"")</f>
        <v/>
      </c>
      <c r="V643" s="27" t="str">
        <f>'施設状況(要更新)'!$E643&amp;'施設状況(要更新)'!$C643</f>
        <v/>
      </c>
      <c r="W643" s="27">
        <f>'施設状況(要更新)'!$F643</f>
        <v>0</v>
      </c>
      <c r="X643" s="28"/>
    </row>
    <row r="644" spans="1:24">
      <c r="A644" s="46"/>
      <c r="B644" s="51"/>
      <c r="C644" s="47"/>
      <c r="D644" s="47"/>
      <c r="E644" s="47"/>
      <c r="F644" s="48"/>
      <c r="G644" s="48"/>
      <c r="H644" s="48"/>
      <c r="I644" s="48"/>
      <c r="J644" s="48"/>
      <c r="K644" s="48"/>
      <c r="L644" s="48"/>
      <c r="M644" s="48"/>
      <c r="N644" s="48"/>
      <c r="O644" s="48"/>
      <c r="P644" s="48"/>
      <c r="Q644" s="48"/>
      <c r="R644" s="47"/>
      <c r="S644" s="26">
        <f t="shared" si="16"/>
        <v>0</v>
      </c>
      <c r="T644" s="26">
        <f>COUNTIF($V$4:V644,V644)</f>
        <v>633</v>
      </c>
      <c r="U644" s="26" t="str">
        <f>IF(T644=1,COUNTIF($T$4:T644,1),"")</f>
        <v/>
      </c>
      <c r="V644" s="27" t="str">
        <f>'施設状況(要更新)'!$E644&amp;'施設状況(要更新)'!$C644</f>
        <v/>
      </c>
      <c r="W644" s="27">
        <f>'施設状況(要更新)'!$F644</f>
        <v>0</v>
      </c>
      <c r="X644" s="28"/>
    </row>
    <row r="645" spans="1:24">
      <c r="A645" s="46"/>
      <c r="B645" s="51"/>
      <c r="C645" s="47"/>
      <c r="D645" s="47"/>
      <c r="E645" s="47"/>
      <c r="F645" s="48"/>
      <c r="G645" s="48"/>
      <c r="H645" s="48"/>
      <c r="I645" s="48"/>
      <c r="J645" s="48"/>
      <c r="K645" s="48"/>
      <c r="L645" s="48"/>
      <c r="M645" s="48"/>
      <c r="N645" s="48"/>
      <c r="O645" s="48"/>
      <c r="P645" s="48"/>
      <c r="Q645" s="48"/>
      <c r="R645" s="47"/>
      <c r="S645" s="26">
        <f t="shared" ref="S645:S700" si="17">A645</f>
        <v>0</v>
      </c>
      <c r="T645" s="26">
        <f>COUNTIF($V$4:V645,V645)</f>
        <v>634</v>
      </c>
      <c r="U645" s="26" t="str">
        <f>IF(T645=1,COUNTIF($T$4:T645,1),"")</f>
        <v/>
      </c>
      <c r="V645" s="27" t="str">
        <f>'施設状況(要更新)'!$E645&amp;'施設状況(要更新)'!$C645</f>
        <v/>
      </c>
      <c r="W645" s="27">
        <f>'施設状況(要更新)'!$F645</f>
        <v>0</v>
      </c>
      <c r="X645" s="28"/>
    </row>
    <row r="646" spans="1:24">
      <c r="A646" s="46"/>
      <c r="B646" s="51"/>
      <c r="C646" s="47"/>
      <c r="D646" s="47"/>
      <c r="E646" s="47"/>
      <c r="F646" s="48"/>
      <c r="G646" s="48"/>
      <c r="H646" s="48"/>
      <c r="I646" s="48"/>
      <c r="J646" s="48"/>
      <c r="K646" s="48"/>
      <c r="L646" s="48"/>
      <c r="M646" s="48"/>
      <c r="N646" s="48"/>
      <c r="O646" s="48"/>
      <c r="P646" s="48"/>
      <c r="Q646" s="48"/>
      <c r="R646" s="47"/>
      <c r="S646" s="26">
        <f t="shared" si="17"/>
        <v>0</v>
      </c>
      <c r="T646" s="26">
        <f>COUNTIF($V$4:V646,V646)</f>
        <v>635</v>
      </c>
      <c r="U646" s="26" t="str">
        <f>IF(T646=1,COUNTIF($T$4:T646,1),"")</f>
        <v/>
      </c>
      <c r="V646" s="27" t="str">
        <f>'施設状況(要更新)'!$E646&amp;'施設状況(要更新)'!$C646</f>
        <v/>
      </c>
      <c r="W646" s="27">
        <f>'施設状況(要更新)'!$F646</f>
        <v>0</v>
      </c>
      <c r="X646" s="28"/>
    </row>
    <row r="647" spans="1:24">
      <c r="A647" s="46"/>
      <c r="B647" s="51"/>
      <c r="C647" s="47"/>
      <c r="D647" s="47"/>
      <c r="E647" s="47"/>
      <c r="F647" s="48"/>
      <c r="G647" s="48"/>
      <c r="H647" s="48"/>
      <c r="I647" s="48"/>
      <c r="J647" s="48"/>
      <c r="K647" s="48"/>
      <c r="L647" s="48"/>
      <c r="M647" s="48"/>
      <c r="N647" s="48"/>
      <c r="O647" s="48"/>
      <c r="P647" s="48"/>
      <c r="Q647" s="48"/>
      <c r="R647" s="47"/>
      <c r="S647" s="26">
        <f t="shared" si="17"/>
        <v>0</v>
      </c>
      <c r="T647" s="26">
        <f>COUNTIF($V$4:V647,V647)</f>
        <v>636</v>
      </c>
      <c r="U647" s="26" t="str">
        <f>IF(T647=1,COUNTIF($T$4:T647,1),"")</f>
        <v/>
      </c>
      <c r="V647" s="27" t="str">
        <f>'施設状況(要更新)'!$E647&amp;'施設状況(要更新)'!$C647</f>
        <v/>
      </c>
      <c r="W647" s="27">
        <f>'施設状況(要更新)'!$F647</f>
        <v>0</v>
      </c>
      <c r="X647" s="28"/>
    </row>
    <row r="648" spans="1:24">
      <c r="A648" s="46"/>
      <c r="B648" s="51"/>
      <c r="C648" s="47"/>
      <c r="D648" s="47"/>
      <c r="E648" s="47"/>
      <c r="F648" s="48"/>
      <c r="G648" s="48"/>
      <c r="H648" s="48"/>
      <c r="I648" s="48"/>
      <c r="J648" s="48"/>
      <c r="K648" s="48"/>
      <c r="L648" s="48"/>
      <c r="M648" s="48"/>
      <c r="N648" s="48"/>
      <c r="O648" s="48"/>
      <c r="P648" s="48"/>
      <c r="Q648" s="48"/>
      <c r="R648" s="47"/>
      <c r="S648" s="26">
        <f t="shared" si="17"/>
        <v>0</v>
      </c>
      <c r="T648" s="26">
        <f>COUNTIF($V$4:V648,V648)</f>
        <v>637</v>
      </c>
      <c r="U648" s="26" t="str">
        <f>IF(T648=1,COUNTIF($T$4:T648,1),"")</f>
        <v/>
      </c>
      <c r="V648" s="27" t="str">
        <f>'施設状況(要更新)'!$E648&amp;'施設状況(要更新)'!$C648</f>
        <v/>
      </c>
      <c r="W648" s="27">
        <f>'施設状況(要更新)'!$F648</f>
        <v>0</v>
      </c>
      <c r="X648" s="28"/>
    </row>
    <row r="649" spans="1:24">
      <c r="A649" s="46"/>
      <c r="B649" s="51"/>
      <c r="C649" s="47"/>
      <c r="D649" s="47"/>
      <c r="E649" s="47"/>
      <c r="F649" s="48"/>
      <c r="G649" s="48"/>
      <c r="H649" s="48"/>
      <c r="I649" s="48"/>
      <c r="J649" s="48"/>
      <c r="K649" s="48"/>
      <c r="L649" s="48"/>
      <c r="M649" s="48"/>
      <c r="N649" s="48"/>
      <c r="O649" s="48"/>
      <c r="P649" s="48"/>
      <c r="Q649" s="48"/>
      <c r="R649" s="47"/>
      <c r="S649" s="26">
        <f t="shared" si="17"/>
        <v>0</v>
      </c>
      <c r="T649" s="26">
        <f>COUNTIF($V$4:V649,V649)</f>
        <v>638</v>
      </c>
      <c r="U649" s="26" t="str">
        <f>IF(T649=1,COUNTIF($T$4:T649,1),"")</f>
        <v/>
      </c>
      <c r="V649" s="27" t="str">
        <f>'施設状況(要更新)'!$E649&amp;'施設状況(要更新)'!$C649</f>
        <v/>
      </c>
      <c r="W649" s="27">
        <f>'施設状況(要更新)'!$F649</f>
        <v>0</v>
      </c>
      <c r="X649" s="28"/>
    </row>
    <row r="650" spans="1:24">
      <c r="A650" s="46"/>
      <c r="B650" s="51"/>
      <c r="C650" s="47"/>
      <c r="D650" s="47"/>
      <c r="E650" s="47"/>
      <c r="F650" s="48"/>
      <c r="G650" s="48"/>
      <c r="H650" s="48"/>
      <c r="I650" s="48"/>
      <c r="J650" s="48"/>
      <c r="K650" s="48"/>
      <c r="L650" s="48"/>
      <c r="M650" s="48"/>
      <c r="N650" s="48"/>
      <c r="O650" s="48"/>
      <c r="P650" s="48"/>
      <c r="Q650" s="48"/>
      <c r="R650" s="47"/>
      <c r="S650" s="26">
        <f t="shared" si="17"/>
        <v>0</v>
      </c>
      <c r="T650" s="26">
        <f>COUNTIF($V$4:V650,V650)</f>
        <v>639</v>
      </c>
      <c r="U650" s="26" t="str">
        <f>IF(T650=1,COUNTIF($T$4:T650,1),"")</f>
        <v/>
      </c>
      <c r="V650" s="27" t="str">
        <f>'施設状況(要更新)'!$E650&amp;'施設状況(要更新)'!$C650</f>
        <v/>
      </c>
      <c r="W650" s="27">
        <f>'施設状況(要更新)'!$F650</f>
        <v>0</v>
      </c>
      <c r="X650" s="28"/>
    </row>
    <row r="651" spans="1:24">
      <c r="A651" s="46"/>
      <c r="B651" s="51"/>
      <c r="C651" s="47"/>
      <c r="D651" s="47"/>
      <c r="E651" s="47"/>
      <c r="F651" s="48"/>
      <c r="G651" s="48"/>
      <c r="H651" s="48"/>
      <c r="I651" s="48"/>
      <c r="J651" s="48"/>
      <c r="K651" s="48"/>
      <c r="L651" s="48"/>
      <c r="M651" s="48"/>
      <c r="N651" s="48"/>
      <c r="O651" s="48"/>
      <c r="P651" s="48"/>
      <c r="Q651" s="48"/>
      <c r="R651" s="47"/>
      <c r="S651" s="26">
        <f t="shared" si="17"/>
        <v>0</v>
      </c>
      <c r="T651" s="26">
        <f>COUNTIF($V$4:V651,V651)</f>
        <v>640</v>
      </c>
      <c r="U651" s="26" t="str">
        <f>IF(T651=1,COUNTIF($T$4:T651,1),"")</f>
        <v/>
      </c>
      <c r="V651" s="27" t="str">
        <f>'施設状況(要更新)'!$E651&amp;'施設状況(要更新)'!$C651</f>
        <v/>
      </c>
      <c r="W651" s="27">
        <f>'施設状況(要更新)'!$F651</f>
        <v>0</v>
      </c>
      <c r="X651" s="28"/>
    </row>
    <row r="652" spans="1:24">
      <c r="A652" s="46"/>
      <c r="B652" s="51"/>
      <c r="C652" s="47"/>
      <c r="D652" s="47"/>
      <c r="E652" s="47"/>
      <c r="F652" s="48"/>
      <c r="G652" s="48"/>
      <c r="H652" s="48"/>
      <c r="I652" s="48"/>
      <c r="J652" s="48"/>
      <c r="K652" s="48"/>
      <c r="L652" s="48"/>
      <c r="M652" s="48"/>
      <c r="N652" s="48"/>
      <c r="O652" s="48"/>
      <c r="P652" s="48"/>
      <c r="Q652" s="48"/>
      <c r="R652" s="47"/>
      <c r="S652" s="26">
        <f t="shared" si="17"/>
        <v>0</v>
      </c>
      <c r="T652" s="26">
        <f>COUNTIF($V$4:V652,V652)</f>
        <v>641</v>
      </c>
      <c r="U652" s="26" t="str">
        <f>IF(T652=1,COUNTIF($T$4:T652,1),"")</f>
        <v/>
      </c>
      <c r="V652" s="27" t="str">
        <f>'施設状況(要更新)'!$E652&amp;'施設状況(要更新)'!$C652</f>
        <v/>
      </c>
      <c r="W652" s="27">
        <f>'施設状況(要更新)'!$F652</f>
        <v>0</v>
      </c>
      <c r="X652" s="28"/>
    </row>
    <row r="653" spans="1:24">
      <c r="A653" s="46"/>
      <c r="B653" s="51"/>
      <c r="C653" s="47"/>
      <c r="D653" s="47"/>
      <c r="E653" s="47"/>
      <c r="F653" s="48"/>
      <c r="G653" s="48"/>
      <c r="H653" s="48"/>
      <c r="I653" s="48"/>
      <c r="J653" s="48"/>
      <c r="K653" s="48"/>
      <c r="L653" s="48"/>
      <c r="M653" s="48"/>
      <c r="N653" s="48"/>
      <c r="O653" s="48"/>
      <c r="P653" s="48"/>
      <c r="Q653" s="48"/>
      <c r="R653" s="47"/>
      <c r="S653" s="26">
        <f t="shared" si="17"/>
        <v>0</v>
      </c>
      <c r="T653" s="26">
        <f>COUNTIF($V$4:V653,V653)</f>
        <v>642</v>
      </c>
      <c r="U653" s="26" t="str">
        <f>IF(T653=1,COUNTIF($T$4:T653,1),"")</f>
        <v/>
      </c>
      <c r="V653" s="27" t="str">
        <f>'施設状況(要更新)'!$E653&amp;'施設状況(要更新)'!$C653</f>
        <v/>
      </c>
      <c r="W653" s="27">
        <f>'施設状況(要更新)'!$F653</f>
        <v>0</v>
      </c>
      <c r="X653" s="28"/>
    </row>
    <row r="654" spans="1:24">
      <c r="A654" s="46"/>
      <c r="B654" s="51"/>
      <c r="C654" s="47"/>
      <c r="D654" s="47"/>
      <c r="E654" s="47"/>
      <c r="F654" s="48"/>
      <c r="G654" s="48"/>
      <c r="H654" s="48"/>
      <c r="I654" s="48"/>
      <c r="J654" s="48"/>
      <c r="K654" s="48"/>
      <c r="L654" s="48"/>
      <c r="M654" s="48"/>
      <c r="N654" s="48"/>
      <c r="O654" s="48"/>
      <c r="P654" s="48"/>
      <c r="Q654" s="48"/>
      <c r="R654" s="47"/>
      <c r="S654" s="26">
        <f t="shared" si="17"/>
        <v>0</v>
      </c>
      <c r="T654" s="26">
        <f>COUNTIF($V$4:V654,V654)</f>
        <v>643</v>
      </c>
      <c r="U654" s="26" t="str">
        <f>IF(T654=1,COUNTIF($T$4:T654,1),"")</f>
        <v/>
      </c>
      <c r="V654" s="27" t="str">
        <f>'施設状況(要更新)'!$E654&amp;'施設状況(要更新)'!$C654</f>
        <v/>
      </c>
      <c r="W654" s="27">
        <f>'施設状況(要更新)'!$F654</f>
        <v>0</v>
      </c>
      <c r="X654" s="28"/>
    </row>
    <row r="655" spans="1:24">
      <c r="A655" s="46"/>
      <c r="B655" s="51"/>
      <c r="C655" s="47"/>
      <c r="D655" s="47"/>
      <c r="E655" s="47"/>
      <c r="F655" s="48"/>
      <c r="G655" s="48"/>
      <c r="H655" s="48"/>
      <c r="I655" s="48"/>
      <c r="J655" s="48"/>
      <c r="K655" s="48"/>
      <c r="L655" s="48"/>
      <c r="M655" s="48"/>
      <c r="N655" s="48"/>
      <c r="O655" s="48"/>
      <c r="P655" s="48"/>
      <c r="Q655" s="48"/>
      <c r="R655" s="47"/>
      <c r="S655" s="26">
        <f t="shared" si="17"/>
        <v>0</v>
      </c>
      <c r="T655" s="26">
        <f>COUNTIF($V$4:V655,V655)</f>
        <v>644</v>
      </c>
      <c r="U655" s="26" t="str">
        <f>IF(T655=1,COUNTIF($T$4:T655,1),"")</f>
        <v/>
      </c>
      <c r="V655" s="27" t="str">
        <f>'施設状況(要更新)'!$E655&amp;'施設状況(要更新)'!$C655</f>
        <v/>
      </c>
      <c r="W655" s="27">
        <f>'施設状況(要更新)'!$F655</f>
        <v>0</v>
      </c>
      <c r="X655" s="28"/>
    </row>
    <row r="656" spans="1:24">
      <c r="A656" s="46"/>
      <c r="B656" s="51"/>
      <c r="C656" s="47"/>
      <c r="D656" s="47"/>
      <c r="E656" s="47"/>
      <c r="F656" s="48"/>
      <c r="G656" s="48"/>
      <c r="H656" s="48"/>
      <c r="I656" s="48"/>
      <c r="J656" s="48"/>
      <c r="K656" s="48"/>
      <c r="L656" s="48"/>
      <c r="M656" s="48"/>
      <c r="N656" s="48"/>
      <c r="O656" s="48"/>
      <c r="P656" s="48"/>
      <c r="Q656" s="48"/>
      <c r="R656" s="47"/>
      <c r="S656" s="26">
        <f t="shared" si="17"/>
        <v>0</v>
      </c>
      <c r="T656" s="26">
        <f>COUNTIF($V$4:V656,V656)</f>
        <v>645</v>
      </c>
      <c r="U656" s="26" t="str">
        <f>IF(T656=1,COUNTIF($T$4:T656,1),"")</f>
        <v/>
      </c>
      <c r="V656" s="27" t="str">
        <f>'施設状況(要更新)'!$E656&amp;'施設状況(要更新)'!$C656</f>
        <v/>
      </c>
      <c r="W656" s="27">
        <f>'施設状況(要更新)'!$F656</f>
        <v>0</v>
      </c>
      <c r="X656" s="28"/>
    </row>
    <row r="657" spans="1:24">
      <c r="A657" s="46"/>
      <c r="B657" s="51"/>
      <c r="C657" s="47"/>
      <c r="D657" s="47"/>
      <c r="E657" s="47"/>
      <c r="F657" s="48"/>
      <c r="G657" s="48"/>
      <c r="H657" s="48"/>
      <c r="I657" s="48"/>
      <c r="J657" s="48"/>
      <c r="K657" s="48"/>
      <c r="L657" s="48"/>
      <c r="M657" s="48"/>
      <c r="N657" s="48"/>
      <c r="O657" s="48"/>
      <c r="P657" s="48"/>
      <c r="Q657" s="48"/>
      <c r="R657" s="47"/>
      <c r="S657" s="26">
        <f t="shared" si="17"/>
        <v>0</v>
      </c>
      <c r="T657" s="26">
        <f>COUNTIF($V$4:V657,V657)</f>
        <v>646</v>
      </c>
      <c r="U657" s="26" t="str">
        <f>IF(T657=1,COUNTIF($T$4:T657,1),"")</f>
        <v/>
      </c>
      <c r="V657" s="27" t="str">
        <f>'施設状況(要更新)'!$E657&amp;'施設状況(要更新)'!$C657</f>
        <v/>
      </c>
      <c r="W657" s="27">
        <f>'施設状況(要更新)'!$F657</f>
        <v>0</v>
      </c>
      <c r="X657" s="28"/>
    </row>
    <row r="658" spans="1:24">
      <c r="A658" s="46"/>
      <c r="B658" s="51"/>
      <c r="C658" s="47"/>
      <c r="D658" s="47"/>
      <c r="E658" s="47"/>
      <c r="F658" s="48"/>
      <c r="G658" s="48"/>
      <c r="H658" s="48"/>
      <c r="I658" s="48"/>
      <c r="J658" s="48"/>
      <c r="K658" s="48"/>
      <c r="L658" s="48"/>
      <c r="M658" s="48"/>
      <c r="N658" s="48"/>
      <c r="O658" s="48"/>
      <c r="P658" s="48"/>
      <c r="Q658" s="48"/>
      <c r="R658" s="47"/>
      <c r="S658" s="26">
        <f t="shared" si="17"/>
        <v>0</v>
      </c>
      <c r="T658" s="26">
        <f>COUNTIF($V$4:V658,V658)</f>
        <v>647</v>
      </c>
      <c r="U658" s="26" t="str">
        <f>IF(T658=1,COUNTIF($T$4:T658,1),"")</f>
        <v/>
      </c>
      <c r="V658" s="27" t="str">
        <f>'施設状況(要更新)'!$E658&amp;'施設状況(要更新)'!$C658</f>
        <v/>
      </c>
      <c r="W658" s="27">
        <f>'施設状況(要更新)'!$F658</f>
        <v>0</v>
      </c>
      <c r="X658" s="28"/>
    </row>
    <row r="659" spans="1:24">
      <c r="A659" s="46"/>
      <c r="B659" s="51"/>
      <c r="C659" s="47"/>
      <c r="D659" s="47"/>
      <c r="E659" s="47"/>
      <c r="F659" s="48"/>
      <c r="G659" s="48"/>
      <c r="H659" s="48"/>
      <c r="I659" s="48"/>
      <c r="J659" s="48"/>
      <c r="K659" s="48"/>
      <c r="L659" s="48"/>
      <c r="M659" s="48"/>
      <c r="N659" s="48"/>
      <c r="O659" s="48"/>
      <c r="P659" s="48"/>
      <c r="Q659" s="48"/>
      <c r="R659" s="47"/>
      <c r="S659" s="26">
        <f t="shared" si="17"/>
        <v>0</v>
      </c>
      <c r="T659" s="26">
        <f>COUNTIF($V$4:V659,V659)</f>
        <v>648</v>
      </c>
      <c r="U659" s="26" t="str">
        <f>IF(T659=1,COUNTIF($T$4:T659,1),"")</f>
        <v/>
      </c>
      <c r="V659" s="27" t="str">
        <f>'施設状況(要更新)'!$E659&amp;'施設状況(要更新)'!$C659</f>
        <v/>
      </c>
      <c r="W659" s="27">
        <f>'施設状況(要更新)'!$F659</f>
        <v>0</v>
      </c>
      <c r="X659" s="28"/>
    </row>
    <row r="660" spans="1:24">
      <c r="A660" s="46"/>
      <c r="B660" s="51"/>
      <c r="C660" s="47"/>
      <c r="D660" s="47"/>
      <c r="E660" s="47"/>
      <c r="F660" s="48"/>
      <c r="G660" s="48"/>
      <c r="H660" s="48"/>
      <c r="I660" s="48"/>
      <c r="J660" s="48"/>
      <c r="K660" s="48"/>
      <c r="L660" s="48"/>
      <c r="M660" s="48"/>
      <c r="N660" s="48"/>
      <c r="O660" s="48"/>
      <c r="P660" s="48"/>
      <c r="Q660" s="48"/>
      <c r="R660" s="47"/>
      <c r="S660" s="26">
        <f t="shared" si="17"/>
        <v>0</v>
      </c>
      <c r="T660" s="26">
        <f>COUNTIF($V$4:V660,V660)</f>
        <v>649</v>
      </c>
      <c r="U660" s="26" t="str">
        <f>IF(T660=1,COUNTIF($T$4:T660,1),"")</f>
        <v/>
      </c>
      <c r="V660" s="27" t="str">
        <f>'施設状況(要更新)'!$E660&amp;'施設状況(要更新)'!$C660</f>
        <v/>
      </c>
      <c r="W660" s="27">
        <f>'施設状況(要更新)'!$F660</f>
        <v>0</v>
      </c>
      <c r="X660" s="28"/>
    </row>
    <row r="661" spans="1:24">
      <c r="A661" s="46"/>
      <c r="B661" s="51"/>
      <c r="C661" s="47"/>
      <c r="D661" s="47"/>
      <c r="E661" s="47"/>
      <c r="F661" s="48"/>
      <c r="G661" s="48"/>
      <c r="H661" s="48"/>
      <c r="I661" s="48"/>
      <c r="J661" s="48"/>
      <c r="K661" s="48"/>
      <c r="L661" s="48"/>
      <c r="M661" s="48"/>
      <c r="N661" s="48"/>
      <c r="O661" s="48"/>
      <c r="P661" s="48"/>
      <c r="Q661" s="48"/>
      <c r="R661" s="47"/>
      <c r="S661" s="26">
        <f t="shared" si="17"/>
        <v>0</v>
      </c>
      <c r="T661" s="26">
        <f>COUNTIF($V$4:V661,V661)</f>
        <v>650</v>
      </c>
      <c r="U661" s="26" t="str">
        <f>IF(T661=1,COUNTIF($T$4:T661,1),"")</f>
        <v/>
      </c>
      <c r="V661" s="27" t="str">
        <f>'施設状況(要更新)'!$E661&amp;'施設状況(要更新)'!$C661</f>
        <v/>
      </c>
      <c r="W661" s="27">
        <f>'施設状況(要更新)'!$F661</f>
        <v>0</v>
      </c>
      <c r="X661" s="28"/>
    </row>
    <row r="662" spans="1:24">
      <c r="A662" s="46"/>
      <c r="B662" s="51"/>
      <c r="C662" s="47"/>
      <c r="D662" s="47"/>
      <c r="E662" s="47"/>
      <c r="F662" s="48"/>
      <c r="G662" s="48"/>
      <c r="H662" s="48"/>
      <c r="I662" s="48"/>
      <c r="J662" s="48"/>
      <c r="K662" s="48"/>
      <c r="L662" s="48"/>
      <c r="M662" s="48"/>
      <c r="N662" s="48"/>
      <c r="O662" s="48"/>
      <c r="P662" s="48"/>
      <c r="Q662" s="48"/>
      <c r="R662" s="47"/>
      <c r="S662" s="26">
        <f t="shared" si="17"/>
        <v>0</v>
      </c>
      <c r="T662" s="26">
        <f>COUNTIF($V$4:V662,V662)</f>
        <v>651</v>
      </c>
      <c r="U662" s="26" t="str">
        <f>IF(T662=1,COUNTIF($T$4:T662,1),"")</f>
        <v/>
      </c>
      <c r="V662" s="27" t="str">
        <f>'施設状況(要更新)'!$E662&amp;'施設状況(要更新)'!$C662</f>
        <v/>
      </c>
      <c r="W662" s="27">
        <f>'施設状況(要更新)'!$F662</f>
        <v>0</v>
      </c>
      <c r="X662" s="28"/>
    </row>
    <row r="663" spans="1:24">
      <c r="A663" s="46"/>
      <c r="B663" s="51"/>
      <c r="C663" s="47"/>
      <c r="D663" s="47"/>
      <c r="E663" s="47"/>
      <c r="F663" s="48"/>
      <c r="G663" s="48"/>
      <c r="H663" s="48"/>
      <c r="I663" s="48"/>
      <c r="J663" s="48"/>
      <c r="K663" s="48"/>
      <c r="L663" s="48"/>
      <c r="M663" s="48"/>
      <c r="N663" s="48"/>
      <c r="O663" s="48"/>
      <c r="P663" s="48"/>
      <c r="Q663" s="48"/>
      <c r="R663" s="47"/>
      <c r="S663" s="26">
        <f t="shared" si="17"/>
        <v>0</v>
      </c>
      <c r="T663" s="26">
        <f>COUNTIF($V$4:V663,V663)</f>
        <v>652</v>
      </c>
      <c r="U663" s="26" t="str">
        <f>IF(T663=1,COUNTIF($T$4:T663,1),"")</f>
        <v/>
      </c>
      <c r="V663" s="27" t="str">
        <f>'施設状況(要更新)'!$E663&amp;'施設状況(要更新)'!$C663</f>
        <v/>
      </c>
      <c r="W663" s="27">
        <f>'施設状況(要更新)'!$F663</f>
        <v>0</v>
      </c>
      <c r="X663" s="28"/>
    </row>
    <row r="664" spans="1:24">
      <c r="A664" s="46"/>
      <c r="B664" s="51"/>
      <c r="C664" s="47"/>
      <c r="D664" s="47"/>
      <c r="E664" s="47"/>
      <c r="F664" s="48"/>
      <c r="G664" s="48"/>
      <c r="H664" s="48"/>
      <c r="I664" s="48"/>
      <c r="J664" s="48"/>
      <c r="K664" s="48"/>
      <c r="L664" s="48"/>
      <c r="M664" s="48"/>
      <c r="N664" s="48"/>
      <c r="O664" s="48"/>
      <c r="P664" s="48"/>
      <c r="Q664" s="48"/>
      <c r="R664" s="47"/>
      <c r="S664" s="26">
        <f t="shared" si="17"/>
        <v>0</v>
      </c>
      <c r="T664" s="26">
        <f>COUNTIF($V$4:V664,V664)</f>
        <v>653</v>
      </c>
      <c r="U664" s="26" t="str">
        <f>IF(T664=1,COUNTIF($T$4:T664,1),"")</f>
        <v/>
      </c>
      <c r="V664" s="27" t="str">
        <f>'施設状況(要更新)'!$E664&amp;'施設状況(要更新)'!$C664</f>
        <v/>
      </c>
      <c r="W664" s="27">
        <f>'施設状況(要更新)'!$F664</f>
        <v>0</v>
      </c>
      <c r="X664" s="28"/>
    </row>
    <row r="665" spans="1:24">
      <c r="A665" s="46"/>
      <c r="B665" s="51"/>
      <c r="C665" s="47"/>
      <c r="D665" s="47"/>
      <c r="E665" s="47"/>
      <c r="F665" s="48"/>
      <c r="G665" s="48"/>
      <c r="H665" s="48"/>
      <c r="I665" s="48"/>
      <c r="J665" s="48"/>
      <c r="K665" s="48"/>
      <c r="L665" s="48"/>
      <c r="M665" s="48"/>
      <c r="N665" s="48"/>
      <c r="O665" s="48"/>
      <c r="P665" s="48"/>
      <c r="Q665" s="48"/>
      <c r="R665" s="47"/>
      <c r="S665" s="26">
        <f t="shared" si="17"/>
        <v>0</v>
      </c>
      <c r="T665" s="26">
        <f>COUNTIF($V$4:V665,V665)</f>
        <v>654</v>
      </c>
      <c r="U665" s="26" t="str">
        <f>IF(T665=1,COUNTIF($T$4:T665,1),"")</f>
        <v/>
      </c>
      <c r="V665" s="27" t="str">
        <f>'施設状況(要更新)'!$E665&amp;'施設状況(要更新)'!$C665</f>
        <v/>
      </c>
      <c r="W665" s="27">
        <f>'施設状況(要更新)'!$F665</f>
        <v>0</v>
      </c>
      <c r="X665" s="28"/>
    </row>
    <row r="666" spans="1:24">
      <c r="A666" s="46"/>
      <c r="B666" s="51"/>
      <c r="C666" s="47"/>
      <c r="D666" s="47"/>
      <c r="E666" s="47"/>
      <c r="F666" s="48"/>
      <c r="G666" s="48"/>
      <c r="H666" s="48"/>
      <c r="I666" s="48"/>
      <c r="J666" s="48"/>
      <c r="K666" s="48"/>
      <c r="L666" s="48"/>
      <c r="M666" s="48"/>
      <c r="N666" s="48"/>
      <c r="O666" s="48"/>
      <c r="P666" s="48"/>
      <c r="Q666" s="48"/>
      <c r="R666" s="47"/>
      <c r="S666" s="26">
        <f t="shared" si="17"/>
        <v>0</v>
      </c>
      <c r="T666" s="26">
        <f>COUNTIF($V$4:V666,V666)</f>
        <v>655</v>
      </c>
      <c r="U666" s="26" t="str">
        <f>IF(T666=1,COUNTIF($T$4:T666,1),"")</f>
        <v/>
      </c>
      <c r="V666" s="27" t="str">
        <f>'施設状況(要更新)'!$E666&amp;'施設状況(要更新)'!$C666</f>
        <v/>
      </c>
      <c r="W666" s="27">
        <f>'施設状況(要更新)'!$F666</f>
        <v>0</v>
      </c>
      <c r="X666" s="28"/>
    </row>
    <row r="667" spans="1:24">
      <c r="A667" s="46"/>
      <c r="B667" s="51"/>
      <c r="C667" s="47"/>
      <c r="D667" s="47"/>
      <c r="E667" s="47"/>
      <c r="F667" s="48"/>
      <c r="G667" s="48"/>
      <c r="H667" s="48"/>
      <c r="I667" s="48"/>
      <c r="J667" s="48"/>
      <c r="K667" s="48"/>
      <c r="L667" s="48"/>
      <c r="M667" s="48"/>
      <c r="N667" s="48"/>
      <c r="O667" s="48"/>
      <c r="P667" s="48"/>
      <c r="Q667" s="48"/>
      <c r="R667" s="47"/>
      <c r="S667" s="26">
        <f t="shared" si="17"/>
        <v>0</v>
      </c>
      <c r="T667" s="26">
        <f>COUNTIF($V$4:V667,V667)</f>
        <v>656</v>
      </c>
      <c r="U667" s="26" t="str">
        <f>IF(T667=1,COUNTIF($T$4:T667,1),"")</f>
        <v/>
      </c>
      <c r="V667" s="27" t="str">
        <f>'施設状況(要更新)'!$E667&amp;'施設状況(要更新)'!$C667</f>
        <v/>
      </c>
      <c r="W667" s="27">
        <f>'施設状況(要更新)'!$F667</f>
        <v>0</v>
      </c>
      <c r="X667" s="28"/>
    </row>
    <row r="668" spans="1:24">
      <c r="A668" s="46"/>
      <c r="B668" s="51"/>
      <c r="C668" s="47"/>
      <c r="D668" s="47"/>
      <c r="E668" s="47"/>
      <c r="F668" s="48"/>
      <c r="G668" s="48"/>
      <c r="H668" s="48"/>
      <c r="I668" s="48"/>
      <c r="J668" s="48"/>
      <c r="K668" s="48"/>
      <c r="L668" s="48"/>
      <c r="M668" s="48"/>
      <c r="N668" s="48"/>
      <c r="O668" s="48"/>
      <c r="P668" s="48"/>
      <c r="Q668" s="48"/>
      <c r="R668" s="47"/>
      <c r="S668" s="26">
        <f t="shared" si="17"/>
        <v>0</v>
      </c>
      <c r="T668" s="26">
        <f>COUNTIF($V$4:V668,V668)</f>
        <v>657</v>
      </c>
      <c r="U668" s="26" t="str">
        <f>IF(T668=1,COUNTIF($T$4:T668,1),"")</f>
        <v/>
      </c>
      <c r="V668" s="27" t="str">
        <f>'施設状況(要更新)'!$E668&amp;'施設状況(要更新)'!$C668</f>
        <v/>
      </c>
      <c r="W668" s="27">
        <f>'施設状況(要更新)'!$F668</f>
        <v>0</v>
      </c>
      <c r="X668" s="28"/>
    </row>
    <row r="669" spans="1:24">
      <c r="A669" s="46"/>
      <c r="B669" s="51"/>
      <c r="C669" s="47"/>
      <c r="D669" s="47"/>
      <c r="E669" s="47"/>
      <c r="F669" s="48"/>
      <c r="G669" s="48"/>
      <c r="H669" s="48"/>
      <c r="I669" s="48"/>
      <c r="J669" s="48"/>
      <c r="K669" s="48"/>
      <c r="L669" s="48"/>
      <c r="M669" s="48"/>
      <c r="N669" s="48"/>
      <c r="O669" s="48"/>
      <c r="P669" s="48"/>
      <c r="Q669" s="48"/>
      <c r="R669" s="47"/>
      <c r="S669" s="26">
        <f t="shared" si="17"/>
        <v>0</v>
      </c>
      <c r="T669" s="26">
        <f>COUNTIF($V$4:V669,V669)</f>
        <v>658</v>
      </c>
      <c r="U669" s="26" t="str">
        <f>IF(T669=1,COUNTIF($T$4:T669,1),"")</f>
        <v/>
      </c>
      <c r="V669" s="27" t="str">
        <f>'施設状況(要更新)'!$E669&amp;'施設状況(要更新)'!$C669</f>
        <v/>
      </c>
      <c r="W669" s="27">
        <f>'施設状況(要更新)'!$F669</f>
        <v>0</v>
      </c>
      <c r="X669" s="28"/>
    </row>
    <row r="670" spans="1:24">
      <c r="A670" s="46"/>
      <c r="B670" s="51"/>
      <c r="C670" s="47"/>
      <c r="D670" s="47"/>
      <c r="E670" s="47"/>
      <c r="F670" s="48"/>
      <c r="G670" s="48"/>
      <c r="H670" s="48"/>
      <c r="I670" s="48"/>
      <c r="J670" s="48"/>
      <c r="K670" s="48"/>
      <c r="L670" s="48"/>
      <c r="M670" s="48"/>
      <c r="N670" s="48"/>
      <c r="O670" s="48"/>
      <c r="P670" s="48"/>
      <c r="Q670" s="48"/>
      <c r="R670" s="47"/>
      <c r="S670" s="26">
        <f t="shared" si="17"/>
        <v>0</v>
      </c>
      <c r="T670" s="26">
        <f>COUNTIF($V$4:V670,V670)</f>
        <v>659</v>
      </c>
      <c r="U670" s="26" t="str">
        <f>IF(T670=1,COUNTIF($T$4:T670,1),"")</f>
        <v/>
      </c>
      <c r="V670" s="27" t="str">
        <f>'施設状況(要更新)'!$E670&amp;'施設状況(要更新)'!$C670</f>
        <v/>
      </c>
      <c r="W670" s="27">
        <f>'施設状況(要更新)'!$F670</f>
        <v>0</v>
      </c>
      <c r="X670" s="28"/>
    </row>
    <row r="671" spans="1:24">
      <c r="A671" s="46"/>
      <c r="B671" s="51"/>
      <c r="C671" s="47"/>
      <c r="D671" s="47"/>
      <c r="E671" s="47"/>
      <c r="F671" s="48"/>
      <c r="G671" s="48"/>
      <c r="H671" s="48"/>
      <c r="I671" s="48"/>
      <c r="J671" s="48"/>
      <c r="K671" s="48"/>
      <c r="L671" s="48"/>
      <c r="M671" s="48"/>
      <c r="N671" s="48"/>
      <c r="O671" s="48"/>
      <c r="P671" s="48"/>
      <c r="Q671" s="48"/>
      <c r="R671" s="47"/>
      <c r="S671" s="26">
        <f t="shared" si="17"/>
        <v>0</v>
      </c>
      <c r="T671" s="26">
        <f>COUNTIF($V$4:V671,V671)</f>
        <v>660</v>
      </c>
      <c r="U671" s="26" t="str">
        <f>IF(T671=1,COUNTIF($T$4:T671,1),"")</f>
        <v/>
      </c>
      <c r="V671" s="27" t="str">
        <f>'施設状況(要更新)'!$E671&amp;'施設状況(要更新)'!$C671</f>
        <v/>
      </c>
      <c r="W671" s="27">
        <f>'施設状況(要更新)'!$F671</f>
        <v>0</v>
      </c>
      <c r="X671" s="28"/>
    </row>
    <row r="672" spans="1:24">
      <c r="A672" s="46"/>
      <c r="B672" s="51"/>
      <c r="C672" s="47"/>
      <c r="D672" s="47"/>
      <c r="E672" s="47"/>
      <c r="F672" s="48"/>
      <c r="G672" s="48"/>
      <c r="H672" s="48"/>
      <c r="I672" s="48"/>
      <c r="J672" s="48"/>
      <c r="K672" s="48"/>
      <c r="L672" s="48"/>
      <c r="M672" s="48"/>
      <c r="N672" s="48"/>
      <c r="O672" s="48"/>
      <c r="P672" s="48"/>
      <c r="Q672" s="48"/>
      <c r="R672" s="47"/>
      <c r="S672" s="26">
        <f t="shared" si="17"/>
        <v>0</v>
      </c>
      <c r="T672" s="26">
        <f>COUNTIF($V$4:V672,V672)</f>
        <v>661</v>
      </c>
      <c r="U672" s="26" t="str">
        <f>IF(T672=1,COUNTIF($T$4:T672,1),"")</f>
        <v/>
      </c>
      <c r="V672" s="27" t="str">
        <f>'施設状況(要更新)'!$E672&amp;'施設状況(要更新)'!$C672</f>
        <v/>
      </c>
      <c r="W672" s="27">
        <f>'施設状況(要更新)'!$F672</f>
        <v>0</v>
      </c>
      <c r="X672" s="28"/>
    </row>
    <row r="673" spans="1:24">
      <c r="A673" s="46"/>
      <c r="B673" s="51"/>
      <c r="C673" s="47"/>
      <c r="D673" s="47"/>
      <c r="E673" s="47"/>
      <c r="F673" s="48"/>
      <c r="G673" s="48"/>
      <c r="H673" s="48"/>
      <c r="I673" s="48"/>
      <c r="J673" s="48"/>
      <c r="K673" s="48"/>
      <c r="L673" s="48"/>
      <c r="M673" s="48"/>
      <c r="N673" s="48"/>
      <c r="O673" s="48"/>
      <c r="P673" s="48"/>
      <c r="Q673" s="48"/>
      <c r="R673" s="47"/>
      <c r="S673" s="26">
        <f t="shared" si="17"/>
        <v>0</v>
      </c>
      <c r="T673" s="26">
        <f>COUNTIF($V$4:V673,V673)</f>
        <v>662</v>
      </c>
      <c r="U673" s="26" t="str">
        <f>IF(T673=1,COUNTIF($T$4:T673,1),"")</f>
        <v/>
      </c>
      <c r="V673" s="27" t="str">
        <f>'施設状況(要更新)'!$E673&amp;'施設状況(要更新)'!$C673</f>
        <v/>
      </c>
      <c r="W673" s="27">
        <f>'施設状況(要更新)'!$F673</f>
        <v>0</v>
      </c>
      <c r="X673" s="28"/>
    </row>
    <row r="674" spans="1:24">
      <c r="A674" s="46"/>
      <c r="B674" s="51"/>
      <c r="C674" s="47"/>
      <c r="D674" s="47"/>
      <c r="E674" s="47"/>
      <c r="F674" s="48"/>
      <c r="G674" s="48"/>
      <c r="H674" s="48"/>
      <c r="I674" s="48"/>
      <c r="J674" s="48"/>
      <c r="K674" s="48"/>
      <c r="L674" s="48"/>
      <c r="M674" s="48"/>
      <c r="N674" s="48"/>
      <c r="O674" s="48"/>
      <c r="P674" s="48"/>
      <c r="Q674" s="48"/>
      <c r="R674" s="47"/>
      <c r="S674" s="26">
        <f t="shared" si="17"/>
        <v>0</v>
      </c>
      <c r="T674" s="26">
        <f>COUNTIF($V$4:V674,V674)</f>
        <v>663</v>
      </c>
      <c r="U674" s="26" t="str">
        <f>IF(T674=1,COUNTIF($T$4:T674,1),"")</f>
        <v/>
      </c>
      <c r="V674" s="27" t="str">
        <f>'施設状況(要更新)'!$E674&amp;'施設状況(要更新)'!$C674</f>
        <v/>
      </c>
      <c r="W674" s="27">
        <f>'施設状況(要更新)'!$F674</f>
        <v>0</v>
      </c>
      <c r="X674" s="28"/>
    </row>
    <row r="675" spans="1:24">
      <c r="A675" s="46"/>
      <c r="B675" s="51"/>
      <c r="C675" s="47"/>
      <c r="D675" s="47"/>
      <c r="E675" s="47"/>
      <c r="F675" s="48"/>
      <c r="G675" s="48"/>
      <c r="H675" s="48"/>
      <c r="I675" s="48"/>
      <c r="J675" s="48"/>
      <c r="K675" s="48"/>
      <c r="L675" s="48"/>
      <c r="M675" s="48"/>
      <c r="N675" s="48"/>
      <c r="O675" s="48"/>
      <c r="P675" s="48"/>
      <c r="Q675" s="48"/>
      <c r="R675" s="47"/>
      <c r="S675" s="26">
        <f t="shared" si="17"/>
        <v>0</v>
      </c>
      <c r="T675" s="26">
        <f>COUNTIF($V$4:V675,V675)</f>
        <v>664</v>
      </c>
      <c r="U675" s="26" t="str">
        <f>IF(T675=1,COUNTIF($T$4:T675,1),"")</f>
        <v/>
      </c>
      <c r="V675" s="27" t="str">
        <f>'施設状況(要更新)'!$E675&amp;'施設状況(要更新)'!$C675</f>
        <v/>
      </c>
      <c r="W675" s="27">
        <f>'施設状況(要更新)'!$F675</f>
        <v>0</v>
      </c>
      <c r="X675" s="28"/>
    </row>
    <row r="676" spans="1:24">
      <c r="A676" s="46"/>
      <c r="B676" s="51"/>
      <c r="C676" s="47"/>
      <c r="D676" s="47"/>
      <c r="E676" s="47"/>
      <c r="F676" s="48"/>
      <c r="G676" s="48"/>
      <c r="H676" s="48"/>
      <c r="I676" s="48"/>
      <c r="J676" s="48"/>
      <c r="K676" s="48"/>
      <c r="L676" s="48"/>
      <c r="M676" s="48"/>
      <c r="N676" s="48"/>
      <c r="O676" s="48"/>
      <c r="P676" s="48"/>
      <c r="Q676" s="48"/>
      <c r="R676" s="47"/>
      <c r="S676" s="26">
        <f t="shared" si="17"/>
        <v>0</v>
      </c>
      <c r="T676" s="26">
        <f>COUNTIF($V$4:V676,V676)</f>
        <v>665</v>
      </c>
      <c r="U676" s="26" t="str">
        <f>IF(T676=1,COUNTIF($T$4:T676,1),"")</f>
        <v/>
      </c>
      <c r="V676" s="27" t="str">
        <f>'施設状況(要更新)'!$E676&amp;'施設状況(要更新)'!$C676</f>
        <v/>
      </c>
      <c r="W676" s="27">
        <f>'施設状況(要更新)'!$F676</f>
        <v>0</v>
      </c>
      <c r="X676" s="28"/>
    </row>
    <row r="677" spans="1:24">
      <c r="A677" s="46"/>
      <c r="B677" s="51"/>
      <c r="C677" s="47"/>
      <c r="D677" s="47"/>
      <c r="E677" s="47"/>
      <c r="F677" s="48"/>
      <c r="G677" s="48"/>
      <c r="H677" s="48"/>
      <c r="I677" s="48"/>
      <c r="J677" s="48"/>
      <c r="K677" s="48"/>
      <c r="L677" s="48"/>
      <c r="M677" s="48"/>
      <c r="N677" s="48"/>
      <c r="O677" s="48"/>
      <c r="P677" s="48"/>
      <c r="Q677" s="48"/>
      <c r="R677" s="47"/>
      <c r="S677" s="26">
        <f t="shared" si="17"/>
        <v>0</v>
      </c>
      <c r="T677" s="26">
        <f>COUNTIF($V$4:V677,V677)</f>
        <v>666</v>
      </c>
      <c r="U677" s="26" t="str">
        <f>IF(T677=1,COUNTIF($T$4:T677,1),"")</f>
        <v/>
      </c>
      <c r="V677" s="27" t="str">
        <f>'施設状況(要更新)'!$E677&amp;'施設状況(要更新)'!$C677</f>
        <v/>
      </c>
      <c r="W677" s="27">
        <f>'施設状況(要更新)'!$F677</f>
        <v>0</v>
      </c>
      <c r="X677" s="28"/>
    </row>
    <row r="678" spans="1:24">
      <c r="A678" s="46"/>
      <c r="B678" s="51"/>
      <c r="C678" s="47"/>
      <c r="D678" s="47"/>
      <c r="E678" s="47"/>
      <c r="F678" s="48"/>
      <c r="G678" s="48"/>
      <c r="H678" s="48"/>
      <c r="I678" s="48"/>
      <c r="J678" s="48"/>
      <c r="K678" s="48"/>
      <c r="L678" s="48"/>
      <c r="M678" s="48"/>
      <c r="N678" s="48"/>
      <c r="O678" s="48"/>
      <c r="P678" s="48"/>
      <c r="Q678" s="48"/>
      <c r="R678" s="47"/>
      <c r="S678" s="26">
        <f t="shared" si="17"/>
        <v>0</v>
      </c>
      <c r="T678" s="26">
        <f>COUNTIF($V$4:V678,V678)</f>
        <v>667</v>
      </c>
      <c r="U678" s="26" t="str">
        <f>IF(T678=1,COUNTIF($T$4:T678,1),"")</f>
        <v/>
      </c>
      <c r="V678" s="27" t="str">
        <f>'施設状況(要更新)'!$E678&amp;'施設状況(要更新)'!$C678</f>
        <v/>
      </c>
      <c r="W678" s="27">
        <f>'施設状況(要更新)'!$F678</f>
        <v>0</v>
      </c>
      <c r="X678" s="28"/>
    </row>
    <row r="679" spans="1:24">
      <c r="A679" s="46"/>
      <c r="B679" s="51"/>
      <c r="C679" s="47"/>
      <c r="D679" s="47"/>
      <c r="E679" s="47"/>
      <c r="F679" s="48"/>
      <c r="G679" s="48"/>
      <c r="H679" s="48"/>
      <c r="I679" s="48"/>
      <c r="J679" s="48"/>
      <c r="K679" s="48"/>
      <c r="L679" s="48"/>
      <c r="M679" s="48"/>
      <c r="N679" s="48"/>
      <c r="O679" s="48"/>
      <c r="P679" s="48"/>
      <c r="Q679" s="48"/>
      <c r="R679" s="47"/>
      <c r="S679" s="26">
        <f t="shared" si="17"/>
        <v>0</v>
      </c>
      <c r="T679" s="26">
        <f>COUNTIF($V$4:V679,V679)</f>
        <v>668</v>
      </c>
      <c r="U679" s="26" t="str">
        <f>IF(T679=1,COUNTIF($T$4:T679,1),"")</f>
        <v/>
      </c>
      <c r="V679" s="27" t="str">
        <f>'施設状況(要更新)'!$E679&amp;'施設状況(要更新)'!$C679</f>
        <v/>
      </c>
      <c r="W679" s="27">
        <f>'施設状況(要更新)'!$F679</f>
        <v>0</v>
      </c>
      <c r="X679" s="28"/>
    </row>
    <row r="680" spans="1:24">
      <c r="A680" s="46"/>
      <c r="B680" s="51"/>
      <c r="C680" s="47"/>
      <c r="D680" s="47"/>
      <c r="E680" s="47"/>
      <c r="F680" s="48"/>
      <c r="G680" s="48"/>
      <c r="H680" s="48"/>
      <c r="I680" s="48"/>
      <c r="J680" s="48"/>
      <c r="K680" s="48"/>
      <c r="L680" s="48"/>
      <c r="M680" s="48"/>
      <c r="N680" s="48"/>
      <c r="O680" s="48"/>
      <c r="P680" s="48"/>
      <c r="Q680" s="48"/>
      <c r="R680" s="47"/>
      <c r="S680" s="26">
        <f t="shared" si="17"/>
        <v>0</v>
      </c>
      <c r="T680" s="26">
        <f>COUNTIF($V$4:V680,V680)</f>
        <v>669</v>
      </c>
      <c r="U680" s="26" t="str">
        <f>IF(T680=1,COUNTIF($T$4:T680,1),"")</f>
        <v/>
      </c>
      <c r="V680" s="27" t="str">
        <f>'施設状況(要更新)'!$E680&amp;'施設状況(要更新)'!$C680</f>
        <v/>
      </c>
      <c r="W680" s="27">
        <f>'施設状況(要更新)'!$F680</f>
        <v>0</v>
      </c>
      <c r="X680" s="28"/>
    </row>
    <row r="681" spans="1:24">
      <c r="A681" s="46"/>
      <c r="B681" s="51"/>
      <c r="C681" s="47"/>
      <c r="D681" s="47"/>
      <c r="E681" s="47"/>
      <c r="F681" s="48"/>
      <c r="G681" s="48"/>
      <c r="H681" s="48"/>
      <c r="I681" s="48"/>
      <c r="J681" s="48"/>
      <c r="K681" s="48"/>
      <c r="L681" s="48"/>
      <c r="M681" s="48"/>
      <c r="N681" s="48"/>
      <c r="O681" s="48"/>
      <c r="P681" s="48"/>
      <c r="Q681" s="48"/>
      <c r="R681" s="47"/>
      <c r="S681" s="26">
        <f t="shared" si="17"/>
        <v>0</v>
      </c>
      <c r="T681" s="26">
        <f>COUNTIF($V$4:V681,V681)</f>
        <v>670</v>
      </c>
      <c r="U681" s="26" t="str">
        <f>IF(T681=1,COUNTIF($T$4:T681,1),"")</f>
        <v/>
      </c>
      <c r="V681" s="27" t="str">
        <f>'施設状況(要更新)'!$E681&amp;'施設状況(要更新)'!$C681</f>
        <v/>
      </c>
      <c r="W681" s="27">
        <f>'施設状況(要更新)'!$F681</f>
        <v>0</v>
      </c>
      <c r="X681" s="28"/>
    </row>
    <row r="682" spans="1:24">
      <c r="A682" s="46"/>
      <c r="B682" s="51"/>
      <c r="C682" s="47"/>
      <c r="D682" s="47"/>
      <c r="E682" s="47"/>
      <c r="F682" s="48"/>
      <c r="G682" s="48"/>
      <c r="H682" s="48"/>
      <c r="I682" s="48"/>
      <c r="J682" s="48"/>
      <c r="K682" s="48"/>
      <c r="L682" s="48"/>
      <c r="M682" s="48"/>
      <c r="N682" s="48"/>
      <c r="O682" s="48"/>
      <c r="P682" s="48"/>
      <c r="Q682" s="48"/>
      <c r="R682" s="47"/>
      <c r="S682" s="26">
        <f t="shared" si="17"/>
        <v>0</v>
      </c>
      <c r="T682" s="26">
        <f>COUNTIF($V$4:V682,V682)</f>
        <v>671</v>
      </c>
      <c r="U682" s="26" t="str">
        <f>IF(T682=1,COUNTIF($T$4:T682,1),"")</f>
        <v/>
      </c>
      <c r="V682" s="27" t="str">
        <f>'施設状況(要更新)'!$E682&amp;'施設状況(要更新)'!$C682</f>
        <v/>
      </c>
      <c r="W682" s="27">
        <f>'施設状況(要更新)'!$F682</f>
        <v>0</v>
      </c>
      <c r="X682" s="28"/>
    </row>
    <row r="683" spans="1:24">
      <c r="A683" s="46"/>
      <c r="B683" s="51"/>
      <c r="C683" s="47"/>
      <c r="D683" s="47"/>
      <c r="E683" s="47"/>
      <c r="F683" s="48"/>
      <c r="G683" s="48"/>
      <c r="H683" s="48"/>
      <c r="I683" s="48"/>
      <c r="J683" s="48"/>
      <c r="K683" s="48"/>
      <c r="L683" s="48"/>
      <c r="M683" s="48"/>
      <c r="N683" s="48"/>
      <c r="O683" s="48"/>
      <c r="P683" s="48"/>
      <c r="Q683" s="48"/>
      <c r="R683" s="47"/>
      <c r="S683" s="26">
        <f t="shared" si="17"/>
        <v>0</v>
      </c>
      <c r="T683" s="26">
        <f>COUNTIF($V$4:V683,V683)</f>
        <v>672</v>
      </c>
      <c r="U683" s="26" t="str">
        <f>IF(T683=1,COUNTIF($T$4:T683,1),"")</f>
        <v/>
      </c>
      <c r="V683" s="27" t="str">
        <f>'施設状況(要更新)'!$E683&amp;'施設状況(要更新)'!$C683</f>
        <v/>
      </c>
      <c r="W683" s="27">
        <f>'施設状況(要更新)'!$F683</f>
        <v>0</v>
      </c>
      <c r="X683" s="28"/>
    </row>
    <row r="684" spans="1:24">
      <c r="A684" s="46"/>
      <c r="B684" s="51"/>
      <c r="C684" s="47"/>
      <c r="D684" s="47"/>
      <c r="E684" s="47"/>
      <c r="F684" s="48"/>
      <c r="G684" s="48"/>
      <c r="H684" s="48"/>
      <c r="I684" s="48"/>
      <c r="J684" s="48"/>
      <c r="K684" s="48"/>
      <c r="L684" s="48"/>
      <c r="M684" s="48"/>
      <c r="N684" s="48"/>
      <c r="O684" s="48"/>
      <c r="P684" s="48"/>
      <c r="Q684" s="48"/>
      <c r="R684" s="47"/>
      <c r="S684" s="26">
        <f t="shared" si="17"/>
        <v>0</v>
      </c>
      <c r="T684" s="26">
        <f>COUNTIF($V$4:V684,V684)</f>
        <v>673</v>
      </c>
      <c r="U684" s="26" t="str">
        <f>IF(T684=1,COUNTIF($T$4:T684,1),"")</f>
        <v/>
      </c>
      <c r="V684" s="27" t="str">
        <f>'施設状況(要更新)'!$E684&amp;'施設状況(要更新)'!$C684</f>
        <v/>
      </c>
      <c r="W684" s="27">
        <f>'施設状況(要更新)'!$F684</f>
        <v>0</v>
      </c>
      <c r="X684" s="28"/>
    </row>
    <row r="685" spans="1:24">
      <c r="A685" s="46"/>
      <c r="B685" s="51"/>
      <c r="C685" s="47"/>
      <c r="D685" s="47"/>
      <c r="E685" s="47"/>
      <c r="F685" s="48"/>
      <c r="G685" s="48"/>
      <c r="H685" s="48"/>
      <c r="I685" s="48"/>
      <c r="J685" s="48"/>
      <c r="K685" s="48"/>
      <c r="L685" s="48"/>
      <c r="M685" s="48"/>
      <c r="N685" s="48"/>
      <c r="O685" s="48"/>
      <c r="P685" s="48"/>
      <c r="Q685" s="48"/>
      <c r="R685" s="47"/>
      <c r="S685" s="26">
        <f t="shared" si="17"/>
        <v>0</v>
      </c>
      <c r="T685" s="26">
        <f>COUNTIF($V$4:V685,V685)</f>
        <v>674</v>
      </c>
      <c r="U685" s="26" t="str">
        <f>IF(T685=1,COUNTIF($T$4:T685,1),"")</f>
        <v/>
      </c>
      <c r="V685" s="27" t="str">
        <f>'施設状況(要更新)'!$E685&amp;'施設状況(要更新)'!$C685</f>
        <v/>
      </c>
      <c r="W685" s="27">
        <f>'施設状況(要更新)'!$F685</f>
        <v>0</v>
      </c>
      <c r="X685" s="28"/>
    </row>
    <row r="686" spans="1:24">
      <c r="A686" s="46"/>
      <c r="B686" s="51"/>
      <c r="C686" s="47"/>
      <c r="D686" s="47"/>
      <c r="E686" s="47"/>
      <c r="F686" s="48"/>
      <c r="G686" s="48"/>
      <c r="H686" s="48"/>
      <c r="I686" s="48"/>
      <c r="J686" s="48"/>
      <c r="K686" s="48"/>
      <c r="L686" s="48"/>
      <c r="M686" s="48"/>
      <c r="N686" s="48"/>
      <c r="O686" s="48"/>
      <c r="P686" s="48"/>
      <c r="Q686" s="48"/>
      <c r="R686" s="47"/>
      <c r="S686" s="26">
        <f t="shared" si="17"/>
        <v>0</v>
      </c>
      <c r="T686" s="26">
        <f>COUNTIF($V$4:V686,V686)</f>
        <v>675</v>
      </c>
      <c r="U686" s="26" t="str">
        <f>IF(T686=1,COUNTIF($T$4:T686,1),"")</f>
        <v/>
      </c>
      <c r="V686" s="27" t="str">
        <f>'施設状況(要更新)'!$E686&amp;'施設状況(要更新)'!$C686</f>
        <v/>
      </c>
      <c r="W686" s="27">
        <f>'施設状況(要更新)'!$F686</f>
        <v>0</v>
      </c>
      <c r="X686" s="28"/>
    </row>
    <row r="687" spans="1:24">
      <c r="A687" s="46"/>
      <c r="B687" s="51"/>
      <c r="C687" s="47"/>
      <c r="D687" s="47"/>
      <c r="E687" s="47"/>
      <c r="F687" s="48"/>
      <c r="G687" s="48"/>
      <c r="H687" s="48"/>
      <c r="I687" s="48"/>
      <c r="J687" s="48"/>
      <c r="K687" s="48"/>
      <c r="L687" s="48"/>
      <c r="M687" s="48"/>
      <c r="N687" s="48"/>
      <c r="O687" s="48"/>
      <c r="P687" s="48"/>
      <c r="Q687" s="48"/>
      <c r="R687" s="47"/>
      <c r="S687" s="26">
        <f t="shared" si="17"/>
        <v>0</v>
      </c>
      <c r="T687" s="26">
        <f>COUNTIF($V$4:V687,V687)</f>
        <v>676</v>
      </c>
      <c r="U687" s="26" t="str">
        <f>IF(T687=1,COUNTIF($T$4:T687,1),"")</f>
        <v/>
      </c>
      <c r="V687" s="27" t="str">
        <f>'施設状況(要更新)'!$E687&amp;'施設状況(要更新)'!$C687</f>
        <v/>
      </c>
      <c r="W687" s="27">
        <f>'施設状況(要更新)'!$F687</f>
        <v>0</v>
      </c>
      <c r="X687" s="28"/>
    </row>
    <row r="688" spans="1:24">
      <c r="A688" s="46"/>
      <c r="B688" s="51"/>
      <c r="C688" s="47"/>
      <c r="D688" s="47"/>
      <c r="E688" s="47"/>
      <c r="F688" s="48"/>
      <c r="G688" s="48"/>
      <c r="H688" s="48"/>
      <c r="I688" s="48"/>
      <c r="J688" s="48"/>
      <c r="K688" s="48"/>
      <c r="L688" s="48"/>
      <c r="M688" s="48"/>
      <c r="N688" s="48"/>
      <c r="O688" s="48"/>
      <c r="P688" s="48"/>
      <c r="Q688" s="48"/>
      <c r="R688" s="47"/>
      <c r="S688" s="26">
        <f t="shared" si="17"/>
        <v>0</v>
      </c>
      <c r="T688" s="26">
        <f>COUNTIF($V$4:V688,V688)</f>
        <v>677</v>
      </c>
      <c r="U688" s="26" t="str">
        <f>IF(T688=1,COUNTIF($T$4:T688,1),"")</f>
        <v/>
      </c>
      <c r="V688" s="27" t="str">
        <f>'施設状況(要更新)'!$E688&amp;'施設状況(要更新)'!$C688</f>
        <v/>
      </c>
      <c r="W688" s="27">
        <f>'施設状況(要更新)'!$F688</f>
        <v>0</v>
      </c>
      <c r="X688" s="28"/>
    </row>
    <row r="689" spans="1:24">
      <c r="A689" s="46"/>
      <c r="B689" s="51"/>
      <c r="C689" s="47"/>
      <c r="D689" s="47"/>
      <c r="E689" s="47"/>
      <c r="F689" s="48"/>
      <c r="G689" s="48"/>
      <c r="H689" s="48"/>
      <c r="I689" s="48"/>
      <c r="J689" s="48"/>
      <c r="K689" s="48"/>
      <c r="L689" s="48"/>
      <c r="M689" s="48"/>
      <c r="N689" s="48"/>
      <c r="O689" s="48"/>
      <c r="P689" s="48"/>
      <c r="Q689" s="48"/>
      <c r="R689" s="47"/>
      <c r="S689" s="26">
        <f t="shared" si="17"/>
        <v>0</v>
      </c>
      <c r="T689" s="26">
        <f>COUNTIF($V$4:V689,V689)</f>
        <v>678</v>
      </c>
      <c r="U689" s="26" t="str">
        <f>IF(T689=1,COUNTIF($T$4:T689,1),"")</f>
        <v/>
      </c>
      <c r="V689" s="27" t="str">
        <f>'施設状況(要更新)'!$E689&amp;'施設状況(要更新)'!$C689</f>
        <v/>
      </c>
      <c r="W689" s="27">
        <f>'施設状況(要更新)'!$F689</f>
        <v>0</v>
      </c>
      <c r="X689" s="28"/>
    </row>
    <row r="690" spans="1:24">
      <c r="A690" s="46"/>
      <c r="B690" s="51"/>
      <c r="C690" s="47"/>
      <c r="D690" s="47"/>
      <c r="E690" s="47"/>
      <c r="F690" s="48"/>
      <c r="G690" s="48"/>
      <c r="H690" s="48"/>
      <c r="I690" s="48"/>
      <c r="J690" s="48"/>
      <c r="K690" s="48"/>
      <c r="L690" s="48"/>
      <c r="M690" s="48"/>
      <c r="N690" s="48"/>
      <c r="O690" s="48"/>
      <c r="P690" s="48"/>
      <c r="Q690" s="48"/>
      <c r="R690" s="47"/>
      <c r="S690" s="26">
        <f t="shared" si="17"/>
        <v>0</v>
      </c>
      <c r="T690" s="26">
        <f>COUNTIF($V$4:V690,V690)</f>
        <v>679</v>
      </c>
      <c r="U690" s="26" t="str">
        <f>IF(T690=1,COUNTIF($T$4:T690,1),"")</f>
        <v/>
      </c>
      <c r="V690" s="27" t="str">
        <f>'施設状況(要更新)'!$E690&amp;'施設状況(要更新)'!$C690</f>
        <v/>
      </c>
      <c r="W690" s="27">
        <f>'施設状況(要更新)'!$F690</f>
        <v>0</v>
      </c>
      <c r="X690" s="28"/>
    </row>
    <row r="691" spans="1:24">
      <c r="A691" s="46"/>
      <c r="B691" s="51"/>
      <c r="C691" s="47"/>
      <c r="D691" s="47"/>
      <c r="E691" s="47"/>
      <c r="F691" s="48"/>
      <c r="G691" s="48"/>
      <c r="H691" s="48"/>
      <c r="I691" s="48"/>
      <c r="J691" s="48"/>
      <c r="K691" s="48"/>
      <c r="L691" s="48"/>
      <c r="M691" s="48"/>
      <c r="N691" s="48"/>
      <c r="O691" s="48"/>
      <c r="P691" s="48"/>
      <c r="Q691" s="48"/>
      <c r="R691" s="47"/>
      <c r="S691" s="26">
        <f t="shared" si="17"/>
        <v>0</v>
      </c>
      <c r="T691" s="26">
        <f>COUNTIF($V$4:V691,V691)</f>
        <v>680</v>
      </c>
      <c r="U691" s="26" t="str">
        <f>IF(T691=1,COUNTIF($T$4:T691,1),"")</f>
        <v/>
      </c>
      <c r="V691" s="27" t="str">
        <f>'施設状況(要更新)'!$E691&amp;'施設状況(要更新)'!$C691</f>
        <v/>
      </c>
      <c r="W691" s="27">
        <f>'施設状況(要更新)'!$F691</f>
        <v>0</v>
      </c>
      <c r="X691" s="28"/>
    </row>
    <row r="692" spans="1:24">
      <c r="A692" s="46"/>
      <c r="B692" s="51"/>
      <c r="C692" s="47"/>
      <c r="D692" s="47"/>
      <c r="E692" s="47"/>
      <c r="F692" s="48"/>
      <c r="G692" s="48"/>
      <c r="H692" s="48"/>
      <c r="I692" s="48"/>
      <c r="J692" s="48"/>
      <c r="K692" s="48"/>
      <c r="L692" s="48"/>
      <c r="M692" s="48"/>
      <c r="N692" s="48"/>
      <c r="O692" s="48"/>
      <c r="P692" s="48"/>
      <c r="Q692" s="48"/>
      <c r="R692" s="47"/>
      <c r="S692" s="26">
        <f t="shared" si="17"/>
        <v>0</v>
      </c>
      <c r="T692" s="26">
        <f>COUNTIF($V$4:V692,V692)</f>
        <v>681</v>
      </c>
      <c r="U692" s="26" t="str">
        <f>IF(T692=1,COUNTIF($T$4:T692,1),"")</f>
        <v/>
      </c>
      <c r="V692" s="27" t="str">
        <f>'施設状況(要更新)'!$E692&amp;'施設状況(要更新)'!$C692</f>
        <v/>
      </c>
      <c r="W692" s="27">
        <f>'施設状況(要更新)'!$F692</f>
        <v>0</v>
      </c>
      <c r="X692" s="28"/>
    </row>
    <row r="693" spans="1:24">
      <c r="A693" s="46"/>
      <c r="B693" s="51"/>
      <c r="C693" s="47"/>
      <c r="D693" s="47"/>
      <c r="E693" s="47"/>
      <c r="F693" s="48"/>
      <c r="G693" s="48"/>
      <c r="H693" s="48"/>
      <c r="I693" s="48"/>
      <c r="J693" s="48"/>
      <c r="K693" s="48"/>
      <c r="L693" s="48"/>
      <c r="M693" s="48"/>
      <c r="N693" s="48"/>
      <c r="O693" s="48"/>
      <c r="P693" s="48"/>
      <c r="Q693" s="48"/>
      <c r="R693" s="47"/>
      <c r="S693" s="26">
        <f t="shared" si="17"/>
        <v>0</v>
      </c>
      <c r="T693" s="26">
        <f>COUNTIF($V$4:V693,V693)</f>
        <v>682</v>
      </c>
      <c r="U693" s="26" t="str">
        <f>IF(T693=1,COUNTIF($T$4:T693,1),"")</f>
        <v/>
      </c>
      <c r="V693" s="27" t="str">
        <f>'施設状況(要更新)'!$E693&amp;'施設状況(要更新)'!$C693</f>
        <v/>
      </c>
      <c r="W693" s="27">
        <f>'施設状況(要更新)'!$F693</f>
        <v>0</v>
      </c>
      <c r="X693" s="28"/>
    </row>
    <row r="694" spans="1:24">
      <c r="A694" s="46"/>
      <c r="B694" s="51"/>
      <c r="C694" s="47"/>
      <c r="D694" s="47"/>
      <c r="E694" s="47"/>
      <c r="F694" s="48"/>
      <c r="G694" s="48"/>
      <c r="H694" s="48"/>
      <c r="I694" s="48"/>
      <c r="J694" s="48"/>
      <c r="K694" s="48"/>
      <c r="L694" s="48"/>
      <c r="M694" s="48"/>
      <c r="N694" s="48"/>
      <c r="O694" s="48"/>
      <c r="P694" s="48"/>
      <c r="Q694" s="48"/>
      <c r="R694" s="47"/>
      <c r="S694" s="26">
        <f t="shared" si="17"/>
        <v>0</v>
      </c>
      <c r="T694" s="26">
        <f>COUNTIF($V$4:V694,V694)</f>
        <v>683</v>
      </c>
      <c r="U694" s="26" t="str">
        <f>IF(T694=1,COUNTIF($T$4:T694,1),"")</f>
        <v/>
      </c>
      <c r="V694" s="27" t="str">
        <f>'施設状況(要更新)'!$E694&amp;'施設状況(要更新)'!$C694</f>
        <v/>
      </c>
      <c r="W694" s="27">
        <f>'施設状況(要更新)'!$F694</f>
        <v>0</v>
      </c>
      <c r="X694" s="28"/>
    </row>
    <row r="695" spans="1:24">
      <c r="A695" s="46"/>
      <c r="B695" s="51"/>
      <c r="C695" s="47"/>
      <c r="D695" s="47"/>
      <c r="E695" s="47"/>
      <c r="F695" s="48"/>
      <c r="G695" s="48"/>
      <c r="H695" s="48"/>
      <c r="I695" s="48"/>
      <c r="J695" s="48"/>
      <c r="K695" s="48"/>
      <c r="L695" s="48"/>
      <c r="M695" s="48"/>
      <c r="N695" s="48"/>
      <c r="O695" s="48"/>
      <c r="P695" s="48"/>
      <c r="Q695" s="48"/>
      <c r="R695" s="47"/>
      <c r="S695" s="26">
        <f t="shared" si="17"/>
        <v>0</v>
      </c>
      <c r="T695" s="26">
        <f>COUNTIF($V$4:V695,V695)</f>
        <v>684</v>
      </c>
      <c r="U695" s="26" t="str">
        <f>IF(T695=1,COUNTIF($T$4:T695,1),"")</f>
        <v/>
      </c>
      <c r="V695" s="27" t="str">
        <f>'施設状況(要更新)'!$E695&amp;'施設状況(要更新)'!$C695</f>
        <v/>
      </c>
      <c r="W695" s="27">
        <f>'施設状況(要更新)'!$F695</f>
        <v>0</v>
      </c>
      <c r="X695" s="28"/>
    </row>
    <row r="696" spans="1:24">
      <c r="A696" s="46"/>
      <c r="B696" s="51"/>
      <c r="C696" s="47"/>
      <c r="D696" s="47"/>
      <c r="E696" s="47"/>
      <c r="F696" s="48"/>
      <c r="G696" s="48"/>
      <c r="H696" s="48"/>
      <c r="I696" s="48"/>
      <c r="J696" s="48"/>
      <c r="K696" s="48"/>
      <c r="L696" s="48"/>
      <c r="M696" s="48"/>
      <c r="N696" s="48"/>
      <c r="O696" s="48"/>
      <c r="P696" s="48"/>
      <c r="Q696" s="48"/>
      <c r="R696" s="47"/>
      <c r="S696" s="26">
        <f t="shared" si="17"/>
        <v>0</v>
      </c>
      <c r="T696" s="26">
        <f>COUNTIF($V$4:V696,V696)</f>
        <v>685</v>
      </c>
      <c r="U696" s="26" t="str">
        <f>IF(T696=1,COUNTIF($T$4:T696,1),"")</f>
        <v/>
      </c>
      <c r="V696" s="27" t="str">
        <f>'施設状況(要更新)'!$E696&amp;'施設状況(要更新)'!$C696</f>
        <v/>
      </c>
      <c r="W696" s="27">
        <f>'施設状況(要更新)'!$F696</f>
        <v>0</v>
      </c>
      <c r="X696" s="28"/>
    </row>
    <row r="697" spans="1:24">
      <c r="A697" s="46"/>
      <c r="B697" s="51"/>
      <c r="C697" s="47"/>
      <c r="D697" s="47"/>
      <c r="E697" s="47"/>
      <c r="F697" s="48"/>
      <c r="G697" s="48"/>
      <c r="H697" s="48"/>
      <c r="I697" s="48"/>
      <c r="J697" s="48"/>
      <c r="K697" s="48"/>
      <c r="L697" s="48"/>
      <c r="M697" s="48"/>
      <c r="N697" s="48"/>
      <c r="O697" s="48"/>
      <c r="P697" s="48"/>
      <c r="Q697" s="48"/>
      <c r="R697" s="47"/>
      <c r="S697" s="26">
        <f t="shared" si="17"/>
        <v>0</v>
      </c>
      <c r="T697" s="26">
        <f>COUNTIF($V$4:V697,V697)</f>
        <v>686</v>
      </c>
      <c r="U697" s="26" t="str">
        <f>IF(T697=1,COUNTIF($T$4:T697,1),"")</f>
        <v/>
      </c>
      <c r="V697" s="27" t="str">
        <f>'施設状況(要更新)'!$E697&amp;'施設状況(要更新)'!$C697</f>
        <v/>
      </c>
      <c r="W697" s="27">
        <f>'施設状況(要更新)'!$F697</f>
        <v>0</v>
      </c>
      <c r="X697" s="28"/>
    </row>
    <row r="698" spans="1:24">
      <c r="A698" s="46"/>
      <c r="B698" s="51"/>
      <c r="C698" s="47"/>
      <c r="D698" s="47"/>
      <c r="E698" s="47"/>
      <c r="F698" s="48"/>
      <c r="G698" s="48"/>
      <c r="H698" s="48"/>
      <c r="I698" s="48"/>
      <c r="J698" s="48"/>
      <c r="K698" s="48"/>
      <c r="L698" s="48"/>
      <c r="M698" s="48"/>
      <c r="N698" s="48"/>
      <c r="O698" s="48"/>
      <c r="P698" s="48"/>
      <c r="Q698" s="48"/>
      <c r="R698" s="47"/>
      <c r="S698" s="26">
        <f t="shared" si="17"/>
        <v>0</v>
      </c>
      <c r="T698" s="26">
        <f>COUNTIF($V$4:V698,V698)</f>
        <v>687</v>
      </c>
      <c r="U698" s="26" t="str">
        <f>IF(T698=1,COUNTIF($T$4:T698,1),"")</f>
        <v/>
      </c>
      <c r="V698" s="27" t="str">
        <f>'施設状況(要更新)'!$E698&amp;'施設状況(要更新)'!$C698</f>
        <v/>
      </c>
      <c r="W698" s="27">
        <f>'施設状況(要更新)'!$F698</f>
        <v>0</v>
      </c>
      <c r="X698" s="28"/>
    </row>
    <row r="699" spans="1:24">
      <c r="A699" s="46"/>
      <c r="B699" s="51"/>
      <c r="C699" s="47"/>
      <c r="D699" s="47"/>
      <c r="E699" s="47"/>
      <c r="F699" s="48"/>
      <c r="G699" s="48"/>
      <c r="H699" s="48"/>
      <c r="I699" s="48"/>
      <c r="J699" s="48"/>
      <c r="K699" s="48"/>
      <c r="L699" s="48"/>
      <c r="M699" s="48"/>
      <c r="N699" s="48"/>
      <c r="O699" s="48"/>
      <c r="P699" s="48"/>
      <c r="Q699" s="48"/>
      <c r="R699" s="47"/>
      <c r="S699" s="26">
        <f t="shared" si="17"/>
        <v>0</v>
      </c>
      <c r="T699" s="26">
        <f>COUNTIF($V$4:V699,V699)</f>
        <v>688</v>
      </c>
      <c r="U699" s="26" t="str">
        <f>IF(T699=1,COUNTIF($T$4:T699,1),"")</f>
        <v/>
      </c>
      <c r="V699" s="27" t="str">
        <f>'施設状況(要更新)'!$E699&amp;'施設状況(要更新)'!$C699</f>
        <v/>
      </c>
      <c r="W699" s="27">
        <f>'施設状況(要更新)'!$F699</f>
        <v>0</v>
      </c>
      <c r="X699" s="28"/>
    </row>
    <row r="700" spans="1:24">
      <c r="A700" s="46"/>
      <c r="B700" s="51"/>
      <c r="C700" s="47"/>
      <c r="D700" s="47"/>
      <c r="E700" s="47"/>
      <c r="F700" s="48"/>
      <c r="G700" s="48"/>
      <c r="H700" s="48"/>
      <c r="I700" s="48"/>
      <c r="J700" s="48"/>
      <c r="K700" s="48"/>
      <c r="L700" s="48"/>
      <c r="M700" s="48"/>
      <c r="N700" s="48"/>
      <c r="O700" s="48"/>
      <c r="P700" s="48"/>
      <c r="Q700" s="48"/>
      <c r="R700" s="47"/>
      <c r="S700" s="26">
        <f t="shared" si="17"/>
        <v>0</v>
      </c>
      <c r="T700" s="26">
        <f>COUNTIF($V$4:V700,V700)</f>
        <v>689</v>
      </c>
      <c r="U700" s="26" t="str">
        <f>IF(T700=1,COUNTIF($T$4:T700,1),"")</f>
        <v/>
      </c>
      <c r="V700" s="27" t="str">
        <f>'施設状況(要更新)'!$E700&amp;'施設状況(要更新)'!$C700</f>
        <v/>
      </c>
      <c r="W700" s="27">
        <f>'施設状況(要更新)'!$F700</f>
        <v>0</v>
      </c>
      <c r="X700" s="28"/>
    </row>
    <row r="701" spans="1:24">
      <c r="A701" s="56"/>
      <c r="B701" s="57"/>
      <c r="C701" s="57"/>
      <c r="D701" s="58" t="s">
        <v>172</v>
      </c>
      <c r="E701" s="58"/>
      <c r="F701" s="59">
        <f>SUBTOTAL(103,'施設状況(要更新)'!$F$4:$F$700)</f>
        <v>8</v>
      </c>
      <c r="G701" s="59">
        <f>SUBTOTAL(109,'施設状況(要更新)'!$G$4:$G$700)</f>
        <v>0</v>
      </c>
      <c r="H701" s="59">
        <f>SUBTOTAL(109,'施設状況(要更新)'!$H$4:$H$700)</f>
        <v>0</v>
      </c>
      <c r="I701" s="59">
        <f>SUBTOTAL(109,'施設状況(要更新)'!$I$4:$I$700)</f>
        <v>0</v>
      </c>
      <c r="J701" s="58" t="s">
        <v>173</v>
      </c>
      <c r="K701" s="60">
        <f>SUBTOTAL(109,'施設状況(要更新)'!$K$4:$K$700)</f>
        <v>0</v>
      </c>
      <c r="L701" s="60">
        <f>SUBTOTAL(109,'施設状況(要更新)'!$L$4:$L$700)</f>
        <v>0</v>
      </c>
      <c r="M701" s="60">
        <f>SUBTOTAL(109,'施設状況(要更新)'!$M$4:$M$700)</f>
        <v>8</v>
      </c>
      <c r="N701" s="60">
        <f>SUBTOTAL(109,'施設状況(要更新)'!$N$4:$N$700)</f>
        <v>32</v>
      </c>
      <c r="O701" s="60">
        <f>SUBTOTAL(109,'施設状況(要更新)'!$O$4:$O$700)</f>
        <v>40</v>
      </c>
      <c r="P701" s="60"/>
      <c r="Q701" s="60"/>
      <c r="R701" s="61">
        <f>SUBTOTAL(109,'施設状況(要更新)'!$R$4:$R$700)</f>
        <v>40</v>
      </c>
      <c r="S701" s="26"/>
      <c r="T701" s="26"/>
      <c r="U701" s="26"/>
      <c r="V701" s="27"/>
      <c r="W701" s="27"/>
      <c r="X701" s="28"/>
    </row>
    <row r="702" spans="1:24">
      <c r="A702" s="26"/>
      <c r="B702" s="26"/>
      <c r="C702" s="26"/>
      <c r="D702" s="26"/>
      <c r="E702" s="26"/>
      <c r="F702" s="62">
        <v>1</v>
      </c>
      <c r="G702" s="62">
        <v>2</v>
      </c>
      <c r="H702" s="62">
        <v>3</v>
      </c>
      <c r="I702" s="62">
        <v>4</v>
      </c>
      <c r="J702" s="62">
        <v>5</v>
      </c>
      <c r="K702" s="62">
        <v>6</v>
      </c>
      <c r="L702" s="62">
        <v>7</v>
      </c>
      <c r="M702" s="62">
        <v>8</v>
      </c>
      <c r="N702" s="62">
        <v>9</v>
      </c>
      <c r="O702" s="62">
        <v>10</v>
      </c>
      <c r="P702" s="62">
        <v>11</v>
      </c>
      <c r="Q702" s="62"/>
      <c r="R702" s="62">
        <v>12</v>
      </c>
      <c r="S702" s="26"/>
      <c r="T702" s="26"/>
      <c r="U702" s="26"/>
      <c r="V702" s="27"/>
      <c r="W702" s="27"/>
      <c r="X702" s="28"/>
    </row>
    <row r="703" spans="1:24">
      <c r="S703" s="26"/>
      <c r="T703" s="26"/>
      <c r="U703" s="26"/>
      <c r="V703" s="27"/>
      <c r="W703" s="27"/>
      <c r="X703" s="28"/>
    </row>
    <row r="704" spans="1:24">
      <c r="S704" s="26"/>
      <c r="T704" s="26"/>
      <c r="U704" s="26"/>
      <c r="V704" s="27"/>
      <c r="W704" s="27"/>
      <c r="X704" s="28"/>
    </row>
    <row r="705" spans="19:24">
      <c r="S705" s="26"/>
      <c r="T705" s="26"/>
      <c r="U705" s="26"/>
      <c r="V705" s="27"/>
      <c r="W705" s="27"/>
      <c r="X705" s="28"/>
    </row>
    <row r="706" spans="19:24">
      <c r="S706" s="26"/>
      <c r="T706" s="26"/>
      <c r="U706" s="26"/>
      <c r="V706" s="27"/>
      <c r="W706" s="27"/>
      <c r="X706" s="28"/>
    </row>
    <row r="707" spans="19:24">
      <c r="S707" s="26"/>
      <c r="T707" s="26"/>
      <c r="U707" s="26"/>
      <c r="V707" s="27"/>
      <c r="W707" s="27"/>
      <c r="X707" s="28"/>
    </row>
    <row r="708" spans="19:24">
      <c r="S708" s="26"/>
      <c r="T708" s="26"/>
      <c r="U708" s="26"/>
      <c r="V708" s="27"/>
      <c r="W708" s="27"/>
      <c r="X708" s="28"/>
    </row>
    <row r="709" spans="19:24">
      <c r="S709" s="26"/>
      <c r="T709" s="26"/>
      <c r="U709" s="26"/>
      <c r="V709" s="27"/>
      <c r="W709" s="27"/>
      <c r="X709" s="28"/>
    </row>
    <row r="710" spans="19:24">
      <c r="S710" s="26"/>
      <c r="T710" s="26"/>
      <c r="U710" s="26"/>
      <c r="V710" s="27"/>
      <c r="W710" s="27"/>
      <c r="X710" s="28"/>
    </row>
    <row r="711" spans="19:24">
      <c r="S711" s="26"/>
      <c r="T711" s="26"/>
      <c r="U711" s="26"/>
      <c r="V711" s="27"/>
      <c r="W711" s="27"/>
      <c r="X711" s="28"/>
    </row>
    <row r="712" spans="19:24">
      <c r="S712" s="26"/>
      <c r="T712" s="26"/>
      <c r="U712" s="26"/>
      <c r="V712" s="27"/>
      <c r="W712" s="27"/>
      <c r="X712" s="28"/>
    </row>
    <row r="713" spans="19:24">
      <c r="S713" s="26"/>
      <c r="T713" s="26"/>
      <c r="U713" s="26"/>
      <c r="V713" s="27"/>
      <c r="W713" s="27"/>
      <c r="X713" s="28"/>
    </row>
    <row r="714" spans="19:24">
      <c r="S714" s="26"/>
      <c r="T714" s="26"/>
      <c r="U714" s="26"/>
      <c r="V714" s="27"/>
      <c r="W714" s="27"/>
      <c r="X714" s="28"/>
    </row>
    <row r="715" spans="19:24">
      <c r="S715" s="26"/>
      <c r="T715" s="26"/>
      <c r="U715" s="26"/>
      <c r="V715" s="27"/>
      <c r="W715" s="27"/>
      <c r="X715" s="28"/>
    </row>
    <row r="716" spans="19:24">
      <c r="S716" s="26"/>
      <c r="T716" s="26"/>
      <c r="U716" s="26"/>
      <c r="V716" s="27"/>
      <c r="W716" s="27"/>
      <c r="X716" s="28"/>
    </row>
    <row r="717" spans="19:24">
      <c r="S717" s="26"/>
      <c r="T717" s="26"/>
      <c r="U717" s="26"/>
      <c r="V717" s="27"/>
      <c r="W717" s="27"/>
      <c r="X717" s="28"/>
    </row>
    <row r="718" spans="19:24">
      <c r="S718" s="26"/>
      <c r="T718" s="26"/>
      <c r="U718" s="26"/>
      <c r="V718" s="27"/>
      <c r="W718" s="27"/>
      <c r="X718" s="28"/>
    </row>
    <row r="719" spans="19:24">
      <c r="S719" s="26"/>
      <c r="T719" s="26"/>
      <c r="U719" s="26"/>
      <c r="V719" s="27"/>
      <c r="W719" s="27"/>
      <c r="X719" s="28"/>
    </row>
    <row r="720" spans="19:24">
      <c r="S720" s="26"/>
      <c r="T720" s="26"/>
      <c r="U720" s="26"/>
      <c r="V720" s="27"/>
      <c r="W720" s="27"/>
      <c r="X720" s="28"/>
    </row>
    <row r="721" spans="19:24">
      <c r="S721" s="26"/>
      <c r="T721" s="26"/>
      <c r="U721" s="26"/>
      <c r="V721" s="27"/>
      <c r="W721" s="27"/>
      <c r="X721" s="28"/>
    </row>
    <row r="722" spans="19:24">
      <c r="S722" s="26"/>
      <c r="T722" s="26"/>
      <c r="U722" s="26"/>
      <c r="V722" s="27"/>
      <c r="W722" s="27"/>
      <c r="X722" s="28"/>
    </row>
    <row r="723" spans="19:24">
      <c r="S723" s="26"/>
      <c r="T723" s="26"/>
      <c r="U723" s="26"/>
      <c r="V723" s="27"/>
      <c r="W723" s="27"/>
      <c r="X723" s="28"/>
    </row>
    <row r="724" spans="19:24">
      <c r="S724" s="26"/>
      <c r="T724" s="26"/>
      <c r="U724" s="26"/>
      <c r="V724" s="27"/>
      <c r="W724" s="27"/>
      <c r="X724" s="28"/>
    </row>
    <row r="725" spans="19:24">
      <c r="S725" s="26"/>
      <c r="T725" s="26"/>
      <c r="U725" s="26"/>
      <c r="V725" s="27"/>
      <c r="W725" s="27"/>
      <c r="X725" s="28"/>
    </row>
    <row r="726" spans="19:24">
      <c r="S726" s="26"/>
      <c r="T726" s="26"/>
      <c r="U726" s="26"/>
      <c r="V726" s="27"/>
      <c r="W726" s="27"/>
      <c r="X726" s="28"/>
    </row>
    <row r="727" spans="19:24">
      <c r="S727" s="26"/>
      <c r="T727" s="26"/>
      <c r="U727" s="26"/>
      <c r="V727" s="27"/>
      <c r="W727" s="27"/>
      <c r="X727" s="28"/>
    </row>
    <row r="728" spans="19:24">
      <c r="S728" s="26"/>
      <c r="T728" s="26"/>
      <c r="U728" s="26"/>
      <c r="V728" s="27"/>
      <c r="W728" s="27"/>
      <c r="X728" s="28"/>
    </row>
    <row r="729" spans="19:24">
      <c r="S729" s="26"/>
      <c r="T729" s="26"/>
      <c r="U729" s="26"/>
      <c r="V729" s="27"/>
      <c r="W729" s="27"/>
      <c r="X729" s="28"/>
    </row>
    <row r="730" spans="19:24">
      <c r="S730" s="26"/>
      <c r="T730" s="26"/>
      <c r="U730" s="26"/>
      <c r="V730" s="27"/>
      <c r="W730" s="27"/>
      <c r="X730" s="28"/>
    </row>
    <row r="731" spans="19:24">
      <c r="S731" s="26"/>
      <c r="T731" s="26"/>
      <c r="U731" s="26"/>
      <c r="V731" s="27"/>
      <c r="W731" s="27"/>
      <c r="X731" s="28"/>
    </row>
    <row r="732" spans="19:24">
      <c r="S732" s="26"/>
      <c r="T732" s="26"/>
      <c r="U732" s="26"/>
      <c r="V732" s="27"/>
      <c r="W732" s="27"/>
      <c r="X732" s="28"/>
    </row>
    <row r="733" spans="19:24">
      <c r="S733" s="26"/>
      <c r="T733" s="26"/>
      <c r="U733" s="26"/>
      <c r="V733" s="27"/>
      <c r="W733" s="27"/>
      <c r="X733" s="28"/>
    </row>
    <row r="734" spans="19:24">
      <c r="S734" s="26"/>
      <c r="T734" s="26"/>
      <c r="U734" s="26"/>
      <c r="V734" s="27"/>
      <c r="W734" s="27"/>
      <c r="X734" s="28"/>
    </row>
    <row r="735" spans="19:24">
      <c r="S735" s="26"/>
      <c r="T735" s="26"/>
      <c r="U735" s="26"/>
      <c r="V735" s="27"/>
      <c r="W735" s="27"/>
      <c r="X735" s="28"/>
    </row>
    <row r="736" spans="19:24">
      <c r="S736" s="26"/>
      <c r="T736" s="26"/>
      <c r="U736" s="26"/>
      <c r="V736" s="27"/>
      <c r="W736" s="27"/>
      <c r="X736" s="28"/>
    </row>
    <row r="737" spans="19:24">
      <c r="S737" s="26"/>
      <c r="T737" s="26"/>
      <c r="U737" s="26"/>
      <c r="V737" s="27"/>
      <c r="W737" s="27"/>
      <c r="X737" s="28"/>
    </row>
    <row r="738" spans="19:24">
      <c r="S738" s="26"/>
      <c r="T738" s="26"/>
      <c r="U738" s="26"/>
      <c r="V738" s="27"/>
      <c r="W738" s="27"/>
      <c r="X738" s="28"/>
    </row>
    <row r="739" spans="19:24">
      <c r="S739" s="26"/>
      <c r="T739" s="26"/>
      <c r="U739" s="26"/>
      <c r="V739" s="27"/>
      <c r="W739" s="27"/>
      <c r="X739" s="28"/>
    </row>
    <row r="740" spans="19:24">
      <c r="S740" s="26"/>
      <c r="T740" s="26"/>
      <c r="U740" s="26"/>
      <c r="V740" s="27"/>
      <c r="W740" s="27"/>
      <c r="X740" s="28"/>
    </row>
    <row r="741" spans="19:24">
      <c r="S741" s="26"/>
      <c r="T741" s="26"/>
      <c r="U741" s="26"/>
      <c r="V741" s="27"/>
      <c r="W741" s="27"/>
      <c r="X741" s="28"/>
    </row>
    <row r="742" spans="19:24">
      <c r="S742" s="26"/>
      <c r="T742" s="26"/>
      <c r="U742" s="26"/>
      <c r="V742" s="27"/>
      <c r="W742" s="27"/>
      <c r="X742" s="28"/>
    </row>
    <row r="743" spans="19:24">
      <c r="S743" s="26"/>
      <c r="T743" s="26"/>
      <c r="U743" s="26"/>
      <c r="V743" s="27"/>
      <c r="W743" s="27"/>
      <c r="X743" s="28"/>
    </row>
    <row r="744" spans="19:24">
      <c r="S744" s="26"/>
      <c r="T744" s="26"/>
      <c r="U744" s="26"/>
      <c r="V744" s="27"/>
      <c r="W744" s="27"/>
      <c r="X744" s="28"/>
    </row>
    <row r="745" spans="19:24">
      <c r="S745" s="26"/>
      <c r="T745" s="26"/>
      <c r="U745" s="26"/>
      <c r="V745" s="27"/>
      <c r="W745" s="27"/>
      <c r="X745" s="28"/>
    </row>
    <row r="746" spans="19:24">
      <c r="S746" s="26"/>
      <c r="T746" s="26"/>
      <c r="U746" s="26"/>
      <c r="V746" s="27"/>
      <c r="W746" s="27"/>
      <c r="X746" s="28"/>
    </row>
    <row r="747" spans="19:24">
      <c r="S747" s="26"/>
      <c r="T747" s="26"/>
      <c r="U747" s="26"/>
      <c r="V747" s="27"/>
      <c r="W747" s="27"/>
      <c r="X747" s="28"/>
    </row>
    <row r="748" spans="19:24">
      <c r="S748" s="26"/>
      <c r="T748" s="26"/>
      <c r="U748" s="26"/>
      <c r="V748" s="27"/>
      <c r="W748" s="27"/>
      <c r="X748" s="28"/>
    </row>
    <row r="749" spans="19:24">
      <c r="S749" s="26"/>
      <c r="T749" s="26"/>
      <c r="U749" s="26"/>
      <c r="V749" s="27"/>
      <c r="W749" s="27"/>
      <c r="X749" s="28"/>
    </row>
    <row r="750" spans="19:24">
      <c r="S750" s="26"/>
      <c r="T750" s="26"/>
      <c r="U750" s="26"/>
      <c r="V750" s="27"/>
      <c r="W750" s="27"/>
      <c r="X750" s="28"/>
    </row>
    <row r="751" spans="19:24">
      <c r="S751" s="26"/>
      <c r="T751" s="26"/>
      <c r="U751" s="26"/>
      <c r="V751" s="27"/>
      <c r="W751" s="27"/>
      <c r="X751" s="28"/>
    </row>
    <row r="752" spans="19:24">
      <c r="S752" s="26"/>
      <c r="T752" s="26"/>
      <c r="U752" s="26"/>
      <c r="V752" s="27"/>
      <c r="W752" s="27"/>
      <c r="X752" s="28"/>
    </row>
    <row r="753" spans="19:24">
      <c r="S753" s="26"/>
      <c r="T753" s="26"/>
      <c r="U753" s="26"/>
      <c r="V753" s="27"/>
      <c r="W753" s="27"/>
      <c r="X753" s="28"/>
    </row>
    <row r="754" spans="19:24">
      <c r="S754" s="26"/>
      <c r="T754" s="26"/>
      <c r="U754" s="26"/>
      <c r="V754" s="27"/>
      <c r="W754" s="27"/>
      <c r="X754" s="28"/>
    </row>
    <row r="755" spans="19:24">
      <c r="S755" s="26"/>
      <c r="T755" s="26"/>
      <c r="U755" s="26"/>
      <c r="V755" s="27"/>
      <c r="W755" s="27"/>
      <c r="X755" s="28"/>
    </row>
    <row r="756" spans="19:24">
      <c r="S756" s="26"/>
      <c r="T756" s="26"/>
      <c r="U756" s="26"/>
      <c r="V756" s="27"/>
      <c r="W756" s="27"/>
      <c r="X756" s="28"/>
    </row>
    <row r="757" spans="19:24">
      <c r="S757" s="26"/>
      <c r="T757" s="26"/>
      <c r="U757" s="26"/>
      <c r="V757" s="27"/>
      <c r="W757" s="27"/>
      <c r="X757" s="28"/>
    </row>
    <row r="758" spans="19:24">
      <c r="S758" s="26"/>
      <c r="T758" s="26"/>
      <c r="U758" s="26"/>
      <c r="V758" s="27"/>
      <c r="W758" s="27"/>
      <c r="X758" s="28"/>
    </row>
    <row r="759" spans="19:24">
      <c r="S759" s="26"/>
      <c r="T759" s="26"/>
      <c r="U759" s="26"/>
      <c r="V759" s="27"/>
      <c r="W759" s="27"/>
      <c r="X759" s="28"/>
    </row>
    <row r="760" spans="19:24">
      <c r="S760" s="26"/>
      <c r="T760" s="26"/>
      <c r="U760" s="26"/>
      <c r="V760" s="27"/>
      <c r="W760" s="27"/>
      <c r="X760" s="28"/>
    </row>
    <row r="761" spans="19:24">
      <c r="S761" s="26"/>
      <c r="T761" s="26"/>
      <c r="U761" s="26"/>
      <c r="V761" s="27"/>
      <c r="W761" s="27"/>
      <c r="X761" s="28"/>
    </row>
    <row r="762" spans="19:24">
      <c r="S762" s="26"/>
      <c r="T762" s="26"/>
      <c r="U762" s="26"/>
      <c r="V762" s="27"/>
      <c r="W762" s="27"/>
      <c r="X762" s="28"/>
    </row>
    <row r="763" spans="19:24">
      <c r="S763" s="26"/>
      <c r="T763" s="26"/>
      <c r="U763" s="26"/>
      <c r="V763" s="27"/>
      <c r="W763" s="27"/>
      <c r="X763" s="28"/>
    </row>
    <row r="764" spans="19:24">
      <c r="S764" s="26"/>
      <c r="T764" s="26"/>
      <c r="U764" s="26"/>
      <c r="V764" s="27"/>
      <c r="W764" s="27"/>
      <c r="X764" s="28"/>
    </row>
    <row r="765" spans="19:24">
      <c r="S765" s="26"/>
      <c r="T765" s="26"/>
      <c r="U765" s="26"/>
      <c r="V765" s="27"/>
      <c r="W765" s="27"/>
      <c r="X765" s="28"/>
    </row>
    <row r="766" spans="19:24">
      <c r="S766" s="26"/>
      <c r="T766" s="26"/>
      <c r="U766" s="26"/>
      <c r="V766" s="27"/>
      <c r="W766" s="27"/>
      <c r="X766" s="28"/>
    </row>
    <row r="767" spans="19:24">
      <c r="S767" s="26"/>
      <c r="T767" s="26"/>
      <c r="U767" s="26"/>
      <c r="V767" s="27"/>
      <c r="W767" s="27"/>
      <c r="X767" s="28"/>
    </row>
    <row r="768" spans="19:24">
      <c r="S768" s="26"/>
      <c r="T768" s="26"/>
      <c r="U768" s="26"/>
      <c r="V768" s="27"/>
      <c r="W768" s="27"/>
      <c r="X768" s="28"/>
    </row>
    <row r="769" spans="19:24">
      <c r="S769" s="26"/>
      <c r="T769" s="26"/>
      <c r="U769" s="26"/>
      <c r="V769" s="27"/>
      <c r="W769" s="27"/>
      <c r="X769" s="28"/>
    </row>
    <row r="770" spans="19:24">
      <c r="S770" s="26"/>
      <c r="T770" s="26"/>
      <c r="U770" s="26"/>
      <c r="V770" s="27"/>
      <c r="W770" s="27"/>
      <c r="X770" s="28"/>
    </row>
    <row r="771" spans="19:24">
      <c r="S771" s="26"/>
      <c r="T771" s="26"/>
      <c r="U771" s="26"/>
      <c r="V771" s="27"/>
      <c r="W771" s="27"/>
      <c r="X771" s="28"/>
    </row>
    <row r="772" spans="19:24">
      <c r="S772" s="26"/>
      <c r="T772" s="26"/>
      <c r="U772" s="26"/>
      <c r="V772" s="27"/>
      <c r="W772" s="27"/>
      <c r="X772" s="28"/>
    </row>
    <row r="773" spans="19:24">
      <c r="S773" s="26"/>
      <c r="T773" s="26"/>
      <c r="U773" s="26"/>
      <c r="V773" s="27"/>
      <c r="W773" s="27"/>
      <c r="X773" s="28"/>
    </row>
    <row r="774" spans="19:24">
      <c r="S774" s="26"/>
      <c r="T774" s="26"/>
      <c r="U774" s="26"/>
      <c r="V774" s="27"/>
      <c r="W774" s="27"/>
      <c r="X774" s="28"/>
    </row>
    <row r="775" spans="19:24">
      <c r="S775" s="26"/>
      <c r="T775" s="26"/>
      <c r="U775" s="26"/>
      <c r="V775" s="27"/>
      <c r="W775" s="27"/>
      <c r="X775" s="28"/>
    </row>
    <row r="776" spans="19:24">
      <c r="S776" s="26"/>
      <c r="T776" s="26"/>
      <c r="U776" s="26"/>
      <c r="V776" s="27"/>
      <c r="W776" s="27"/>
      <c r="X776" s="28"/>
    </row>
    <row r="777" spans="19:24">
      <c r="S777" s="26"/>
      <c r="T777" s="26"/>
      <c r="U777" s="26"/>
      <c r="V777" s="27"/>
      <c r="W777" s="27"/>
      <c r="X777" s="28"/>
    </row>
    <row r="778" spans="19:24">
      <c r="S778" s="26"/>
      <c r="T778" s="26"/>
      <c r="U778" s="26"/>
      <c r="V778" s="27"/>
      <c r="W778" s="27"/>
      <c r="X778" s="28"/>
    </row>
    <row r="779" spans="19:24">
      <c r="S779" s="26"/>
      <c r="T779" s="26"/>
      <c r="U779" s="26"/>
      <c r="V779" s="27"/>
      <c r="W779" s="27"/>
      <c r="X779" s="28"/>
    </row>
    <row r="780" spans="19:24">
      <c r="S780" s="26"/>
      <c r="T780" s="26"/>
      <c r="U780" s="26"/>
      <c r="V780" s="27"/>
      <c r="W780" s="27"/>
      <c r="X780" s="28"/>
    </row>
    <row r="781" spans="19:24">
      <c r="S781" s="26"/>
      <c r="T781" s="26"/>
      <c r="U781" s="26"/>
      <c r="V781" s="27"/>
      <c r="W781" s="27"/>
      <c r="X781" s="28"/>
    </row>
    <row r="782" spans="19:24">
      <c r="S782" s="26"/>
      <c r="T782" s="26"/>
      <c r="U782" s="26"/>
      <c r="V782" s="27"/>
      <c r="W782" s="27"/>
      <c r="X782" s="28"/>
    </row>
    <row r="783" spans="19:24">
      <c r="S783" s="26"/>
      <c r="T783" s="26"/>
      <c r="U783" s="26"/>
      <c r="V783" s="27"/>
      <c r="W783" s="27"/>
      <c r="X783" s="28"/>
    </row>
    <row r="784" spans="19:24">
      <c r="S784" s="26"/>
      <c r="T784" s="26"/>
      <c r="U784" s="26"/>
      <c r="V784" s="27"/>
      <c r="W784" s="27"/>
      <c r="X784" s="28"/>
    </row>
    <row r="785" spans="19:24">
      <c r="S785" s="26"/>
      <c r="T785" s="26"/>
      <c r="U785" s="26"/>
      <c r="V785" s="27"/>
      <c r="W785" s="27"/>
      <c r="X785" s="28"/>
    </row>
    <row r="786" spans="19:24">
      <c r="S786" s="26"/>
      <c r="T786" s="26"/>
      <c r="U786" s="26"/>
      <c r="V786" s="27"/>
      <c r="W786" s="27"/>
      <c r="X786" s="28"/>
    </row>
    <row r="787" spans="19:24">
      <c r="S787" s="26"/>
      <c r="T787" s="26"/>
      <c r="U787" s="26"/>
      <c r="V787" s="27"/>
      <c r="W787" s="27"/>
      <c r="X787" s="28"/>
    </row>
    <row r="788" spans="19:24">
      <c r="S788" s="26"/>
      <c r="T788" s="26"/>
      <c r="U788" s="26"/>
      <c r="V788" s="27"/>
      <c r="W788" s="27"/>
      <c r="X788" s="28"/>
    </row>
    <row r="789" spans="19:24">
      <c r="S789" s="26"/>
      <c r="T789" s="26"/>
      <c r="U789" s="26"/>
      <c r="V789" s="27"/>
      <c r="W789" s="27"/>
      <c r="X789" s="28"/>
    </row>
    <row r="790" spans="19:24">
      <c r="S790" s="26"/>
      <c r="T790" s="26"/>
      <c r="U790" s="26"/>
      <c r="V790" s="27"/>
      <c r="W790" s="27"/>
      <c r="X790" s="28"/>
    </row>
    <row r="791" spans="19:24">
      <c r="S791" s="26"/>
      <c r="T791" s="26"/>
      <c r="U791" s="26"/>
      <c r="V791" s="27"/>
      <c r="W791" s="27"/>
      <c r="X791" s="28"/>
    </row>
    <row r="792" spans="19:24">
      <c r="S792" s="26"/>
      <c r="T792" s="26"/>
      <c r="U792" s="26"/>
      <c r="V792" s="27"/>
      <c r="W792" s="27"/>
      <c r="X792" s="28"/>
    </row>
    <row r="793" spans="19:24">
      <c r="S793" s="26"/>
      <c r="T793" s="26"/>
      <c r="U793" s="26"/>
      <c r="V793" s="27"/>
      <c r="W793" s="27"/>
      <c r="X793" s="28"/>
    </row>
    <row r="794" spans="19:24">
      <c r="S794" s="26"/>
      <c r="T794" s="26"/>
      <c r="U794" s="26"/>
      <c r="V794" s="27"/>
      <c r="W794" s="27"/>
      <c r="X794" s="28"/>
    </row>
    <row r="795" spans="19:24">
      <c r="S795" s="26"/>
      <c r="T795" s="26"/>
      <c r="U795" s="26"/>
      <c r="V795" s="27"/>
      <c r="W795" s="27"/>
      <c r="X795" s="28"/>
    </row>
    <row r="796" spans="19:24">
      <c r="S796" s="26"/>
      <c r="T796" s="26"/>
      <c r="U796" s="26"/>
      <c r="V796" s="27"/>
      <c r="W796" s="27"/>
      <c r="X796" s="28"/>
    </row>
    <row r="797" spans="19:24">
      <c r="S797" s="26"/>
      <c r="T797" s="26"/>
      <c r="U797" s="26"/>
      <c r="V797" s="27"/>
      <c r="W797" s="27"/>
      <c r="X797" s="28"/>
    </row>
    <row r="798" spans="19:24">
      <c r="S798" s="26"/>
      <c r="T798" s="26"/>
      <c r="U798" s="26"/>
      <c r="V798" s="27"/>
      <c r="W798" s="27"/>
      <c r="X798" s="28"/>
    </row>
    <row r="799" spans="19:24">
      <c r="S799" s="26"/>
      <c r="T799" s="26"/>
      <c r="U799" s="26"/>
      <c r="V799" s="27"/>
      <c r="W799" s="27"/>
      <c r="X799" s="28"/>
    </row>
    <row r="800" spans="19:24">
      <c r="S800" s="26"/>
      <c r="T800" s="26"/>
      <c r="U800" s="26"/>
      <c r="V800" s="27"/>
      <c r="W800" s="27"/>
      <c r="X800" s="28"/>
    </row>
    <row r="801" spans="19:24">
      <c r="S801" s="26"/>
      <c r="T801" s="26"/>
      <c r="U801" s="26"/>
      <c r="V801" s="27"/>
      <c r="W801" s="27"/>
      <c r="X801" s="28"/>
    </row>
    <row r="802" spans="19:24">
      <c r="S802" s="26"/>
      <c r="T802" s="26"/>
      <c r="U802" s="26"/>
      <c r="V802" s="27"/>
      <c r="W802" s="27"/>
      <c r="X802" s="28"/>
    </row>
    <row r="803" spans="19:24">
      <c r="S803" s="26"/>
      <c r="T803" s="26"/>
      <c r="U803" s="26"/>
      <c r="V803" s="27"/>
      <c r="W803" s="27"/>
      <c r="X803" s="28"/>
    </row>
    <row r="804" spans="19:24">
      <c r="S804" s="26"/>
      <c r="T804" s="26"/>
      <c r="U804" s="26"/>
      <c r="V804" s="27"/>
      <c r="W804" s="27"/>
      <c r="X804" s="28"/>
    </row>
    <row r="805" spans="19:24">
      <c r="S805" s="26"/>
      <c r="T805" s="26"/>
      <c r="U805" s="26"/>
      <c r="V805" s="27"/>
      <c r="W805" s="27"/>
      <c r="X805" s="28"/>
    </row>
    <row r="806" spans="19:24">
      <c r="S806" s="26"/>
      <c r="T806" s="26"/>
      <c r="U806" s="26"/>
      <c r="V806" s="27"/>
      <c r="W806" s="27"/>
      <c r="X806" s="28"/>
    </row>
    <row r="807" spans="19:24">
      <c r="S807" s="26"/>
      <c r="T807" s="26"/>
      <c r="U807" s="26"/>
      <c r="V807" s="27"/>
      <c r="W807" s="27"/>
      <c r="X807" s="28"/>
    </row>
    <row r="808" spans="19:24">
      <c r="S808" s="26"/>
      <c r="T808" s="26"/>
      <c r="U808" s="26"/>
      <c r="V808" s="27"/>
      <c r="W808" s="27"/>
      <c r="X808" s="28"/>
    </row>
    <row r="809" spans="19:24">
      <c r="S809" s="26"/>
      <c r="T809" s="26"/>
      <c r="U809" s="26"/>
      <c r="V809" s="27"/>
      <c r="W809" s="27"/>
      <c r="X809" s="28"/>
    </row>
    <row r="810" spans="19:24">
      <c r="S810" s="26"/>
      <c r="T810" s="26"/>
      <c r="U810" s="26"/>
      <c r="V810" s="27"/>
      <c r="W810" s="27"/>
      <c r="X810" s="28"/>
    </row>
    <row r="811" spans="19:24">
      <c r="S811" s="26"/>
      <c r="T811" s="26"/>
      <c r="U811" s="26"/>
      <c r="V811" s="27"/>
      <c r="W811" s="27"/>
      <c r="X811" s="28"/>
    </row>
    <row r="812" spans="19:24">
      <c r="S812" s="26"/>
      <c r="T812" s="26"/>
      <c r="U812" s="26"/>
      <c r="V812" s="27"/>
      <c r="W812" s="27"/>
      <c r="X812" s="28"/>
    </row>
    <row r="813" spans="19:24">
      <c r="S813" s="26"/>
      <c r="T813" s="26"/>
      <c r="U813" s="26"/>
      <c r="V813" s="27"/>
      <c r="W813" s="27"/>
      <c r="X813" s="28"/>
    </row>
    <row r="814" spans="19:24">
      <c r="S814" s="26"/>
      <c r="T814" s="26"/>
      <c r="U814" s="26"/>
      <c r="V814" s="27"/>
      <c r="W814" s="27"/>
      <c r="X814" s="28"/>
    </row>
    <row r="815" spans="19:24">
      <c r="S815" s="26"/>
      <c r="T815" s="26"/>
      <c r="U815" s="26"/>
      <c r="V815" s="27"/>
      <c r="W815" s="27"/>
      <c r="X815" s="28"/>
    </row>
    <row r="816" spans="19:24">
      <c r="S816" s="26"/>
      <c r="T816" s="26"/>
      <c r="U816" s="26"/>
      <c r="V816" s="27"/>
      <c r="W816" s="27"/>
      <c r="X816" s="28"/>
    </row>
    <row r="817" spans="19:24">
      <c r="S817" s="26"/>
      <c r="T817" s="26"/>
      <c r="U817" s="26"/>
      <c r="V817" s="27"/>
      <c r="W817" s="27"/>
      <c r="X817" s="28"/>
    </row>
    <row r="818" spans="19:24">
      <c r="S818" s="26"/>
      <c r="T818" s="26"/>
      <c r="U818" s="26"/>
      <c r="V818" s="27"/>
      <c r="W818" s="27"/>
      <c r="X818" s="28"/>
    </row>
    <row r="819" spans="19:24">
      <c r="S819" s="26"/>
      <c r="T819" s="26"/>
      <c r="U819" s="26"/>
      <c r="V819" s="27"/>
      <c r="W819" s="27"/>
      <c r="X819" s="28"/>
    </row>
    <row r="820" spans="19:24">
      <c r="S820" s="26"/>
      <c r="T820" s="26"/>
      <c r="U820" s="26"/>
      <c r="V820" s="27"/>
      <c r="W820" s="27"/>
      <c r="X820" s="28"/>
    </row>
    <row r="821" spans="19:24">
      <c r="S821" s="26"/>
      <c r="T821" s="26"/>
      <c r="U821" s="26"/>
      <c r="V821" s="27"/>
      <c r="W821" s="27"/>
      <c r="X821" s="28"/>
    </row>
    <row r="822" spans="19:24">
      <c r="S822" s="26"/>
      <c r="T822" s="26"/>
      <c r="U822" s="26"/>
      <c r="V822" s="27"/>
      <c r="W822" s="27"/>
      <c r="X822" s="28"/>
    </row>
    <row r="823" spans="19:24">
      <c r="S823" s="26"/>
      <c r="T823" s="26"/>
      <c r="U823" s="26"/>
      <c r="V823" s="27"/>
      <c r="W823" s="27"/>
      <c r="X823" s="28"/>
    </row>
    <row r="824" spans="19:24">
      <c r="S824" s="26"/>
      <c r="T824" s="26"/>
      <c r="U824" s="26"/>
      <c r="V824" s="27"/>
      <c r="W824" s="27"/>
      <c r="X824" s="28"/>
    </row>
    <row r="825" spans="19:24">
      <c r="S825" s="26"/>
      <c r="T825" s="26"/>
      <c r="U825" s="26"/>
      <c r="V825" s="27"/>
      <c r="W825" s="27"/>
      <c r="X825" s="28"/>
    </row>
    <row r="826" spans="19:24">
      <c r="S826" s="26"/>
      <c r="T826" s="26"/>
      <c r="U826" s="26"/>
      <c r="V826" s="27"/>
      <c r="W826" s="27"/>
      <c r="X826" s="28"/>
    </row>
    <row r="827" spans="19:24">
      <c r="S827" s="26"/>
      <c r="T827" s="26"/>
      <c r="U827" s="26"/>
      <c r="V827" s="27"/>
      <c r="W827" s="27"/>
      <c r="X827" s="28"/>
    </row>
    <row r="828" spans="19:24">
      <c r="S828" s="26"/>
      <c r="T828" s="26"/>
      <c r="U828" s="26"/>
      <c r="V828" s="27"/>
      <c r="W828" s="27"/>
      <c r="X828" s="28"/>
    </row>
    <row r="829" spans="19:24">
      <c r="S829" s="26"/>
      <c r="T829" s="26"/>
      <c r="U829" s="26"/>
      <c r="V829" s="27"/>
      <c r="W829" s="27"/>
      <c r="X829" s="28"/>
    </row>
    <row r="830" spans="19:24">
      <c r="S830" s="26"/>
      <c r="T830" s="26"/>
      <c r="U830" s="26"/>
      <c r="V830" s="27"/>
      <c r="W830" s="27"/>
      <c r="X830" s="28"/>
    </row>
    <row r="831" spans="19:24">
      <c r="S831" s="26"/>
      <c r="T831" s="26"/>
      <c r="U831" s="26"/>
      <c r="V831" s="27"/>
      <c r="W831" s="27"/>
      <c r="X831" s="28"/>
    </row>
    <row r="832" spans="19:24">
      <c r="S832" s="26"/>
      <c r="T832" s="26"/>
      <c r="U832" s="26"/>
      <c r="V832" s="27"/>
      <c r="W832" s="27"/>
      <c r="X832" s="28"/>
    </row>
    <row r="833" spans="19:24">
      <c r="S833" s="26"/>
      <c r="T833" s="26"/>
      <c r="U833" s="26"/>
      <c r="V833" s="27"/>
      <c r="W833" s="27"/>
      <c r="X833" s="28"/>
    </row>
    <row r="834" spans="19:24">
      <c r="S834" s="26"/>
      <c r="T834" s="26"/>
      <c r="U834" s="26"/>
      <c r="V834" s="27"/>
      <c r="W834" s="27"/>
      <c r="X834" s="28"/>
    </row>
    <row r="835" spans="19:24">
      <c r="S835" s="26"/>
      <c r="T835" s="26"/>
      <c r="U835" s="26"/>
      <c r="V835" s="27"/>
      <c r="W835" s="27"/>
      <c r="X835" s="28"/>
    </row>
    <row r="836" spans="19:24">
      <c r="S836" s="26"/>
      <c r="T836" s="26"/>
      <c r="U836" s="26"/>
      <c r="V836" s="27"/>
      <c r="W836" s="27"/>
      <c r="X836" s="28"/>
    </row>
    <row r="837" spans="19:24">
      <c r="S837" s="26"/>
      <c r="T837" s="26"/>
      <c r="U837" s="26"/>
      <c r="V837" s="27"/>
      <c r="W837" s="27"/>
      <c r="X837" s="28"/>
    </row>
    <row r="838" spans="19:24">
      <c r="S838" s="26"/>
      <c r="T838" s="26"/>
      <c r="U838" s="26"/>
      <c r="V838" s="27"/>
      <c r="W838" s="27"/>
      <c r="X838" s="28"/>
    </row>
    <row r="839" spans="19:24">
      <c r="S839" s="26"/>
      <c r="T839" s="26"/>
      <c r="U839" s="26"/>
      <c r="V839" s="27"/>
      <c r="W839" s="27"/>
      <c r="X839" s="28"/>
    </row>
    <row r="840" spans="19:24">
      <c r="S840" s="26"/>
      <c r="T840" s="26"/>
      <c r="U840" s="26"/>
      <c r="V840" s="27"/>
      <c r="W840" s="27"/>
      <c r="X840" s="28"/>
    </row>
    <row r="841" spans="19:24">
      <c r="S841" s="26"/>
      <c r="T841" s="26"/>
      <c r="U841" s="26"/>
      <c r="V841" s="27"/>
      <c r="W841" s="27"/>
      <c r="X841" s="28"/>
    </row>
    <row r="842" spans="19:24">
      <c r="S842" s="26"/>
      <c r="T842" s="26"/>
      <c r="U842" s="26"/>
      <c r="V842" s="27"/>
      <c r="W842" s="27"/>
      <c r="X842" s="28"/>
    </row>
    <row r="843" spans="19:24">
      <c r="S843" s="26"/>
      <c r="T843" s="26"/>
      <c r="U843" s="26"/>
      <c r="V843" s="27"/>
      <c r="W843" s="27"/>
      <c r="X843" s="28"/>
    </row>
    <row r="844" spans="19:24">
      <c r="S844" s="26"/>
      <c r="T844" s="26"/>
      <c r="U844" s="26"/>
      <c r="V844" s="27"/>
      <c r="W844" s="27"/>
      <c r="X844" s="28"/>
    </row>
    <row r="845" spans="19:24">
      <c r="S845" s="26"/>
      <c r="T845" s="26"/>
      <c r="U845" s="26"/>
      <c r="V845" s="27"/>
      <c r="W845" s="27"/>
      <c r="X845" s="28"/>
    </row>
    <row r="846" spans="19:24">
      <c r="S846" s="26"/>
      <c r="T846" s="26"/>
      <c r="U846" s="26"/>
      <c r="V846" s="27"/>
      <c r="W846" s="27"/>
      <c r="X846" s="28"/>
    </row>
    <row r="847" spans="19:24">
      <c r="S847" s="26"/>
      <c r="T847" s="26"/>
      <c r="U847" s="26"/>
      <c r="V847" s="27"/>
      <c r="W847" s="27"/>
      <c r="X847" s="28"/>
    </row>
    <row r="848" spans="19:24">
      <c r="S848" s="26"/>
      <c r="T848" s="26"/>
      <c r="U848" s="26"/>
      <c r="V848" s="27"/>
      <c r="W848" s="27"/>
      <c r="X848" s="28"/>
    </row>
    <row r="849" spans="19:24">
      <c r="S849" s="26"/>
      <c r="T849" s="26"/>
      <c r="U849" s="26"/>
      <c r="V849" s="27"/>
      <c r="W849" s="27"/>
      <c r="X849" s="28"/>
    </row>
    <row r="850" spans="19:24">
      <c r="S850" s="26"/>
      <c r="T850" s="26"/>
      <c r="U850" s="26"/>
      <c r="V850" s="27"/>
      <c r="W850" s="27"/>
      <c r="X850" s="28"/>
    </row>
    <row r="851" spans="19:24">
      <c r="S851" s="26"/>
      <c r="T851" s="26"/>
      <c r="U851" s="26"/>
      <c r="V851" s="27"/>
      <c r="W851" s="27"/>
      <c r="X851" s="28"/>
    </row>
    <row r="852" spans="19:24">
      <c r="S852" s="26"/>
      <c r="T852" s="26"/>
      <c r="U852" s="26"/>
      <c r="V852" s="27"/>
      <c r="W852" s="27"/>
      <c r="X852" s="28"/>
    </row>
    <row r="853" spans="19:24">
      <c r="S853" s="26"/>
      <c r="T853" s="26"/>
      <c r="U853" s="26"/>
      <c r="V853" s="27"/>
      <c r="W853" s="27"/>
      <c r="X853" s="28"/>
    </row>
    <row r="854" spans="19:24">
      <c r="S854" s="26"/>
      <c r="T854" s="26"/>
      <c r="U854" s="26"/>
      <c r="V854" s="27"/>
      <c r="W854" s="27"/>
      <c r="X854" s="28"/>
    </row>
    <row r="855" spans="19:24">
      <c r="S855" s="26"/>
      <c r="T855" s="26"/>
      <c r="U855" s="26"/>
      <c r="V855" s="27"/>
      <c r="W855" s="27"/>
      <c r="X855" s="28"/>
    </row>
    <row r="856" spans="19:24">
      <c r="S856" s="26"/>
      <c r="T856" s="26"/>
      <c r="U856" s="26"/>
      <c r="V856" s="27"/>
      <c r="W856" s="27"/>
      <c r="X856" s="28"/>
    </row>
    <row r="857" spans="19:24">
      <c r="S857" s="26"/>
      <c r="T857" s="26"/>
      <c r="U857" s="26"/>
      <c r="V857" s="27"/>
      <c r="W857" s="27"/>
      <c r="X857" s="28"/>
    </row>
    <row r="858" spans="19:24">
      <c r="S858" s="26"/>
      <c r="T858" s="26"/>
      <c r="U858" s="26"/>
      <c r="V858" s="27"/>
      <c r="W858" s="27"/>
      <c r="X858" s="28"/>
    </row>
    <row r="859" spans="19:24">
      <c r="S859" s="26"/>
      <c r="T859" s="26"/>
      <c r="U859" s="26"/>
      <c r="V859" s="27"/>
      <c r="W859" s="27"/>
      <c r="X859" s="28"/>
    </row>
    <row r="860" spans="19:24">
      <c r="S860" s="26"/>
      <c r="T860" s="26"/>
      <c r="U860" s="26"/>
      <c r="V860" s="27"/>
      <c r="W860" s="27"/>
      <c r="X860" s="28"/>
    </row>
    <row r="861" spans="19:24">
      <c r="S861" s="26"/>
      <c r="T861" s="26"/>
      <c r="U861" s="26"/>
      <c r="V861" s="27"/>
      <c r="W861" s="27"/>
      <c r="X861" s="28"/>
    </row>
    <row r="862" spans="19:24">
      <c r="S862" s="26"/>
      <c r="T862" s="26"/>
      <c r="U862" s="26"/>
      <c r="V862" s="27"/>
      <c r="W862" s="27"/>
      <c r="X862" s="28"/>
    </row>
    <row r="863" spans="19:24">
      <c r="S863" s="26"/>
      <c r="T863" s="26"/>
      <c r="U863" s="26"/>
      <c r="V863" s="27"/>
      <c r="W863" s="27"/>
      <c r="X863" s="28"/>
    </row>
    <row r="864" spans="19:24">
      <c r="S864" s="26"/>
      <c r="T864" s="26"/>
      <c r="U864" s="26"/>
      <c r="V864" s="27"/>
      <c r="W864" s="27"/>
      <c r="X864" s="28"/>
    </row>
    <row r="865" spans="19:24">
      <c r="S865" s="26"/>
      <c r="T865" s="26"/>
      <c r="U865" s="26"/>
      <c r="V865" s="27"/>
      <c r="W865" s="27"/>
      <c r="X865" s="28"/>
    </row>
    <row r="866" spans="19:24">
      <c r="S866" s="26"/>
      <c r="T866" s="26"/>
      <c r="U866" s="26"/>
      <c r="V866" s="27"/>
      <c r="W866" s="27"/>
      <c r="X866" s="28"/>
    </row>
    <row r="867" spans="19:24">
      <c r="S867" s="26"/>
      <c r="T867" s="26"/>
      <c r="U867" s="26"/>
      <c r="V867" s="27"/>
      <c r="W867" s="27"/>
      <c r="X867" s="28"/>
    </row>
    <row r="868" spans="19:24">
      <c r="S868" s="26"/>
      <c r="T868" s="26"/>
      <c r="U868" s="26"/>
      <c r="V868" s="27"/>
      <c r="W868" s="27"/>
      <c r="X868" s="28"/>
    </row>
    <row r="869" spans="19:24">
      <c r="S869" s="26"/>
      <c r="T869" s="26"/>
      <c r="U869" s="26"/>
      <c r="V869" s="27"/>
      <c r="W869" s="27"/>
      <c r="X869" s="28"/>
    </row>
    <row r="870" spans="19:24">
      <c r="S870" s="26"/>
      <c r="T870" s="26"/>
      <c r="U870" s="26"/>
      <c r="V870" s="27"/>
      <c r="W870" s="27"/>
      <c r="X870" s="28"/>
    </row>
    <row r="871" spans="19:24">
      <c r="S871" s="26"/>
      <c r="T871" s="26"/>
      <c r="U871" s="26"/>
      <c r="V871" s="27"/>
      <c r="W871" s="27"/>
      <c r="X871" s="28"/>
    </row>
    <row r="872" spans="19:24">
      <c r="S872" s="26"/>
      <c r="T872" s="26"/>
      <c r="U872" s="26"/>
      <c r="V872" s="27"/>
      <c r="W872" s="27"/>
      <c r="X872" s="28"/>
    </row>
    <row r="873" spans="19:24">
      <c r="S873" s="26"/>
      <c r="T873" s="26"/>
      <c r="U873" s="26"/>
      <c r="V873" s="27"/>
      <c r="W873" s="27"/>
      <c r="X873" s="28"/>
    </row>
    <row r="874" spans="19:24">
      <c r="S874" s="26"/>
      <c r="T874" s="26"/>
      <c r="U874" s="26"/>
      <c r="V874" s="27"/>
      <c r="W874" s="27"/>
      <c r="X874" s="28"/>
    </row>
    <row r="875" spans="19:24">
      <c r="S875" s="26"/>
      <c r="T875" s="26"/>
      <c r="U875" s="26"/>
      <c r="V875" s="27"/>
      <c r="W875" s="27"/>
      <c r="X875" s="28"/>
    </row>
    <row r="876" spans="19:24">
      <c r="S876" s="26"/>
      <c r="T876" s="26"/>
      <c r="U876" s="26"/>
      <c r="V876" s="27"/>
      <c r="W876" s="27"/>
      <c r="X876" s="28"/>
    </row>
    <row r="877" spans="19:24">
      <c r="S877" s="26"/>
      <c r="T877" s="26"/>
      <c r="U877" s="26"/>
      <c r="V877" s="27"/>
      <c r="W877" s="27"/>
      <c r="X877" s="28"/>
    </row>
    <row r="878" spans="19:24">
      <c r="S878" s="26"/>
      <c r="T878" s="26"/>
      <c r="U878" s="26"/>
      <c r="V878" s="27"/>
      <c r="W878" s="27"/>
      <c r="X878" s="28"/>
    </row>
    <row r="879" spans="19:24">
      <c r="S879" s="26"/>
      <c r="T879" s="26"/>
      <c r="U879" s="26"/>
      <c r="V879" s="27"/>
      <c r="W879" s="27"/>
      <c r="X879" s="28"/>
    </row>
    <row r="880" spans="19:24">
      <c r="S880" s="26"/>
      <c r="T880" s="26"/>
      <c r="U880" s="26"/>
      <c r="V880" s="27"/>
      <c r="W880" s="27"/>
      <c r="X880" s="28"/>
    </row>
    <row r="881" spans="19:24">
      <c r="S881" s="26"/>
      <c r="T881" s="26"/>
      <c r="U881" s="26"/>
      <c r="V881" s="27"/>
      <c r="W881" s="27"/>
      <c r="X881" s="28"/>
    </row>
    <row r="882" spans="19:24">
      <c r="S882" s="26"/>
      <c r="T882" s="26"/>
      <c r="U882" s="26"/>
      <c r="V882" s="27"/>
      <c r="W882" s="27"/>
      <c r="X882" s="28"/>
    </row>
    <row r="883" spans="19:24">
      <c r="S883" s="26"/>
      <c r="T883" s="26"/>
      <c r="U883" s="26"/>
      <c r="V883" s="27"/>
      <c r="W883" s="27"/>
      <c r="X883" s="28"/>
    </row>
    <row r="884" spans="19:24">
      <c r="S884" s="26"/>
      <c r="T884" s="26"/>
      <c r="U884" s="26"/>
      <c r="V884" s="27"/>
      <c r="W884" s="27"/>
      <c r="X884" s="28"/>
    </row>
    <row r="885" spans="19:24">
      <c r="S885" s="26"/>
      <c r="T885" s="26"/>
      <c r="U885" s="26"/>
      <c r="V885" s="27"/>
      <c r="W885" s="27"/>
      <c r="X885" s="28"/>
    </row>
    <row r="886" spans="19:24">
      <c r="S886" s="26"/>
      <c r="T886" s="26"/>
      <c r="U886" s="26"/>
      <c r="V886" s="27"/>
      <c r="W886" s="27"/>
      <c r="X886" s="28"/>
    </row>
    <row r="887" spans="19:24">
      <c r="S887" s="26"/>
      <c r="T887" s="26"/>
      <c r="U887" s="26"/>
      <c r="V887" s="27"/>
      <c r="W887" s="27"/>
      <c r="X887" s="28"/>
    </row>
    <row r="888" spans="19:24">
      <c r="S888" s="26"/>
      <c r="T888" s="26"/>
      <c r="U888" s="26"/>
      <c r="V888" s="27"/>
      <c r="W888" s="27"/>
      <c r="X888" s="28"/>
    </row>
    <row r="889" spans="19:24">
      <c r="S889" s="26"/>
      <c r="T889" s="26"/>
      <c r="U889" s="26"/>
      <c r="V889" s="27"/>
      <c r="W889" s="27"/>
      <c r="X889" s="28"/>
    </row>
    <row r="890" spans="19:24">
      <c r="S890" s="26"/>
      <c r="T890" s="26"/>
      <c r="U890" s="26"/>
      <c r="V890" s="27"/>
      <c r="W890" s="27"/>
      <c r="X890" s="28"/>
    </row>
    <row r="891" spans="19:24">
      <c r="S891" s="26"/>
      <c r="T891" s="26"/>
      <c r="U891" s="26"/>
      <c r="V891" s="27"/>
      <c r="W891" s="27"/>
      <c r="X891" s="28"/>
    </row>
    <row r="892" spans="19:24">
      <c r="S892" s="26"/>
      <c r="T892" s="26"/>
      <c r="U892" s="26"/>
      <c r="V892" s="27"/>
      <c r="W892" s="27"/>
      <c r="X892" s="28"/>
    </row>
    <row r="893" spans="19:24">
      <c r="S893" s="26"/>
      <c r="T893" s="26"/>
      <c r="U893" s="26"/>
      <c r="V893" s="27"/>
      <c r="W893" s="27"/>
      <c r="X893" s="28"/>
    </row>
    <row r="894" spans="19:24">
      <c r="S894" s="26"/>
      <c r="T894" s="26"/>
      <c r="U894" s="26"/>
      <c r="V894" s="27"/>
      <c r="W894" s="27"/>
      <c r="X894" s="28"/>
    </row>
    <row r="895" spans="19:24">
      <c r="S895" s="26"/>
      <c r="T895" s="26"/>
      <c r="U895" s="26"/>
      <c r="V895" s="27"/>
      <c r="W895" s="27"/>
      <c r="X895" s="28"/>
    </row>
    <row r="896" spans="19:24">
      <c r="S896" s="26"/>
      <c r="T896" s="26"/>
      <c r="U896" s="26"/>
      <c r="V896" s="27"/>
      <c r="W896" s="27"/>
      <c r="X896" s="28"/>
    </row>
    <row r="897" spans="19:24">
      <c r="S897" s="26"/>
      <c r="T897" s="26"/>
      <c r="U897" s="26"/>
      <c r="V897" s="27"/>
      <c r="W897" s="27"/>
      <c r="X897" s="28"/>
    </row>
    <row r="898" spans="19:24">
      <c r="S898" s="26"/>
      <c r="T898" s="26"/>
      <c r="U898" s="26"/>
      <c r="V898" s="27"/>
      <c r="W898" s="27"/>
      <c r="X898" s="28"/>
    </row>
    <row r="899" spans="19:24">
      <c r="S899" s="26"/>
      <c r="T899" s="26"/>
      <c r="U899" s="26"/>
      <c r="V899" s="27"/>
      <c r="W899" s="27"/>
      <c r="X899" s="28"/>
    </row>
    <row r="900" spans="19:24">
      <c r="S900" s="26"/>
      <c r="T900" s="26"/>
      <c r="U900" s="26"/>
      <c r="V900" s="27"/>
      <c r="W900" s="27"/>
      <c r="X900" s="28"/>
    </row>
    <row r="901" spans="19:24">
      <c r="S901" s="26"/>
      <c r="T901" s="26"/>
      <c r="U901" s="26"/>
      <c r="V901" s="27"/>
      <c r="W901" s="27"/>
      <c r="X901" s="28"/>
    </row>
    <row r="902" spans="19:24">
      <c r="S902" s="26"/>
      <c r="T902" s="26"/>
      <c r="U902" s="26"/>
      <c r="V902" s="27"/>
      <c r="W902" s="27"/>
      <c r="X902" s="28"/>
    </row>
    <row r="903" spans="19:24">
      <c r="S903" s="26"/>
      <c r="T903" s="26"/>
      <c r="U903" s="26"/>
      <c r="V903" s="27"/>
      <c r="W903" s="27"/>
      <c r="X903" s="28"/>
    </row>
    <row r="904" spans="19:24">
      <c r="S904" s="26"/>
      <c r="T904" s="26"/>
      <c r="U904" s="26"/>
      <c r="V904" s="27"/>
      <c r="W904" s="27"/>
      <c r="X904" s="28"/>
    </row>
    <row r="905" spans="19:24">
      <c r="S905" s="26"/>
      <c r="T905" s="26"/>
      <c r="U905" s="26"/>
      <c r="V905" s="27"/>
      <c r="W905" s="27"/>
      <c r="X905" s="28"/>
    </row>
    <row r="906" spans="19:24">
      <c r="S906" s="26"/>
      <c r="T906" s="26"/>
      <c r="U906" s="26"/>
      <c r="V906" s="27"/>
      <c r="W906" s="27"/>
      <c r="X906" s="28"/>
    </row>
    <row r="907" spans="19:24">
      <c r="S907" s="26"/>
      <c r="T907" s="26"/>
      <c r="U907" s="26"/>
      <c r="V907" s="27"/>
      <c r="W907" s="27"/>
      <c r="X907" s="28"/>
    </row>
    <row r="908" spans="19:24">
      <c r="S908" s="26"/>
      <c r="T908" s="26"/>
      <c r="U908" s="26"/>
      <c r="V908" s="27"/>
      <c r="W908" s="27"/>
      <c r="X908" s="28"/>
    </row>
    <row r="909" spans="19:24">
      <c r="S909" s="26"/>
      <c r="T909" s="26"/>
      <c r="U909" s="26"/>
      <c r="V909" s="27"/>
      <c r="W909" s="27"/>
      <c r="X909" s="28"/>
    </row>
    <row r="910" spans="19:24">
      <c r="S910" s="26"/>
      <c r="T910" s="26"/>
      <c r="U910" s="26"/>
      <c r="V910" s="27"/>
      <c r="W910" s="27"/>
      <c r="X910" s="28"/>
    </row>
    <row r="911" spans="19:24">
      <c r="S911" s="26"/>
      <c r="T911" s="26"/>
      <c r="U911" s="26"/>
      <c r="V911" s="27"/>
      <c r="W911" s="27"/>
      <c r="X911" s="28"/>
    </row>
    <row r="912" spans="19:24">
      <c r="S912" s="26"/>
      <c r="T912" s="26"/>
      <c r="U912" s="26"/>
      <c r="V912" s="27"/>
      <c r="W912" s="27"/>
      <c r="X912" s="28"/>
    </row>
    <row r="913" spans="19:24">
      <c r="S913" s="26"/>
      <c r="T913" s="26"/>
      <c r="U913" s="26"/>
      <c r="V913" s="27"/>
      <c r="W913" s="27"/>
      <c r="X913" s="28"/>
    </row>
    <row r="914" spans="19:24">
      <c r="S914" s="26"/>
      <c r="T914" s="26"/>
      <c r="U914" s="26"/>
      <c r="V914" s="27"/>
      <c r="W914" s="27"/>
      <c r="X914" s="28"/>
    </row>
    <row r="915" spans="19:24">
      <c r="S915" s="26"/>
      <c r="T915" s="26"/>
      <c r="U915" s="26"/>
      <c r="V915" s="27"/>
      <c r="W915" s="27"/>
      <c r="X915" s="28"/>
    </row>
    <row r="916" spans="19:24">
      <c r="S916" s="26"/>
      <c r="T916" s="26"/>
      <c r="U916" s="26"/>
      <c r="V916" s="27"/>
      <c r="W916" s="27"/>
      <c r="X916" s="28"/>
    </row>
    <row r="917" spans="19:24">
      <c r="S917" s="26"/>
      <c r="T917" s="26"/>
      <c r="U917" s="26"/>
      <c r="V917" s="27"/>
      <c r="W917" s="27"/>
      <c r="X917" s="28"/>
    </row>
    <row r="918" spans="19:24">
      <c r="S918" s="26"/>
      <c r="T918" s="26"/>
      <c r="U918" s="26"/>
      <c r="V918" s="27"/>
      <c r="W918" s="27"/>
      <c r="X918" s="28"/>
    </row>
    <row r="919" spans="19:24">
      <c r="S919" s="26"/>
      <c r="T919" s="26"/>
      <c r="U919" s="26"/>
      <c r="V919" s="27"/>
      <c r="W919" s="27"/>
      <c r="X919" s="28"/>
    </row>
    <row r="920" spans="19:24">
      <c r="S920" s="26"/>
      <c r="T920" s="26"/>
      <c r="U920" s="26"/>
      <c r="V920" s="27"/>
      <c r="W920" s="27"/>
      <c r="X920" s="28"/>
    </row>
    <row r="921" spans="19:24">
      <c r="S921" s="26"/>
      <c r="T921" s="26"/>
      <c r="U921" s="26"/>
      <c r="V921" s="27"/>
      <c r="W921" s="27"/>
      <c r="X921" s="28"/>
    </row>
    <row r="922" spans="19:24">
      <c r="S922" s="26"/>
      <c r="T922" s="26"/>
      <c r="U922" s="26"/>
      <c r="V922" s="27"/>
      <c r="W922" s="27"/>
      <c r="X922" s="28"/>
    </row>
    <row r="923" spans="19:24">
      <c r="S923" s="26"/>
      <c r="T923" s="26"/>
      <c r="U923" s="26"/>
      <c r="V923" s="27"/>
      <c r="W923" s="27"/>
      <c r="X923" s="28"/>
    </row>
    <row r="924" spans="19:24">
      <c r="S924" s="26"/>
      <c r="T924" s="26"/>
      <c r="U924" s="26"/>
      <c r="V924" s="27"/>
      <c r="W924" s="27"/>
      <c r="X924" s="28"/>
    </row>
    <row r="925" spans="19:24">
      <c r="S925" s="26"/>
      <c r="T925" s="26"/>
      <c r="U925" s="26"/>
      <c r="V925" s="27"/>
      <c r="W925" s="27"/>
      <c r="X925" s="28"/>
    </row>
    <row r="926" spans="19:24">
      <c r="S926" s="26"/>
      <c r="T926" s="26"/>
      <c r="U926" s="26"/>
      <c r="V926" s="27"/>
      <c r="W926" s="27"/>
      <c r="X926" s="28"/>
    </row>
    <row r="927" spans="19:24">
      <c r="S927" s="26"/>
      <c r="T927" s="26"/>
      <c r="U927" s="26"/>
      <c r="V927" s="27"/>
      <c r="W927" s="27"/>
      <c r="X927" s="28"/>
    </row>
    <row r="928" spans="19:24">
      <c r="S928" s="26"/>
      <c r="T928" s="26"/>
      <c r="U928" s="26"/>
      <c r="V928" s="27"/>
      <c r="W928" s="27"/>
      <c r="X928" s="28"/>
    </row>
    <row r="929" spans="19:24">
      <c r="S929" s="26"/>
      <c r="T929" s="26"/>
      <c r="U929" s="26"/>
      <c r="V929" s="27"/>
      <c r="W929" s="27"/>
      <c r="X929" s="28"/>
    </row>
    <row r="930" spans="19:24">
      <c r="S930" s="26"/>
      <c r="T930" s="26"/>
      <c r="U930" s="26"/>
      <c r="V930" s="27"/>
      <c r="W930" s="27"/>
      <c r="X930" s="28"/>
    </row>
    <row r="931" spans="19:24">
      <c r="S931" s="26"/>
      <c r="T931" s="26"/>
      <c r="U931" s="26"/>
      <c r="V931" s="27"/>
      <c r="W931" s="27"/>
      <c r="X931" s="28"/>
    </row>
    <row r="932" spans="19:24">
      <c r="S932" s="26"/>
      <c r="T932" s="26"/>
      <c r="U932" s="26"/>
      <c r="V932" s="27"/>
      <c r="W932" s="27"/>
      <c r="X932" s="28"/>
    </row>
    <row r="933" spans="19:24">
      <c r="S933" s="26"/>
      <c r="T933" s="26"/>
      <c r="U933" s="26"/>
      <c r="V933" s="27"/>
      <c r="W933" s="27"/>
      <c r="X933" s="28"/>
    </row>
    <row r="934" spans="19:24">
      <c r="S934" s="26"/>
      <c r="T934" s="26"/>
      <c r="U934" s="26"/>
      <c r="V934" s="27"/>
      <c r="W934" s="27"/>
      <c r="X934" s="28"/>
    </row>
    <row r="935" spans="19:24">
      <c r="S935" s="26"/>
      <c r="T935" s="26"/>
      <c r="U935" s="26"/>
      <c r="V935" s="27"/>
      <c r="W935" s="27"/>
      <c r="X935" s="28"/>
    </row>
    <row r="936" spans="19:24">
      <c r="S936" s="26"/>
      <c r="T936" s="26"/>
      <c r="U936" s="26"/>
      <c r="V936" s="27"/>
      <c r="W936" s="27"/>
      <c r="X936" s="28"/>
    </row>
    <row r="937" spans="19:24">
      <c r="S937" s="26"/>
      <c r="T937" s="26"/>
      <c r="U937" s="26"/>
      <c r="V937" s="27"/>
      <c r="W937" s="27"/>
      <c r="X937" s="28"/>
    </row>
    <row r="938" spans="19:24">
      <c r="S938" s="26"/>
      <c r="T938" s="26"/>
      <c r="U938" s="26"/>
      <c r="V938" s="27"/>
      <c r="W938" s="27"/>
      <c r="X938" s="28"/>
    </row>
    <row r="939" spans="19:24">
      <c r="S939" s="26"/>
      <c r="T939" s="26"/>
      <c r="U939" s="26"/>
      <c r="V939" s="27"/>
      <c r="W939" s="27"/>
      <c r="X939" s="28"/>
    </row>
    <row r="940" spans="19:24">
      <c r="S940" s="26"/>
      <c r="T940" s="26"/>
      <c r="U940" s="26"/>
      <c r="V940" s="27"/>
      <c r="W940" s="27"/>
      <c r="X940" s="28"/>
    </row>
    <row r="941" spans="19:24">
      <c r="S941" s="26"/>
      <c r="T941" s="26"/>
      <c r="U941" s="26"/>
      <c r="V941" s="27"/>
      <c r="W941" s="27"/>
      <c r="X941" s="28"/>
    </row>
    <row r="942" spans="19:24">
      <c r="S942" s="26"/>
      <c r="T942" s="26"/>
      <c r="U942" s="26"/>
      <c r="V942" s="27"/>
      <c r="W942" s="27"/>
      <c r="X942" s="28"/>
    </row>
    <row r="943" spans="19:24">
      <c r="S943" s="26"/>
      <c r="T943" s="26"/>
      <c r="U943" s="26"/>
      <c r="V943" s="27"/>
      <c r="W943" s="27"/>
      <c r="X943" s="28"/>
    </row>
    <row r="944" spans="19:24">
      <c r="S944" s="26"/>
      <c r="T944" s="26"/>
      <c r="U944" s="26"/>
      <c r="V944" s="27"/>
      <c r="W944" s="27"/>
      <c r="X944" s="28"/>
    </row>
    <row r="945" spans="19:24">
      <c r="S945" s="26"/>
      <c r="T945" s="26"/>
      <c r="U945" s="26"/>
      <c r="V945" s="27"/>
      <c r="W945" s="27"/>
      <c r="X945" s="28"/>
    </row>
    <row r="946" spans="19:24">
      <c r="S946" s="26"/>
      <c r="T946" s="26"/>
      <c r="U946" s="26"/>
      <c r="V946" s="27"/>
      <c r="W946" s="27"/>
      <c r="X946" s="28"/>
    </row>
    <row r="947" spans="19:24">
      <c r="S947" s="26"/>
      <c r="T947" s="26"/>
      <c r="U947" s="26"/>
      <c r="V947" s="27"/>
      <c r="W947" s="27"/>
      <c r="X947" s="28"/>
    </row>
    <row r="948" spans="19:24">
      <c r="S948" s="26"/>
      <c r="T948" s="26"/>
      <c r="U948" s="26"/>
      <c r="V948" s="27"/>
      <c r="W948" s="27"/>
      <c r="X948" s="28"/>
    </row>
    <row r="949" spans="19:24">
      <c r="S949" s="26"/>
      <c r="T949" s="26"/>
      <c r="U949" s="26"/>
      <c r="V949" s="27"/>
      <c r="W949" s="27"/>
      <c r="X949" s="28"/>
    </row>
    <row r="950" spans="19:24">
      <c r="S950" s="26"/>
      <c r="T950" s="26"/>
      <c r="U950" s="26"/>
      <c r="V950" s="27"/>
      <c r="W950" s="27"/>
      <c r="X950" s="28"/>
    </row>
    <row r="951" spans="19:24">
      <c r="S951" s="26"/>
      <c r="T951" s="26"/>
      <c r="U951" s="26"/>
      <c r="V951" s="27"/>
      <c r="W951" s="27"/>
      <c r="X951" s="28"/>
    </row>
    <row r="952" spans="19:24">
      <c r="S952" s="26"/>
      <c r="T952" s="26"/>
      <c r="U952" s="26"/>
      <c r="V952" s="27"/>
      <c r="W952" s="27"/>
      <c r="X952" s="28"/>
    </row>
    <row r="953" spans="19:24">
      <c r="S953" s="26"/>
      <c r="T953" s="26"/>
      <c r="U953" s="26"/>
      <c r="V953" s="27"/>
      <c r="W953" s="27"/>
      <c r="X953" s="28"/>
    </row>
    <row r="954" spans="19:24">
      <c r="S954" s="26"/>
      <c r="T954" s="26"/>
      <c r="U954" s="26"/>
      <c r="V954" s="27"/>
      <c r="W954" s="27"/>
      <c r="X954" s="28"/>
    </row>
    <row r="955" spans="19:24">
      <c r="S955" s="26"/>
      <c r="T955" s="26"/>
      <c r="U955" s="26"/>
      <c r="V955" s="27"/>
      <c r="W955" s="27"/>
      <c r="X955" s="28"/>
    </row>
    <row r="956" spans="19:24">
      <c r="S956" s="26"/>
      <c r="T956" s="26"/>
      <c r="U956" s="26"/>
      <c r="V956" s="27"/>
      <c r="W956" s="27"/>
      <c r="X956" s="28"/>
    </row>
    <row r="957" spans="19:24">
      <c r="S957" s="26"/>
      <c r="T957" s="26"/>
      <c r="U957" s="26"/>
      <c r="V957" s="27"/>
      <c r="W957" s="27"/>
      <c r="X957" s="28"/>
    </row>
    <row r="958" spans="19:24">
      <c r="S958" s="26"/>
      <c r="T958" s="26"/>
      <c r="U958" s="26"/>
      <c r="V958" s="27"/>
      <c r="W958" s="27"/>
      <c r="X958" s="28"/>
    </row>
    <row r="959" spans="19:24">
      <c r="S959" s="26"/>
      <c r="T959" s="26"/>
      <c r="U959" s="26"/>
      <c r="V959" s="27"/>
      <c r="W959" s="27"/>
      <c r="X959" s="28"/>
    </row>
    <row r="960" spans="19:24">
      <c r="S960" s="26"/>
      <c r="T960" s="26"/>
      <c r="U960" s="26"/>
      <c r="V960" s="27"/>
      <c r="W960" s="27"/>
      <c r="X960" s="28"/>
    </row>
    <row r="961" spans="19:24">
      <c r="S961" s="26"/>
      <c r="T961" s="26"/>
      <c r="U961" s="26"/>
      <c r="V961" s="27"/>
      <c r="W961" s="27"/>
      <c r="X961" s="28"/>
    </row>
    <row r="962" spans="19:24">
      <c r="S962" s="26"/>
      <c r="T962" s="26"/>
      <c r="U962" s="26"/>
      <c r="V962" s="27"/>
      <c r="W962" s="27"/>
      <c r="X962" s="28"/>
    </row>
    <row r="963" spans="19:24">
      <c r="S963" s="26"/>
      <c r="T963" s="26"/>
      <c r="U963" s="26"/>
      <c r="V963" s="27"/>
      <c r="W963" s="27"/>
      <c r="X963" s="28"/>
    </row>
    <row r="964" spans="19:24">
      <c r="S964" s="26"/>
      <c r="T964" s="26"/>
      <c r="U964" s="26"/>
      <c r="V964" s="27"/>
      <c r="W964" s="27"/>
      <c r="X964" s="28"/>
    </row>
    <row r="965" spans="19:24">
      <c r="S965" s="26"/>
      <c r="T965" s="26"/>
      <c r="U965" s="26"/>
      <c r="V965" s="27"/>
      <c r="W965" s="27"/>
      <c r="X965" s="28"/>
    </row>
    <row r="966" spans="19:24">
      <c r="S966" s="26"/>
      <c r="T966" s="26"/>
      <c r="U966" s="26"/>
      <c r="V966" s="27"/>
      <c r="W966" s="27"/>
      <c r="X966" s="28"/>
    </row>
    <row r="967" spans="19:24">
      <c r="S967" s="26"/>
      <c r="T967" s="26"/>
      <c r="U967" s="26"/>
      <c r="V967" s="27"/>
      <c r="W967" s="27"/>
      <c r="X967" s="28"/>
    </row>
    <row r="968" spans="19:24">
      <c r="S968" s="26"/>
      <c r="T968" s="26"/>
      <c r="U968" s="26"/>
      <c r="V968" s="27"/>
      <c r="W968" s="27"/>
      <c r="X968" s="28"/>
    </row>
    <row r="969" spans="19:24">
      <c r="S969" s="26"/>
      <c r="T969" s="26"/>
      <c r="U969" s="26"/>
      <c r="V969" s="27"/>
      <c r="W969" s="27"/>
      <c r="X969" s="28"/>
    </row>
    <row r="970" spans="19:24">
      <c r="S970" s="26"/>
      <c r="T970" s="26"/>
      <c r="U970" s="26"/>
      <c r="V970" s="27"/>
      <c r="W970" s="27"/>
      <c r="X970" s="28"/>
    </row>
    <row r="971" spans="19:24">
      <c r="S971" s="26"/>
      <c r="T971" s="26"/>
      <c r="U971" s="26"/>
      <c r="V971" s="27"/>
      <c r="W971" s="27"/>
      <c r="X971" s="28"/>
    </row>
    <row r="972" spans="19:24">
      <c r="S972" s="26"/>
      <c r="T972" s="26"/>
      <c r="U972" s="26"/>
      <c r="V972" s="27"/>
      <c r="W972" s="27"/>
      <c r="X972" s="28"/>
    </row>
    <row r="973" spans="19:24">
      <c r="S973" s="26"/>
      <c r="T973" s="26"/>
      <c r="U973" s="26"/>
      <c r="V973" s="27"/>
      <c r="W973" s="27"/>
      <c r="X973" s="28"/>
    </row>
    <row r="974" spans="19:24">
      <c r="S974" s="26"/>
      <c r="T974" s="26"/>
      <c r="U974" s="26"/>
      <c r="V974" s="27"/>
      <c r="W974" s="27"/>
      <c r="X974" s="28"/>
    </row>
    <row r="975" spans="19:24">
      <c r="S975" s="26"/>
      <c r="T975" s="26"/>
      <c r="U975" s="26"/>
      <c r="V975" s="27"/>
      <c r="W975" s="27"/>
      <c r="X975" s="28"/>
    </row>
    <row r="976" spans="19:24">
      <c r="S976" s="26"/>
      <c r="T976" s="26"/>
      <c r="U976" s="26"/>
      <c r="V976" s="27"/>
      <c r="W976" s="27"/>
      <c r="X976" s="28"/>
    </row>
    <row r="977" spans="19:24">
      <c r="S977" s="26"/>
      <c r="T977" s="26"/>
      <c r="U977" s="26"/>
      <c r="V977" s="27"/>
      <c r="W977" s="27"/>
      <c r="X977" s="28"/>
    </row>
    <row r="978" spans="19:24">
      <c r="S978" s="26"/>
      <c r="T978" s="26"/>
      <c r="U978" s="26"/>
      <c r="V978" s="27"/>
      <c r="W978" s="27"/>
      <c r="X978" s="28"/>
    </row>
    <row r="979" spans="19:24">
      <c r="S979" s="26"/>
      <c r="T979" s="26"/>
      <c r="U979" s="26"/>
      <c r="V979" s="27"/>
      <c r="W979" s="27"/>
      <c r="X979" s="28"/>
    </row>
    <row r="980" spans="19:24">
      <c r="S980" s="26"/>
      <c r="T980" s="26"/>
      <c r="U980" s="26"/>
      <c r="V980" s="27"/>
      <c r="W980" s="27"/>
      <c r="X980" s="28"/>
    </row>
    <row r="981" spans="19:24">
      <c r="S981" s="26"/>
      <c r="T981" s="26"/>
      <c r="U981" s="26"/>
      <c r="V981" s="27"/>
      <c r="W981" s="27"/>
      <c r="X981" s="28"/>
    </row>
    <row r="982" spans="19:24">
      <c r="S982" s="26"/>
      <c r="T982" s="26"/>
      <c r="U982" s="26"/>
      <c r="V982" s="27"/>
      <c r="W982" s="27"/>
      <c r="X982" s="28"/>
    </row>
    <row r="983" spans="19:24">
      <c r="S983" s="26"/>
      <c r="T983" s="26"/>
      <c r="U983" s="26"/>
      <c r="V983" s="27"/>
      <c r="W983" s="27"/>
      <c r="X983" s="28"/>
    </row>
    <row r="984" spans="19:24">
      <c r="S984" s="26"/>
      <c r="T984" s="26"/>
      <c r="U984" s="26"/>
      <c r="V984" s="27"/>
      <c r="W984" s="27"/>
      <c r="X984" s="28"/>
    </row>
    <row r="985" spans="19:24">
      <c r="S985" s="26"/>
      <c r="T985" s="26"/>
      <c r="U985" s="26"/>
      <c r="V985" s="27"/>
      <c r="W985" s="27"/>
      <c r="X985" s="28"/>
    </row>
    <row r="986" spans="19:24">
      <c r="S986" s="26"/>
      <c r="T986" s="26"/>
      <c r="U986" s="26"/>
      <c r="V986" s="27"/>
      <c r="W986" s="27"/>
      <c r="X986" s="28"/>
    </row>
    <row r="987" spans="19:24">
      <c r="S987" s="26"/>
      <c r="T987" s="26"/>
      <c r="U987" s="26"/>
      <c r="V987" s="27"/>
      <c r="W987" s="27"/>
      <c r="X987" s="28"/>
    </row>
    <row r="988" spans="19:24">
      <c r="S988" s="26"/>
      <c r="T988" s="26"/>
      <c r="U988" s="26"/>
      <c r="V988" s="27"/>
      <c r="W988" s="27"/>
      <c r="X988" s="28"/>
    </row>
    <row r="989" spans="19:24">
      <c r="S989" s="26"/>
      <c r="T989" s="26"/>
      <c r="U989" s="26"/>
      <c r="V989" s="27"/>
      <c r="W989" s="27"/>
      <c r="X989" s="28"/>
    </row>
    <row r="990" spans="19:24">
      <c r="S990" s="26"/>
      <c r="T990" s="26"/>
      <c r="U990" s="26"/>
      <c r="V990" s="27"/>
      <c r="W990" s="27"/>
      <c r="X990" s="28"/>
    </row>
    <row r="991" spans="19:24">
      <c r="S991" s="26"/>
      <c r="T991" s="26"/>
      <c r="U991" s="26"/>
      <c r="V991" s="27"/>
      <c r="W991" s="27"/>
      <c r="X991" s="28"/>
    </row>
    <row r="992" spans="19:24">
      <c r="S992" s="26"/>
      <c r="T992" s="26"/>
      <c r="U992" s="26"/>
      <c r="V992" s="27"/>
      <c r="W992" s="27"/>
      <c r="X992" s="28"/>
    </row>
    <row r="993" spans="19:24">
      <c r="S993" s="26"/>
      <c r="T993" s="26"/>
      <c r="U993" s="26"/>
      <c r="V993" s="27"/>
      <c r="W993" s="27"/>
      <c r="X993" s="28"/>
    </row>
    <row r="994" spans="19:24">
      <c r="S994" s="26"/>
      <c r="T994" s="26"/>
      <c r="U994" s="26"/>
      <c r="V994" s="27"/>
      <c r="W994" s="27"/>
      <c r="X994" s="28"/>
    </row>
    <row r="995" spans="19:24">
      <c r="S995" s="26"/>
      <c r="T995" s="26"/>
      <c r="U995" s="26"/>
      <c r="V995" s="27"/>
      <c r="W995" s="27"/>
      <c r="X995" s="28"/>
    </row>
    <row r="996" spans="19:24">
      <c r="S996" s="26"/>
      <c r="T996" s="26"/>
      <c r="U996" s="26"/>
      <c r="V996" s="27"/>
      <c r="W996" s="27"/>
      <c r="X996" s="28"/>
    </row>
    <row r="997" spans="19:24">
      <c r="S997" s="26"/>
      <c r="T997" s="26"/>
      <c r="U997" s="26"/>
      <c r="V997" s="27"/>
      <c r="W997" s="27"/>
      <c r="X997" s="28"/>
    </row>
    <row r="998" spans="19:24">
      <c r="S998" s="26"/>
      <c r="T998" s="26"/>
      <c r="U998" s="26"/>
      <c r="V998" s="27"/>
      <c r="W998" s="27"/>
      <c r="X998" s="28"/>
    </row>
    <row r="999" spans="19:24">
      <c r="S999" s="26"/>
      <c r="T999" s="26"/>
      <c r="U999" s="26"/>
      <c r="V999" s="27"/>
      <c r="W999" s="27"/>
      <c r="X999" s="28"/>
    </row>
    <row r="1000" spans="19:24">
      <c r="S1000" s="26"/>
      <c r="T1000" s="26"/>
      <c r="U1000" s="26"/>
      <c r="V1000" s="27"/>
      <c r="W1000" s="27"/>
      <c r="X1000" s="28"/>
    </row>
    <row r="1001" spans="19:24">
      <c r="S1001" s="26"/>
      <c r="T1001" s="26"/>
      <c r="U1001" s="26"/>
      <c r="V1001" s="27"/>
      <c r="W1001" s="27"/>
      <c r="X1001" s="28"/>
    </row>
    <row r="1002" spans="19:24">
      <c r="S1002" s="26"/>
      <c r="T1002" s="26"/>
      <c r="U1002" s="26"/>
      <c r="V1002" s="27"/>
      <c r="W1002" s="27"/>
      <c r="X1002" s="28"/>
    </row>
    <row r="1003" spans="19:24">
      <c r="S1003" s="26"/>
      <c r="T1003" s="26"/>
      <c r="U1003" s="26"/>
      <c r="V1003" s="27"/>
      <c r="W1003" s="27"/>
      <c r="X1003" s="28"/>
    </row>
  </sheetData>
  <sheetProtection algorithmName="SHA-512" hashValue="YW5BwwTVZFl0lVgn4us1ZOBnZNjasrQBrppuPAl5uCG5WkVkVnkVhRTbJiqBLxhfh3AVyO1hJZ6hIOBuSVlBzA==" saltValue="n/aOoBJuo/f7niOm3vYWpQ==" spinCount="100000" sheet="1" objects="1" scenarios="1" selectLockedCells="1"/>
  <mergeCells count="2">
    <mergeCell ref="C1:D1"/>
    <mergeCell ref="P1:Q1"/>
  </mergeCells>
  <phoneticPr fontId="1"/>
  <dataValidations count="1">
    <dataValidation imeMode="hiragana" allowBlank="1" showInputMessage="1" showErrorMessage="1" sqref="C243:D243" xr:uid="{00000000-0002-0000-0000-000000000000}"/>
  </dataValidation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J83"/>
  <sheetViews>
    <sheetView workbookViewId="0">
      <selection activeCell="F13" sqref="F13"/>
    </sheetView>
  </sheetViews>
  <sheetFormatPr defaultColWidth="9" defaultRowHeight="13.5"/>
  <cols>
    <col min="1" max="10" width="10.625" style="69" customWidth="1"/>
    <col min="11" max="16384" width="9" style="69"/>
  </cols>
  <sheetData>
    <row r="1" spans="1:10" ht="28.5">
      <c r="A1" s="66" t="s">
        <v>309</v>
      </c>
      <c r="B1" s="66"/>
      <c r="C1" s="67"/>
      <c r="D1" s="67"/>
      <c r="E1" s="67"/>
      <c r="F1" s="67"/>
      <c r="G1" s="67"/>
      <c r="H1" s="68"/>
      <c r="I1" s="68"/>
      <c r="J1" s="68"/>
    </row>
    <row r="2" spans="1:10" ht="28.5">
      <c r="A2" s="70" t="s">
        <v>310</v>
      </c>
      <c r="B2" s="66"/>
      <c r="C2" s="67"/>
      <c r="D2" s="67"/>
      <c r="E2" s="67"/>
      <c r="F2" s="67"/>
      <c r="G2" s="67"/>
      <c r="H2" s="68"/>
      <c r="I2" s="68"/>
      <c r="J2" s="68"/>
    </row>
    <row r="3" spans="1:10">
      <c r="A3" s="936">
        <v>2022</v>
      </c>
      <c r="B3" s="937"/>
      <c r="C3" s="938">
        <f>A3+1</f>
        <v>2023</v>
      </c>
      <c r="D3" s="939"/>
      <c r="E3" s="938">
        <f>C3+1</f>
        <v>2024</v>
      </c>
      <c r="F3" s="939"/>
      <c r="G3" s="938">
        <f>E3+1</f>
        <v>2025</v>
      </c>
      <c r="H3" s="939"/>
      <c r="I3" s="938">
        <f>G3+1</f>
        <v>2026</v>
      </c>
      <c r="J3" s="939"/>
    </row>
    <row r="4" spans="1:10">
      <c r="A4" s="71" t="s">
        <v>311</v>
      </c>
      <c r="B4" s="72" t="s">
        <v>312</v>
      </c>
      <c r="C4" s="73" t="str">
        <f>A4</f>
        <v>日付</v>
      </c>
      <c r="D4" s="74" t="str">
        <f>B4</f>
        <v>祝日名</v>
      </c>
      <c r="E4" s="73" t="str">
        <f t="shared" ref="E4:J4" si="0">C4</f>
        <v>日付</v>
      </c>
      <c r="F4" s="74" t="str">
        <f t="shared" si="0"/>
        <v>祝日名</v>
      </c>
      <c r="G4" s="73" t="str">
        <f t="shared" si="0"/>
        <v>日付</v>
      </c>
      <c r="H4" s="74" t="str">
        <f t="shared" si="0"/>
        <v>祝日名</v>
      </c>
      <c r="I4" s="73" t="str">
        <f t="shared" si="0"/>
        <v>日付</v>
      </c>
      <c r="J4" s="74" t="str">
        <f t="shared" si="0"/>
        <v>祝日名</v>
      </c>
    </row>
    <row r="5" spans="1:10">
      <c r="A5" s="75">
        <v>44562</v>
      </c>
      <c r="B5" s="76" t="s">
        <v>313</v>
      </c>
      <c r="C5" s="75">
        <v>44927</v>
      </c>
      <c r="D5" s="76" t="s">
        <v>313</v>
      </c>
      <c r="E5" s="75">
        <v>45292</v>
      </c>
      <c r="F5" s="76" t="s">
        <v>313</v>
      </c>
      <c r="G5" s="75">
        <v>45658</v>
      </c>
      <c r="H5" s="76" t="s">
        <v>313</v>
      </c>
      <c r="I5" s="75"/>
      <c r="J5" s="76"/>
    </row>
    <row r="6" spans="1:10">
      <c r="A6" s="75">
        <v>44571</v>
      </c>
      <c r="B6" s="76" t="s">
        <v>314</v>
      </c>
      <c r="C6" s="75">
        <v>44928</v>
      </c>
      <c r="D6" s="76" t="s">
        <v>430</v>
      </c>
      <c r="E6" s="75">
        <v>45299</v>
      </c>
      <c r="F6" s="76" t="s">
        <v>314</v>
      </c>
      <c r="G6" s="75">
        <v>45670</v>
      </c>
      <c r="H6" s="76" t="s">
        <v>314</v>
      </c>
      <c r="I6" s="75"/>
      <c r="J6" s="76"/>
    </row>
    <row r="7" spans="1:10">
      <c r="A7" s="75">
        <v>44603</v>
      </c>
      <c r="B7" s="76" t="s">
        <v>315</v>
      </c>
      <c r="C7" s="75">
        <v>44935</v>
      </c>
      <c r="D7" s="76" t="s">
        <v>314</v>
      </c>
      <c r="E7" s="75">
        <v>45333</v>
      </c>
      <c r="F7" s="76" t="s">
        <v>315</v>
      </c>
      <c r="G7" s="75">
        <v>45699</v>
      </c>
      <c r="H7" s="76" t="s">
        <v>315</v>
      </c>
      <c r="I7" s="75"/>
      <c r="J7" s="76"/>
    </row>
    <row r="8" spans="1:10">
      <c r="A8" s="75">
        <v>44615</v>
      </c>
      <c r="B8" s="76" t="s">
        <v>317</v>
      </c>
      <c r="C8" s="75">
        <v>44968</v>
      </c>
      <c r="D8" s="76" t="s">
        <v>315</v>
      </c>
      <c r="E8" s="75">
        <v>45334</v>
      </c>
      <c r="F8" s="76" t="s">
        <v>431</v>
      </c>
      <c r="G8" s="75">
        <v>45711</v>
      </c>
      <c r="H8" s="76" t="s">
        <v>317</v>
      </c>
      <c r="I8" s="75"/>
      <c r="J8" s="76"/>
    </row>
    <row r="9" spans="1:10">
      <c r="A9" s="75">
        <v>44641</v>
      </c>
      <c r="B9" s="76" t="s">
        <v>316</v>
      </c>
      <c r="C9" s="75">
        <v>44980</v>
      </c>
      <c r="D9" s="76" t="s">
        <v>317</v>
      </c>
      <c r="E9" s="75">
        <v>45345</v>
      </c>
      <c r="F9" s="76" t="s">
        <v>317</v>
      </c>
      <c r="G9" s="75">
        <v>45712</v>
      </c>
      <c r="H9" s="76" t="s">
        <v>432</v>
      </c>
      <c r="I9" s="75"/>
      <c r="J9" s="76"/>
    </row>
    <row r="10" spans="1:10">
      <c r="A10" s="75">
        <v>44680</v>
      </c>
      <c r="B10" s="76" t="s">
        <v>318</v>
      </c>
      <c r="C10" s="75">
        <v>45006</v>
      </c>
      <c r="D10" s="76" t="s">
        <v>316</v>
      </c>
      <c r="E10" s="166">
        <v>45371</v>
      </c>
      <c r="F10" s="165" t="s">
        <v>316</v>
      </c>
      <c r="G10" s="75">
        <v>45736</v>
      </c>
      <c r="H10" s="76" t="s">
        <v>316</v>
      </c>
      <c r="I10" s="75"/>
      <c r="J10" s="76"/>
    </row>
    <row r="11" spans="1:10">
      <c r="A11" s="75">
        <v>44684</v>
      </c>
      <c r="B11" s="76" t="s">
        <v>319</v>
      </c>
      <c r="C11" s="75">
        <v>45045</v>
      </c>
      <c r="D11" s="76" t="s">
        <v>318</v>
      </c>
      <c r="E11" s="166">
        <v>45411</v>
      </c>
      <c r="F11" s="165" t="s">
        <v>318</v>
      </c>
      <c r="G11" s="75">
        <v>45776</v>
      </c>
      <c r="H11" s="76" t="s">
        <v>318</v>
      </c>
      <c r="I11" s="75"/>
      <c r="J11" s="76"/>
    </row>
    <row r="12" spans="1:10">
      <c r="A12" s="75">
        <v>44685</v>
      </c>
      <c r="B12" s="76" t="s">
        <v>320</v>
      </c>
      <c r="C12" s="75">
        <v>45049</v>
      </c>
      <c r="D12" s="76" t="s">
        <v>319</v>
      </c>
      <c r="E12" s="166">
        <v>45415</v>
      </c>
      <c r="F12" s="165" t="s">
        <v>319</v>
      </c>
      <c r="G12" s="75">
        <v>45780</v>
      </c>
      <c r="H12" s="76" t="s">
        <v>319</v>
      </c>
      <c r="I12" s="75"/>
      <c r="J12" s="76"/>
    </row>
    <row r="13" spans="1:10">
      <c r="A13" s="75">
        <v>44686</v>
      </c>
      <c r="B13" s="76" t="s">
        <v>321</v>
      </c>
      <c r="C13" s="75">
        <v>45050</v>
      </c>
      <c r="D13" s="76" t="s">
        <v>320</v>
      </c>
      <c r="E13" s="166">
        <v>45416</v>
      </c>
      <c r="F13" s="165" t="s">
        <v>320</v>
      </c>
      <c r="G13" s="75">
        <v>45781</v>
      </c>
      <c r="H13" s="76" t="s">
        <v>320</v>
      </c>
      <c r="I13" s="75"/>
      <c r="J13" s="76"/>
    </row>
    <row r="14" spans="1:10">
      <c r="A14" s="75">
        <v>44760</v>
      </c>
      <c r="B14" s="76" t="s">
        <v>322</v>
      </c>
      <c r="C14" s="75">
        <v>45051</v>
      </c>
      <c r="D14" s="76" t="s">
        <v>321</v>
      </c>
      <c r="E14" s="166">
        <v>45417</v>
      </c>
      <c r="F14" s="165" t="s">
        <v>321</v>
      </c>
      <c r="G14" s="75">
        <v>45782</v>
      </c>
      <c r="H14" s="76" t="s">
        <v>321</v>
      </c>
      <c r="I14" s="75"/>
      <c r="J14" s="76"/>
    </row>
    <row r="15" spans="1:10">
      <c r="A15" s="75">
        <v>44784</v>
      </c>
      <c r="B15" s="76" t="s">
        <v>323</v>
      </c>
      <c r="C15" s="75">
        <v>45124</v>
      </c>
      <c r="D15" s="76" t="s">
        <v>322</v>
      </c>
      <c r="E15" s="166">
        <v>45418</v>
      </c>
      <c r="F15" s="165" t="s">
        <v>433</v>
      </c>
      <c r="G15" s="75">
        <v>45783</v>
      </c>
      <c r="H15" s="76" t="s">
        <v>434</v>
      </c>
      <c r="I15" s="75"/>
      <c r="J15" s="76"/>
    </row>
    <row r="16" spans="1:10">
      <c r="A16" s="75">
        <v>44823</v>
      </c>
      <c r="B16" s="76" t="s">
        <v>435</v>
      </c>
      <c r="C16" s="75">
        <v>45149</v>
      </c>
      <c r="D16" s="76" t="s">
        <v>323</v>
      </c>
      <c r="E16" s="166">
        <v>45488</v>
      </c>
      <c r="F16" s="165" t="s">
        <v>436</v>
      </c>
      <c r="G16" s="75">
        <v>45859</v>
      </c>
      <c r="H16" s="76" t="s">
        <v>436</v>
      </c>
      <c r="I16" s="75"/>
      <c r="J16" s="76"/>
    </row>
    <row r="17" spans="1:10">
      <c r="A17" s="75">
        <v>44827</v>
      </c>
      <c r="B17" s="76" t="s">
        <v>326</v>
      </c>
      <c r="C17" s="75">
        <v>45187</v>
      </c>
      <c r="D17" s="76" t="s">
        <v>324</v>
      </c>
      <c r="E17" s="166">
        <v>45515</v>
      </c>
      <c r="F17" s="165" t="s">
        <v>437</v>
      </c>
      <c r="G17" s="75">
        <v>45880</v>
      </c>
      <c r="H17" s="76" t="s">
        <v>437</v>
      </c>
      <c r="I17" s="75"/>
      <c r="J17" s="76"/>
    </row>
    <row r="18" spans="1:10">
      <c r="A18" s="75">
        <v>44844</v>
      </c>
      <c r="B18" s="76" t="s">
        <v>325</v>
      </c>
      <c r="C18" s="75">
        <v>45192</v>
      </c>
      <c r="D18" s="76" t="s">
        <v>326</v>
      </c>
      <c r="E18" s="166">
        <v>45516</v>
      </c>
      <c r="F18" s="165" t="s">
        <v>438</v>
      </c>
      <c r="G18" s="75">
        <v>45915</v>
      </c>
      <c r="H18" s="76" t="s">
        <v>435</v>
      </c>
      <c r="I18" s="75"/>
      <c r="J18" s="76"/>
    </row>
    <row r="19" spans="1:10">
      <c r="A19" s="75">
        <v>44868</v>
      </c>
      <c r="B19" s="76" t="s">
        <v>327</v>
      </c>
      <c r="C19" s="75">
        <v>45208</v>
      </c>
      <c r="D19" s="76" t="s">
        <v>325</v>
      </c>
      <c r="E19" s="166">
        <v>45551</v>
      </c>
      <c r="F19" s="165" t="s">
        <v>435</v>
      </c>
      <c r="G19" s="75">
        <v>45923</v>
      </c>
      <c r="H19" s="76" t="s">
        <v>439</v>
      </c>
      <c r="I19" s="75"/>
      <c r="J19" s="76"/>
    </row>
    <row r="20" spans="1:10">
      <c r="A20" s="75">
        <v>44888</v>
      </c>
      <c r="B20" s="76" t="s">
        <v>328</v>
      </c>
      <c r="C20" s="75">
        <v>45233</v>
      </c>
      <c r="D20" s="76" t="s">
        <v>327</v>
      </c>
      <c r="E20" s="166">
        <v>45557</v>
      </c>
      <c r="F20" s="165" t="s">
        <v>439</v>
      </c>
      <c r="G20" s="75">
        <v>45943</v>
      </c>
      <c r="H20" s="76" t="s">
        <v>325</v>
      </c>
      <c r="I20" s="75"/>
      <c r="J20" s="165"/>
    </row>
    <row r="21" spans="1:10">
      <c r="A21" s="833">
        <v>44926</v>
      </c>
      <c r="B21" s="834" t="s">
        <v>663</v>
      </c>
      <c r="C21" s="75">
        <v>45253</v>
      </c>
      <c r="D21" s="76" t="s">
        <v>328</v>
      </c>
      <c r="E21" s="166">
        <v>45558</v>
      </c>
      <c r="F21" s="165" t="s">
        <v>440</v>
      </c>
      <c r="G21" s="75">
        <v>45964</v>
      </c>
      <c r="H21" s="76" t="s">
        <v>327</v>
      </c>
      <c r="I21" s="75"/>
      <c r="J21" s="165"/>
    </row>
    <row r="22" spans="1:10">
      <c r="A22" s="75"/>
      <c r="B22" s="76"/>
      <c r="C22" s="833">
        <v>45290</v>
      </c>
      <c r="D22" s="834" t="s">
        <v>663</v>
      </c>
      <c r="E22" s="166">
        <v>45579</v>
      </c>
      <c r="F22" s="165" t="s">
        <v>441</v>
      </c>
      <c r="G22" s="75">
        <v>45984</v>
      </c>
      <c r="H22" s="76" t="s">
        <v>328</v>
      </c>
      <c r="I22" s="75"/>
      <c r="J22" s="165"/>
    </row>
    <row r="23" spans="1:10">
      <c r="A23" s="75"/>
      <c r="B23" s="76"/>
      <c r="C23" s="75"/>
      <c r="D23" s="76"/>
      <c r="E23" s="75">
        <v>45599</v>
      </c>
      <c r="F23" s="76" t="s">
        <v>442</v>
      </c>
      <c r="G23" s="75">
        <v>45985</v>
      </c>
      <c r="H23" s="76" t="s">
        <v>443</v>
      </c>
      <c r="I23" s="75"/>
      <c r="J23" s="76"/>
    </row>
    <row r="24" spans="1:10">
      <c r="A24" s="75"/>
      <c r="B24" s="76"/>
      <c r="C24" s="75"/>
      <c r="D24" s="76"/>
      <c r="E24" s="75">
        <v>45600</v>
      </c>
      <c r="F24" s="76" t="s">
        <v>444</v>
      </c>
      <c r="G24" s="75"/>
      <c r="H24" s="76"/>
      <c r="I24" s="75"/>
      <c r="J24" s="76"/>
    </row>
    <row r="25" spans="1:10">
      <c r="A25" s="75"/>
      <c r="B25" s="76"/>
      <c r="C25" s="75"/>
      <c r="D25" s="76"/>
      <c r="E25" s="75">
        <v>45619</v>
      </c>
      <c r="F25" s="76" t="s">
        <v>445</v>
      </c>
      <c r="G25" s="75"/>
      <c r="H25" s="76"/>
      <c r="I25" s="75"/>
      <c r="J25" s="76"/>
    </row>
    <row r="26" spans="1:10">
      <c r="A26" s="75"/>
      <c r="B26" s="76"/>
      <c r="C26" s="75"/>
      <c r="D26" s="76"/>
      <c r="E26" s="75"/>
      <c r="F26" s="76"/>
      <c r="G26" s="75"/>
      <c r="H26" s="76"/>
      <c r="I26" s="75"/>
      <c r="J26" s="76"/>
    </row>
    <row r="27" spans="1:10">
      <c r="A27" s="75"/>
      <c r="B27" s="76"/>
      <c r="C27" s="75"/>
      <c r="D27" s="76"/>
      <c r="E27" s="75"/>
      <c r="F27" s="76"/>
      <c r="G27" s="75"/>
      <c r="H27" s="76"/>
      <c r="I27" s="75"/>
      <c r="J27" s="76"/>
    </row>
    <row r="28" spans="1:10">
      <c r="A28" s="75"/>
      <c r="B28" s="76"/>
      <c r="C28" s="75"/>
      <c r="D28" s="76"/>
      <c r="E28" s="75"/>
      <c r="F28" s="76"/>
      <c r="G28" s="75"/>
      <c r="H28" s="76"/>
      <c r="I28" s="75"/>
      <c r="J28" s="76"/>
    </row>
    <row r="29" spans="1:10">
      <c r="A29" s="75"/>
      <c r="B29" s="76"/>
      <c r="C29" s="75"/>
      <c r="D29" s="76"/>
      <c r="E29" s="75"/>
      <c r="F29" s="76"/>
      <c r="G29" s="75"/>
      <c r="H29" s="76"/>
      <c r="I29" s="75"/>
      <c r="J29" s="76"/>
    </row>
    <row r="30" spans="1:10">
      <c r="A30" s="75"/>
      <c r="B30" s="76"/>
      <c r="C30" s="75"/>
      <c r="D30" s="76"/>
      <c r="E30" s="75"/>
      <c r="F30" s="76"/>
      <c r="G30" s="75"/>
      <c r="H30" s="76"/>
      <c r="I30" s="75"/>
      <c r="J30" s="76"/>
    </row>
    <row r="31" spans="1:10">
      <c r="A31" s="75"/>
      <c r="B31" s="76"/>
      <c r="C31" s="75"/>
      <c r="D31" s="76"/>
      <c r="E31" s="75"/>
      <c r="F31" s="76"/>
      <c r="G31" s="75"/>
      <c r="H31" s="76"/>
      <c r="I31" s="75"/>
      <c r="J31" s="76"/>
    </row>
    <row r="32" spans="1:10">
      <c r="A32" s="75"/>
      <c r="B32" s="76"/>
      <c r="C32" s="75"/>
      <c r="D32" s="76"/>
      <c r="E32" s="75"/>
      <c r="F32" s="76"/>
      <c r="G32" s="75"/>
      <c r="H32" s="76"/>
      <c r="I32" s="75"/>
      <c r="J32" s="76"/>
    </row>
    <row r="34" spans="3:3">
      <c r="C34" s="77"/>
    </row>
    <row r="35" spans="3:3">
      <c r="C35" s="77"/>
    </row>
    <row r="36" spans="3:3">
      <c r="C36" s="77"/>
    </row>
    <row r="37" spans="3:3">
      <c r="C37" s="77"/>
    </row>
    <row r="38" spans="3:3">
      <c r="C38" s="77"/>
    </row>
    <row r="39" spans="3:3">
      <c r="C39" s="77"/>
    </row>
    <row r="40" spans="3:3">
      <c r="C40" s="77"/>
    </row>
    <row r="41" spans="3:3">
      <c r="C41" s="77"/>
    </row>
    <row r="42" spans="3:3">
      <c r="C42" s="77"/>
    </row>
    <row r="43" spans="3:3">
      <c r="C43" s="77"/>
    </row>
    <row r="44" spans="3:3">
      <c r="C44" s="77"/>
    </row>
    <row r="45" spans="3:3">
      <c r="C45" s="77"/>
    </row>
    <row r="46" spans="3:3">
      <c r="C46" s="77"/>
    </row>
    <row r="47" spans="3:3">
      <c r="C47" s="77"/>
    </row>
    <row r="48" spans="3:3">
      <c r="C48" s="77"/>
    </row>
    <row r="49" spans="3:3">
      <c r="C49" s="77"/>
    </row>
    <row r="50" spans="3:3">
      <c r="C50" s="77"/>
    </row>
    <row r="51" spans="3:3">
      <c r="C51" s="77"/>
    </row>
    <row r="52" spans="3:3">
      <c r="C52" s="77"/>
    </row>
    <row r="53" spans="3:3">
      <c r="C53" s="77"/>
    </row>
    <row r="54" spans="3:3">
      <c r="C54" s="77"/>
    </row>
    <row r="55" spans="3:3">
      <c r="C55" s="77"/>
    </row>
    <row r="56" spans="3:3">
      <c r="C56" s="77"/>
    </row>
    <row r="57" spans="3:3">
      <c r="C57" s="77"/>
    </row>
    <row r="58" spans="3:3">
      <c r="C58" s="77"/>
    </row>
    <row r="59" spans="3:3">
      <c r="C59" s="77"/>
    </row>
    <row r="60" spans="3:3">
      <c r="C60" s="77"/>
    </row>
    <row r="61" spans="3:3">
      <c r="C61" s="77"/>
    </row>
    <row r="62" spans="3:3">
      <c r="C62" s="77"/>
    </row>
    <row r="63" spans="3:3">
      <c r="C63" s="77"/>
    </row>
    <row r="64" spans="3:3">
      <c r="C64" s="77"/>
    </row>
    <row r="65" spans="3:3">
      <c r="C65" s="77"/>
    </row>
    <row r="66" spans="3:3">
      <c r="C66" s="77"/>
    </row>
    <row r="67" spans="3:3">
      <c r="C67" s="77"/>
    </row>
    <row r="68" spans="3:3">
      <c r="C68" s="77"/>
    </row>
    <row r="69" spans="3:3">
      <c r="C69" s="77"/>
    </row>
    <row r="70" spans="3:3">
      <c r="C70" s="77"/>
    </row>
    <row r="71" spans="3:3">
      <c r="C71" s="77"/>
    </row>
    <row r="72" spans="3:3">
      <c r="C72" s="77"/>
    </row>
    <row r="73" spans="3:3">
      <c r="C73" s="77"/>
    </row>
    <row r="74" spans="3:3">
      <c r="C74" s="77"/>
    </row>
    <row r="75" spans="3:3">
      <c r="C75" s="77"/>
    </row>
    <row r="76" spans="3:3">
      <c r="C76" s="77"/>
    </row>
    <row r="77" spans="3:3">
      <c r="C77" s="77"/>
    </row>
    <row r="78" spans="3:3">
      <c r="C78" s="77"/>
    </row>
    <row r="79" spans="3:3">
      <c r="C79" s="77"/>
    </row>
    <row r="80" spans="3:3">
      <c r="C80" s="77"/>
    </row>
    <row r="81" spans="3:3">
      <c r="C81" s="77"/>
    </row>
    <row r="82" spans="3:3">
      <c r="C82" s="77"/>
    </row>
    <row r="83" spans="3:3">
      <c r="C83" s="77"/>
    </row>
  </sheetData>
  <sheetProtection algorithmName="SHA-512" hashValue="dJ56dDK/iV/X5Fl8xHExKISK8uKPW9VE9cMAKNW1LOnM9fQQhSjCihtinYMPw0tgykdVHlkTwvEGOOcMZ1FNJA==" saltValue="AFfXLUdvM/XlKxgztK3M/A==" spinCount="100000" sheet="1" objects="1" scenarios="1" selectLockedCells="1"/>
  <mergeCells count="5">
    <mergeCell ref="A3:B3"/>
    <mergeCell ref="C3:D3"/>
    <mergeCell ref="E3:F3"/>
    <mergeCell ref="G3:H3"/>
    <mergeCell ref="I3:J3"/>
  </mergeCells>
  <phoneticPr fontId="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1"/>
    <pageSetUpPr fitToPage="1"/>
  </sheetPr>
  <dimension ref="B1:G47"/>
  <sheetViews>
    <sheetView showGridLines="0" tabSelected="1" view="pageBreakPreview" zoomScale="85" zoomScaleNormal="100" zoomScaleSheetLayoutView="85" workbookViewId="0">
      <selection activeCell="B4" sqref="B4"/>
    </sheetView>
  </sheetViews>
  <sheetFormatPr defaultRowHeight="24" customHeight="1"/>
  <cols>
    <col min="1" max="1" width="3.25" style="837" customWidth="1"/>
    <col min="2" max="2" width="18.375" style="837" customWidth="1"/>
    <col min="3" max="3" width="69.5" style="848" customWidth="1"/>
    <col min="4" max="4" width="48.375" style="837" customWidth="1"/>
    <col min="5" max="5" width="11.875" style="837" customWidth="1"/>
    <col min="6" max="6" width="17.125" style="837" customWidth="1"/>
    <col min="7" max="7" width="68.125" style="837" customWidth="1"/>
    <col min="8" max="12" width="17.125" style="837" customWidth="1"/>
    <col min="13" max="247" width="9" style="837"/>
    <col min="248" max="248" width="30.5" style="837" customWidth="1"/>
    <col min="249" max="249" width="43.75" style="837" customWidth="1"/>
    <col min="250" max="252" width="9" style="837"/>
    <col min="253" max="253" width="21.875" style="837" customWidth="1"/>
    <col min="254" max="255" width="9" style="837"/>
    <col min="256" max="257" width="9" style="837" customWidth="1"/>
    <col min="258" max="503" width="9" style="837"/>
    <col min="504" max="504" width="30.5" style="837" customWidth="1"/>
    <col min="505" max="505" width="43.75" style="837" customWidth="1"/>
    <col min="506" max="508" width="9" style="837"/>
    <col min="509" max="509" width="21.875" style="837" customWidth="1"/>
    <col min="510" max="511" width="9" style="837"/>
    <col min="512" max="513" width="9" style="837" customWidth="1"/>
    <col min="514" max="759" width="9" style="837"/>
    <col min="760" max="760" width="30.5" style="837" customWidth="1"/>
    <col min="761" max="761" width="43.75" style="837" customWidth="1"/>
    <col min="762" max="764" width="9" style="837"/>
    <col min="765" max="765" width="21.875" style="837" customWidth="1"/>
    <col min="766" max="767" width="9" style="837"/>
    <col min="768" max="769" width="9" style="837" customWidth="1"/>
    <col min="770" max="1015" width="9" style="837"/>
    <col min="1016" max="1016" width="30.5" style="837" customWidth="1"/>
    <col min="1017" max="1017" width="43.75" style="837" customWidth="1"/>
    <col min="1018" max="1020" width="9" style="837"/>
    <col min="1021" max="1021" width="21.875" style="837" customWidth="1"/>
    <col min="1022" max="1023" width="9" style="837"/>
    <col min="1024" max="1025" width="9" style="837" customWidth="1"/>
    <col min="1026" max="1271" width="9" style="837"/>
    <col min="1272" max="1272" width="30.5" style="837" customWidth="1"/>
    <col min="1273" max="1273" width="43.75" style="837" customWidth="1"/>
    <col min="1274" max="1276" width="9" style="837"/>
    <col min="1277" max="1277" width="21.875" style="837" customWidth="1"/>
    <col min="1278" max="1279" width="9" style="837"/>
    <col min="1280" max="1281" width="9" style="837" customWidth="1"/>
    <col min="1282" max="1527" width="9" style="837"/>
    <col min="1528" max="1528" width="30.5" style="837" customWidth="1"/>
    <col min="1529" max="1529" width="43.75" style="837" customWidth="1"/>
    <col min="1530" max="1532" width="9" style="837"/>
    <col min="1533" max="1533" width="21.875" style="837" customWidth="1"/>
    <col min="1534" max="1535" width="9" style="837"/>
    <col min="1536" max="1537" width="9" style="837" customWidth="1"/>
    <col min="1538" max="1783" width="9" style="837"/>
    <col min="1784" max="1784" width="30.5" style="837" customWidth="1"/>
    <col min="1785" max="1785" width="43.75" style="837" customWidth="1"/>
    <col min="1786" max="1788" width="9" style="837"/>
    <col min="1789" max="1789" width="21.875" style="837" customWidth="1"/>
    <col min="1790" max="1791" width="9" style="837"/>
    <col min="1792" max="1793" width="9" style="837" customWidth="1"/>
    <col min="1794" max="2039" width="9" style="837"/>
    <col min="2040" max="2040" width="30.5" style="837" customWidth="1"/>
    <col min="2041" max="2041" width="43.75" style="837" customWidth="1"/>
    <col min="2042" max="2044" width="9" style="837"/>
    <col min="2045" max="2045" width="21.875" style="837" customWidth="1"/>
    <col min="2046" max="2047" width="9" style="837"/>
    <col min="2048" max="2049" width="9" style="837" customWidth="1"/>
    <col min="2050" max="2295" width="9" style="837"/>
    <col min="2296" max="2296" width="30.5" style="837" customWidth="1"/>
    <col min="2297" max="2297" width="43.75" style="837" customWidth="1"/>
    <col min="2298" max="2300" width="9" style="837"/>
    <col min="2301" max="2301" width="21.875" style="837" customWidth="1"/>
    <col min="2302" max="2303" width="9" style="837"/>
    <col min="2304" max="2305" width="9" style="837" customWidth="1"/>
    <col min="2306" max="2551" width="9" style="837"/>
    <col min="2552" max="2552" width="30.5" style="837" customWidth="1"/>
    <col min="2553" max="2553" width="43.75" style="837" customWidth="1"/>
    <col min="2554" max="2556" width="9" style="837"/>
    <col min="2557" max="2557" width="21.875" style="837" customWidth="1"/>
    <col min="2558" max="2559" width="9" style="837"/>
    <col min="2560" max="2561" width="9" style="837" customWidth="1"/>
    <col min="2562" max="2807" width="9" style="837"/>
    <col min="2808" max="2808" width="30.5" style="837" customWidth="1"/>
    <col min="2809" max="2809" width="43.75" style="837" customWidth="1"/>
    <col min="2810" max="2812" width="9" style="837"/>
    <col min="2813" max="2813" width="21.875" style="837" customWidth="1"/>
    <col min="2814" max="2815" width="9" style="837"/>
    <col min="2816" max="2817" width="9" style="837" customWidth="1"/>
    <col min="2818" max="3063" width="9" style="837"/>
    <col min="3064" max="3064" width="30.5" style="837" customWidth="1"/>
    <col min="3065" max="3065" width="43.75" style="837" customWidth="1"/>
    <col min="3066" max="3068" width="9" style="837"/>
    <col min="3069" max="3069" width="21.875" style="837" customWidth="1"/>
    <col min="3070" max="3071" width="9" style="837"/>
    <col min="3072" max="3073" width="9" style="837" customWidth="1"/>
    <col min="3074" max="3319" width="9" style="837"/>
    <col min="3320" max="3320" width="30.5" style="837" customWidth="1"/>
    <col min="3321" max="3321" width="43.75" style="837" customWidth="1"/>
    <col min="3322" max="3324" width="9" style="837"/>
    <col min="3325" max="3325" width="21.875" style="837" customWidth="1"/>
    <col min="3326" max="3327" width="9" style="837"/>
    <col min="3328" max="3329" width="9" style="837" customWidth="1"/>
    <col min="3330" max="3575" width="9" style="837"/>
    <col min="3576" max="3576" width="30.5" style="837" customWidth="1"/>
    <col min="3577" max="3577" width="43.75" style="837" customWidth="1"/>
    <col min="3578" max="3580" width="9" style="837"/>
    <col min="3581" max="3581" width="21.875" style="837" customWidth="1"/>
    <col min="3582" max="3583" width="9" style="837"/>
    <col min="3584" max="3585" width="9" style="837" customWidth="1"/>
    <col min="3586" max="3831" width="9" style="837"/>
    <col min="3832" max="3832" width="30.5" style="837" customWidth="1"/>
    <col min="3833" max="3833" width="43.75" style="837" customWidth="1"/>
    <col min="3834" max="3836" width="9" style="837"/>
    <col min="3837" max="3837" width="21.875" style="837" customWidth="1"/>
    <col min="3838" max="3839" width="9" style="837"/>
    <col min="3840" max="3841" width="9" style="837" customWidth="1"/>
    <col min="3842" max="4087" width="9" style="837"/>
    <col min="4088" max="4088" width="30.5" style="837" customWidth="1"/>
    <col min="4089" max="4089" width="43.75" style="837" customWidth="1"/>
    <col min="4090" max="4092" width="9" style="837"/>
    <col min="4093" max="4093" width="21.875" style="837" customWidth="1"/>
    <col min="4094" max="4095" width="9" style="837"/>
    <col min="4096" max="4097" width="9" style="837" customWidth="1"/>
    <col min="4098" max="4343" width="9" style="837"/>
    <col min="4344" max="4344" width="30.5" style="837" customWidth="1"/>
    <col min="4345" max="4345" width="43.75" style="837" customWidth="1"/>
    <col min="4346" max="4348" width="9" style="837"/>
    <col min="4349" max="4349" width="21.875" style="837" customWidth="1"/>
    <col min="4350" max="4351" width="9" style="837"/>
    <col min="4352" max="4353" width="9" style="837" customWidth="1"/>
    <col min="4354" max="4599" width="9" style="837"/>
    <col min="4600" max="4600" width="30.5" style="837" customWidth="1"/>
    <col min="4601" max="4601" width="43.75" style="837" customWidth="1"/>
    <col min="4602" max="4604" width="9" style="837"/>
    <col min="4605" max="4605" width="21.875" style="837" customWidth="1"/>
    <col min="4606" max="4607" width="9" style="837"/>
    <col min="4608" max="4609" width="9" style="837" customWidth="1"/>
    <col min="4610" max="4855" width="9" style="837"/>
    <col min="4856" max="4856" width="30.5" style="837" customWidth="1"/>
    <col min="4857" max="4857" width="43.75" style="837" customWidth="1"/>
    <col min="4858" max="4860" width="9" style="837"/>
    <col min="4861" max="4861" width="21.875" style="837" customWidth="1"/>
    <col min="4862" max="4863" width="9" style="837"/>
    <col min="4864" max="4865" width="9" style="837" customWidth="1"/>
    <col min="4866" max="5111" width="9" style="837"/>
    <col min="5112" max="5112" width="30.5" style="837" customWidth="1"/>
    <col min="5113" max="5113" width="43.75" style="837" customWidth="1"/>
    <col min="5114" max="5116" width="9" style="837"/>
    <col min="5117" max="5117" width="21.875" style="837" customWidth="1"/>
    <col min="5118" max="5119" width="9" style="837"/>
    <col min="5120" max="5121" width="9" style="837" customWidth="1"/>
    <col min="5122" max="5367" width="9" style="837"/>
    <col min="5368" max="5368" width="30.5" style="837" customWidth="1"/>
    <col min="5369" max="5369" width="43.75" style="837" customWidth="1"/>
    <col min="5370" max="5372" width="9" style="837"/>
    <col min="5373" max="5373" width="21.875" style="837" customWidth="1"/>
    <col min="5374" max="5375" width="9" style="837"/>
    <col min="5376" max="5377" width="9" style="837" customWidth="1"/>
    <col min="5378" max="5623" width="9" style="837"/>
    <col min="5624" max="5624" width="30.5" style="837" customWidth="1"/>
    <col min="5625" max="5625" width="43.75" style="837" customWidth="1"/>
    <col min="5626" max="5628" width="9" style="837"/>
    <col min="5629" max="5629" width="21.875" style="837" customWidth="1"/>
    <col min="5630" max="5631" width="9" style="837"/>
    <col min="5632" max="5633" width="9" style="837" customWidth="1"/>
    <col min="5634" max="5879" width="9" style="837"/>
    <col min="5880" max="5880" width="30.5" style="837" customWidth="1"/>
    <col min="5881" max="5881" width="43.75" style="837" customWidth="1"/>
    <col min="5882" max="5884" width="9" style="837"/>
    <col min="5885" max="5885" width="21.875" style="837" customWidth="1"/>
    <col min="5886" max="5887" width="9" style="837"/>
    <col min="5888" max="5889" width="9" style="837" customWidth="1"/>
    <col min="5890" max="6135" width="9" style="837"/>
    <col min="6136" max="6136" width="30.5" style="837" customWidth="1"/>
    <col min="6137" max="6137" width="43.75" style="837" customWidth="1"/>
    <col min="6138" max="6140" width="9" style="837"/>
    <col min="6141" max="6141" width="21.875" style="837" customWidth="1"/>
    <col min="6142" max="6143" width="9" style="837"/>
    <col min="6144" max="6145" width="9" style="837" customWidth="1"/>
    <col min="6146" max="6391" width="9" style="837"/>
    <col min="6392" max="6392" width="30.5" style="837" customWidth="1"/>
    <col min="6393" max="6393" width="43.75" style="837" customWidth="1"/>
    <col min="6394" max="6396" width="9" style="837"/>
    <col min="6397" max="6397" width="21.875" style="837" customWidth="1"/>
    <col min="6398" max="6399" width="9" style="837"/>
    <col min="6400" max="6401" width="9" style="837" customWidth="1"/>
    <col min="6402" max="6647" width="9" style="837"/>
    <col min="6648" max="6648" width="30.5" style="837" customWidth="1"/>
    <col min="6649" max="6649" width="43.75" style="837" customWidth="1"/>
    <col min="6650" max="6652" width="9" style="837"/>
    <col min="6653" max="6653" width="21.875" style="837" customWidth="1"/>
    <col min="6654" max="6655" width="9" style="837"/>
    <col min="6656" max="6657" width="9" style="837" customWidth="1"/>
    <col min="6658" max="6903" width="9" style="837"/>
    <col min="6904" max="6904" width="30.5" style="837" customWidth="1"/>
    <col min="6905" max="6905" width="43.75" style="837" customWidth="1"/>
    <col min="6906" max="6908" width="9" style="837"/>
    <col min="6909" max="6909" width="21.875" style="837" customWidth="1"/>
    <col min="6910" max="6911" width="9" style="837"/>
    <col min="6912" max="6913" width="9" style="837" customWidth="1"/>
    <col min="6914" max="7159" width="9" style="837"/>
    <col min="7160" max="7160" width="30.5" style="837" customWidth="1"/>
    <col min="7161" max="7161" width="43.75" style="837" customWidth="1"/>
    <col min="7162" max="7164" width="9" style="837"/>
    <col min="7165" max="7165" width="21.875" style="837" customWidth="1"/>
    <col min="7166" max="7167" width="9" style="837"/>
    <col min="7168" max="7169" width="9" style="837" customWidth="1"/>
    <col min="7170" max="7415" width="9" style="837"/>
    <col min="7416" max="7416" width="30.5" style="837" customWidth="1"/>
    <col min="7417" max="7417" width="43.75" style="837" customWidth="1"/>
    <col min="7418" max="7420" width="9" style="837"/>
    <col min="7421" max="7421" width="21.875" style="837" customWidth="1"/>
    <col min="7422" max="7423" width="9" style="837"/>
    <col min="7424" max="7425" width="9" style="837" customWidth="1"/>
    <col min="7426" max="7671" width="9" style="837"/>
    <col min="7672" max="7672" width="30.5" style="837" customWidth="1"/>
    <col min="7673" max="7673" width="43.75" style="837" customWidth="1"/>
    <col min="7674" max="7676" width="9" style="837"/>
    <col min="7677" max="7677" width="21.875" style="837" customWidth="1"/>
    <col min="7678" max="7679" width="9" style="837"/>
    <col min="7680" max="7681" width="9" style="837" customWidth="1"/>
    <col min="7682" max="7927" width="9" style="837"/>
    <col min="7928" max="7928" width="30.5" style="837" customWidth="1"/>
    <col min="7929" max="7929" width="43.75" style="837" customWidth="1"/>
    <col min="7930" max="7932" width="9" style="837"/>
    <col min="7933" max="7933" width="21.875" style="837" customWidth="1"/>
    <col min="7934" max="7935" width="9" style="837"/>
    <col min="7936" max="7937" width="9" style="837" customWidth="1"/>
    <col min="7938" max="8183" width="9" style="837"/>
    <col min="8184" max="8184" width="30.5" style="837" customWidth="1"/>
    <col min="8185" max="8185" width="43.75" style="837" customWidth="1"/>
    <col min="8186" max="8188" width="9" style="837"/>
    <col min="8189" max="8189" width="21.875" style="837" customWidth="1"/>
    <col min="8190" max="8191" width="9" style="837"/>
    <col min="8192" max="8193" width="9" style="837" customWidth="1"/>
    <col min="8194" max="8439" width="9" style="837"/>
    <col min="8440" max="8440" width="30.5" style="837" customWidth="1"/>
    <col min="8441" max="8441" width="43.75" style="837" customWidth="1"/>
    <col min="8442" max="8444" width="9" style="837"/>
    <col min="8445" max="8445" width="21.875" style="837" customWidth="1"/>
    <col min="8446" max="8447" width="9" style="837"/>
    <col min="8448" max="8449" width="9" style="837" customWidth="1"/>
    <col min="8450" max="8695" width="9" style="837"/>
    <col min="8696" max="8696" width="30.5" style="837" customWidth="1"/>
    <col min="8697" max="8697" width="43.75" style="837" customWidth="1"/>
    <col min="8698" max="8700" width="9" style="837"/>
    <col min="8701" max="8701" width="21.875" style="837" customWidth="1"/>
    <col min="8702" max="8703" width="9" style="837"/>
    <col min="8704" max="8705" width="9" style="837" customWidth="1"/>
    <col min="8706" max="8951" width="9" style="837"/>
    <col min="8952" max="8952" width="30.5" style="837" customWidth="1"/>
    <col min="8953" max="8953" width="43.75" style="837" customWidth="1"/>
    <col min="8954" max="8956" width="9" style="837"/>
    <col min="8957" max="8957" width="21.875" style="837" customWidth="1"/>
    <col min="8958" max="8959" width="9" style="837"/>
    <col min="8960" max="8961" width="9" style="837" customWidth="1"/>
    <col min="8962" max="9207" width="9" style="837"/>
    <col min="9208" max="9208" width="30.5" style="837" customWidth="1"/>
    <col min="9209" max="9209" width="43.75" style="837" customWidth="1"/>
    <col min="9210" max="9212" width="9" style="837"/>
    <col min="9213" max="9213" width="21.875" style="837" customWidth="1"/>
    <col min="9214" max="9215" width="9" style="837"/>
    <col min="9216" max="9217" width="9" style="837" customWidth="1"/>
    <col min="9218" max="9463" width="9" style="837"/>
    <col min="9464" max="9464" width="30.5" style="837" customWidth="1"/>
    <col min="9465" max="9465" width="43.75" style="837" customWidth="1"/>
    <col min="9466" max="9468" width="9" style="837"/>
    <col min="9469" max="9469" width="21.875" style="837" customWidth="1"/>
    <col min="9470" max="9471" width="9" style="837"/>
    <col min="9472" max="9473" width="9" style="837" customWidth="1"/>
    <col min="9474" max="9719" width="9" style="837"/>
    <col min="9720" max="9720" width="30.5" style="837" customWidth="1"/>
    <col min="9721" max="9721" width="43.75" style="837" customWidth="1"/>
    <col min="9722" max="9724" width="9" style="837"/>
    <col min="9725" max="9725" width="21.875" style="837" customWidth="1"/>
    <col min="9726" max="9727" width="9" style="837"/>
    <col min="9728" max="9729" width="9" style="837" customWidth="1"/>
    <col min="9730" max="9975" width="9" style="837"/>
    <col min="9976" max="9976" width="30.5" style="837" customWidth="1"/>
    <col min="9977" max="9977" width="43.75" style="837" customWidth="1"/>
    <col min="9978" max="9980" width="9" style="837"/>
    <col min="9981" max="9981" width="21.875" style="837" customWidth="1"/>
    <col min="9982" max="9983" width="9" style="837"/>
    <col min="9984" max="9985" width="9" style="837" customWidth="1"/>
    <col min="9986" max="10231" width="9" style="837"/>
    <col min="10232" max="10232" width="30.5" style="837" customWidth="1"/>
    <col min="10233" max="10233" width="43.75" style="837" customWidth="1"/>
    <col min="10234" max="10236" width="9" style="837"/>
    <col min="10237" max="10237" width="21.875" style="837" customWidth="1"/>
    <col min="10238" max="10239" width="9" style="837"/>
    <col min="10240" max="10241" width="9" style="837" customWidth="1"/>
    <col min="10242" max="10487" width="9" style="837"/>
    <col min="10488" max="10488" width="30.5" style="837" customWidth="1"/>
    <col min="10489" max="10489" width="43.75" style="837" customWidth="1"/>
    <col min="10490" max="10492" width="9" style="837"/>
    <col min="10493" max="10493" width="21.875" style="837" customWidth="1"/>
    <col min="10494" max="10495" width="9" style="837"/>
    <col min="10496" max="10497" width="9" style="837" customWidth="1"/>
    <col min="10498" max="10743" width="9" style="837"/>
    <col min="10744" max="10744" width="30.5" style="837" customWidth="1"/>
    <col min="10745" max="10745" width="43.75" style="837" customWidth="1"/>
    <col min="10746" max="10748" width="9" style="837"/>
    <col min="10749" max="10749" width="21.875" style="837" customWidth="1"/>
    <col min="10750" max="10751" width="9" style="837"/>
    <col min="10752" max="10753" width="9" style="837" customWidth="1"/>
    <col min="10754" max="10999" width="9" style="837"/>
    <col min="11000" max="11000" width="30.5" style="837" customWidth="1"/>
    <col min="11001" max="11001" width="43.75" style="837" customWidth="1"/>
    <col min="11002" max="11004" width="9" style="837"/>
    <col min="11005" max="11005" width="21.875" style="837" customWidth="1"/>
    <col min="11006" max="11007" width="9" style="837"/>
    <col min="11008" max="11009" width="9" style="837" customWidth="1"/>
    <col min="11010" max="11255" width="9" style="837"/>
    <col min="11256" max="11256" width="30.5" style="837" customWidth="1"/>
    <col min="11257" max="11257" width="43.75" style="837" customWidth="1"/>
    <col min="11258" max="11260" width="9" style="837"/>
    <col min="11261" max="11261" width="21.875" style="837" customWidth="1"/>
    <col min="11262" max="11263" width="9" style="837"/>
    <col min="11264" max="11265" width="9" style="837" customWidth="1"/>
    <col min="11266" max="11511" width="9" style="837"/>
    <col min="11512" max="11512" width="30.5" style="837" customWidth="1"/>
    <col min="11513" max="11513" width="43.75" style="837" customWidth="1"/>
    <col min="11514" max="11516" width="9" style="837"/>
    <col min="11517" max="11517" width="21.875" style="837" customWidth="1"/>
    <col min="11518" max="11519" width="9" style="837"/>
    <col min="11520" max="11521" width="9" style="837" customWidth="1"/>
    <col min="11522" max="11767" width="9" style="837"/>
    <col min="11768" max="11768" width="30.5" style="837" customWidth="1"/>
    <col min="11769" max="11769" width="43.75" style="837" customWidth="1"/>
    <col min="11770" max="11772" width="9" style="837"/>
    <col min="11773" max="11773" width="21.875" style="837" customWidth="1"/>
    <col min="11774" max="11775" width="9" style="837"/>
    <col min="11776" max="11777" width="9" style="837" customWidth="1"/>
    <col min="11778" max="12023" width="9" style="837"/>
    <col min="12024" max="12024" width="30.5" style="837" customWidth="1"/>
    <col min="12025" max="12025" width="43.75" style="837" customWidth="1"/>
    <col min="12026" max="12028" width="9" style="837"/>
    <col min="12029" max="12029" width="21.875" style="837" customWidth="1"/>
    <col min="12030" max="12031" width="9" style="837"/>
    <col min="12032" max="12033" width="9" style="837" customWidth="1"/>
    <col min="12034" max="12279" width="9" style="837"/>
    <col min="12280" max="12280" width="30.5" style="837" customWidth="1"/>
    <col min="12281" max="12281" width="43.75" style="837" customWidth="1"/>
    <col min="12282" max="12284" width="9" style="837"/>
    <col min="12285" max="12285" width="21.875" style="837" customWidth="1"/>
    <col min="12286" max="12287" width="9" style="837"/>
    <col min="12288" max="12289" width="9" style="837" customWidth="1"/>
    <col min="12290" max="12535" width="9" style="837"/>
    <col min="12536" max="12536" width="30.5" style="837" customWidth="1"/>
    <col min="12537" max="12537" width="43.75" style="837" customWidth="1"/>
    <col min="12538" max="12540" width="9" style="837"/>
    <col min="12541" max="12541" width="21.875" style="837" customWidth="1"/>
    <col min="12542" max="12543" width="9" style="837"/>
    <col min="12544" max="12545" width="9" style="837" customWidth="1"/>
    <col min="12546" max="12791" width="9" style="837"/>
    <col min="12792" max="12792" width="30.5" style="837" customWidth="1"/>
    <col min="12793" max="12793" width="43.75" style="837" customWidth="1"/>
    <col min="12794" max="12796" width="9" style="837"/>
    <col min="12797" max="12797" width="21.875" style="837" customWidth="1"/>
    <col min="12798" max="12799" width="9" style="837"/>
    <col min="12800" max="12801" width="9" style="837" customWidth="1"/>
    <col min="12802" max="13047" width="9" style="837"/>
    <col min="13048" max="13048" width="30.5" style="837" customWidth="1"/>
    <col min="13049" max="13049" width="43.75" style="837" customWidth="1"/>
    <col min="13050" max="13052" width="9" style="837"/>
    <col min="13053" max="13053" width="21.875" style="837" customWidth="1"/>
    <col min="13054" max="13055" width="9" style="837"/>
    <col min="13056" max="13057" width="9" style="837" customWidth="1"/>
    <col min="13058" max="13303" width="9" style="837"/>
    <col min="13304" max="13304" width="30.5" style="837" customWidth="1"/>
    <col min="13305" max="13305" width="43.75" style="837" customWidth="1"/>
    <col min="13306" max="13308" width="9" style="837"/>
    <col min="13309" max="13309" width="21.875" style="837" customWidth="1"/>
    <col min="13310" max="13311" width="9" style="837"/>
    <col min="13312" max="13313" width="9" style="837" customWidth="1"/>
    <col min="13314" max="13559" width="9" style="837"/>
    <col min="13560" max="13560" width="30.5" style="837" customWidth="1"/>
    <col min="13561" max="13561" width="43.75" style="837" customWidth="1"/>
    <col min="13562" max="13564" width="9" style="837"/>
    <col min="13565" max="13565" width="21.875" style="837" customWidth="1"/>
    <col min="13566" max="13567" width="9" style="837"/>
    <col min="13568" max="13569" width="9" style="837" customWidth="1"/>
    <col min="13570" max="13815" width="9" style="837"/>
    <col min="13816" max="13816" width="30.5" style="837" customWidth="1"/>
    <col min="13817" max="13817" width="43.75" style="837" customWidth="1"/>
    <col min="13818" max="13820" width="9" style="837"/>
    <col min="13821" max="13821" width="21.875" style="837" customWidth="1"/>
    <col min="13822" max="13823" width="9" style="837"/>
    <col min="13824" max="13825" width="9" style="837" customWidth="1"/>
    <col min="13826" max="14071" width="9" style="837"/>
    <col min="14072" max="14072" width="30.5" style="837" customWidth="1"/>
    <col min="14073" max="14073" width="43.75" style="837" customWidth="1"/>
    <col min="14074" max="14076" width="9" style="837"/>
    <col min="14077" max="14077" width="21.875" style="837" customWidth="1"/>
    <col min="14078" max="14079" width="9" style="837"/>
    <col min="14080" max="14081" width="9" style="837" customWidth="1"/>
    <col min="14082" max="14327" width="9" style="837"/>
    <col min="14328" max="14328" width="30.5" style="837" customWidth="1"/>
    <col min="14329" max="14329" width="43.75" style="837" customWidth="1"/>
    <col min="14330" max="14332" width="9" style="837"/>
    <col min="14333" max="14333" width="21.875" style="837" customWidth="1"/>
    <col min="14334" max="14335" width="9" style="837"/>
    <col min="14336" max="14337" width="9" style="837" customWidth="1"/>
    <col min="14338" max="14583" width="9" style="837"/>
    <col min="14584" max="14584" width="30.5" style="837" customWidth="1"/>
    <col min="14585" max="14585" width="43.75" style="837" customWidth="1"/>
    <col min="14586" max="14588" width="9" style="837"/>
    <col min="14589" max="14589" width="21.875" style="837" customWidth="1"/>
    <col min="14590" max="14591" width="9" style="837"/>
    <col min="14592" max="14593" width="9" style="837" customWidth="1"/>
    <col min="14594" max="14839" width="9" style="837"/>
    <col min="14840" max="14840" width="30.5" style="837" customWidth="1"/>
    <col min="14841" max="14841" width="43.75" style="837" customWidth="1"/>
    <col min="14842" max="14844" width="9" style="837"/>
    <col min="14845" max="14845" width="21.875" style="837" customWidth="1"/>
    <col min="14846" max="14847" width="9" style="837"/>
    <col min="14848" max="14849" width="9" style="837" customWidth="1"/>
    <col min="14850" max="15095" width="9" style="837"/>
    <col min="15096" max="15096" width="30.5" style="837" customWidth="1"/>
    <col min="15097" max="15097" width="43.75" style="837" customWidth="1"/>
    <col min="15098" max="15100" width="9" style="837"/>
    <col min="15101" max="15101" width="21.875" style="837" customWidth="1"/>
    <col min="15102" max="15103" width="9" style="837"/>
    <col min="15104" max="15105" width="9" style="837" customWidth="1"/>
    <col min="15106" max="15351" width="9" style="837"/>
    <col min="15352" max="15352" width="30.5" style="837" customWidth="1"/>
    <col min="15353" max="15353" width="43.75" style="837" customWidth="1"/>
    <col min="15354" max="15356" width="9" style="837"/>
    <col min="15357" max="15357" width="21.875" style="837" customWidth="1"/>
    <col min="15358" max="15359" width="9" style="837"/>
    <col min="15360" max="15361" width="9" style="837" customWidth="1"/>
    <col min="15362" max="15607" width="9" style="837"/>
    <col min="15608" max="15608" width="30.5" style="837" customWidth="1"/>
    <col min="15609" max="15609" width="43.75" style="837" customWidth="1"/>
    <col min="15610" max="15612" width="9" style="837"/>
    <col min="15613" max="15613" width="21.875" style="837" customWidth="1"/>
    <col min="15614" max="15615" width="9" style="837"/>
    <col min="15616" max="15617" width="9" style="837" customWidth="1"/>
    <col min="15618" max="15863" width="9" style="837"/>
    <col min="15864" max="15864" width="30.5" style="837" customWidth="1"/>
    <col min="15865" max="15865" width="43.75" style="837" customWidth="1"/>
    <col min="15866" max="15868" width="9" style="837"/>
    <col min="15869" max="15869" width="21.875" style="837" customWidth="1"/>
    <col min="15870" max="15871" width="9" style="837"/>
    <col min="15872" max="15873" width="9" style="837" customWidth="1"/>
    <col min="15874" max="16119" width="9" style="837"/>
    <col min="16120" max="16120" width="30.5" style="837" customWidth="1"/>
    <col min="16121" max="16121" width="43.75" style="837" customWidth="1"/>
    <col min="16122" max="16124" width="9" style="837"/>
    <col min="16125" max="16125" width="21.875" style="837" customWidth="1"/>
    <col min="16126" max="16127" width="9" style="837"/>
    <col min="16128" max="16129" width="9" style="837" customWidth="1"/>
    <col min="16130" max="16384" width="9" style="837"/>
  </cols>
  <sheetData>
    <row r="1" spans="2:7" ht="22.5" customHeight="1">
      <c r="B1" s="835"/>
      <c r="C1" s="835"/>
      <c r="D1" s="836"/>
      <c r="F1" s="838"/>
      <c r="G1" s="838"/>
    </row>
    <row r="2" spans="2:7" ht="18.75">
      <c r="B2" s="839" t="s">
        <v>664</v>
      </c>
      <c r="C2" s="837"/>
      <c r="E2" s="835"/>
      <c r="F2" s="838"/>
      <c r="G2" s="838"/>
    </row>
    <row r="3" spans="2:7" ht="18.75">
      <c r="B3" s="838"/>
      <c r="C3" s="838"/>
      <c r="D3" s="840"/>
      <c r="E3" s="835"/>
      <c r="F3" s="838"/>
      <c r="G3" s="838"/>
    </row>
    <row r="4" spans="2:7" ht="17.25">
      <c r="B4" s="841" t="s">
        <v>665</v>
      </c>
      <c r="C4" s="842" t="s">
        <v>666</v>
      </c>
      <c r="E4" s="835"/>
      <c r="F4" s="838"/>
      <c r="G4" s="838"/>
    </row>
    <row r="5" spans="2:7" ht="17.25">
      <c r="B5" s="843" t="s">
        <v>667</v>
      </c>
      <c r="C5" s="842" t="s">
        <v>668</v>
      </c>
      <c r="E5" s="835"/>
      <c r="F5" s="838"/>
      <c r="G5" s="838"/>
    </row>
    <row r="6" spans="2:7" ht="17.25">
      <c r="B6" s="844" t="s">
        <v>669</v>
      </c>
      <c r="C6" s="842" t="s">
        <v>670</v>
      </c>
      <c r="E6" s="835"/>
      <c r="F6" s="838"/>
      <c r="G6" s="838"/>
    </row>
    <row r="7" spans="2:7" ht="17.25">
      <c r="B7" s="845" t="s">
        <v>671</v>
      </c>
      <c r="C7" s="842" t="s">
        <v>672</v>
      </c>
      <c r="E7" s="835"/>
      <c r="F7" s="838"/>
      <c r="G7" s="838"/>
    </row>
    <row r="8" spans="2:7" ht="9" customHeight="1">
      <c r="B8" s="835"/>
      <c r="C8" s="835"/>
      <c r="D8" s="835"/>
      <c r="E8" s="835"/>
      <c r="F8" s="838"/>
      <c r="G8" s="838"/>
    </row>
    <row r="9" spans="2:7" ht="26.25" hidden="1" customHeight="1">
      <c r="B9" s="846" t="s">
        <v>673</v>
      </c>
      <c r="C9" s="835"/>
      <c r="D9" s="835"/>
      <c r="E9" s="835"/>
      <c r="F9" s="838"/>
      <c r="G9" s="838"/>
    </row>
    <row r="10" spans="2:7" ht="26.25" hidden="1" customHeight="1" thickBot="1">
      <c r="B10" s="847" t="s">
        <v>674</v>
      </c>
      <c r="E10" s="835"/>
      <c r="F10" s="838"/>
      <c r="G10" s="838"/>
    </row>
    <row r="11" spans="2:7" ht="26.25" hidden="1" customHeight="1">
      <c r="B11" s="849" t="s">
        <v>675</v>
      </c>
      <c r="C11" s="850" t="s">
        <v>676</v>
      </c>
      <c r="D11" s="847"/>
      <c r="E11" s="835"/>
      <c r="G11" s="838"/>
    </row>
    <row r="12" spans="2:7" ht="26.25" hidden="1" customHeight="1">
      <c r="B12" s="851" t="s">
        <v>677</v>
      </c>
      <c r="C12" s="852" t="str">
        <f>IF(【様式１】総括表・個票!$D$12="","※園名を選択",CONCATENATE("【加算申請】",VLOOKUP(【様式１】総括表・個票!$D$12,'施設状況(要更新)'!$F$4:$S$700,14,FALSE),【様式１】総括表・個票!$D$12))</f>
        <v>※園名を選択</v>
      </c>
      <c r="D12" s="853" t="s">
        <v>678</v>
      </c>
      <c r="G12" s="838"/>
    </row>
    <row r="13" spans="2:7" ht="26.25" hidden="1" customHeight="1" thickBot="1">
      <c r="B13" s="854" t="s">
        <v>679</v>
      </c>
      <c r="C13" s="855" t="s">
        <v>680</v>
      </c>
      <c r="D13" s="847" t="s">
        <v>681</v>
      </c>
      <c r="G13" s="838"/>
    </row>
    <row r="14" spans="2:7" ht="26.25" hidden="1" customHeight="1">
      <c r="D14" s="847" t="s">
        <v>682</v>
      </c>
      <c r="G14" s="838"/>
    </row>
    <row r="15" spans="2:7" ht="26.25" hidden="1" customHeight="1" thickBot="1">
      <c r="B15" s="847" t="s">
        <v>683</v>
      </c>
      <c r="G15" s="838"/>
    </row>
    <row r="16" spans="2:7" ht="26.25" hidden="1" customHeight="1">
      <c r="B16" s="856" t="s">
        <v>684</v>
      </c>
      <c r="C16" s="857"/>
      <c r="D16" s="847" t="s">
        <v>685</v>
      </c>
      <c r="G16" s="838"/>
    </row>
    <row r="17" spans="2:7" ht="26.25" hidden="1" customHeight="1">
      <c r="B17" s="858" t="s">
        <v>686</v>
      </c>
      <c r="C17" s="859"/>
      <c r="D17" s="837" t="s">
        <v>687</v>
      </c>
      <c r="G17" s="838"/>
    </row>
    <row r="18" spans="2:7" ht="26.25" hidden="1" customHeight="1" thickBot="1">
      <c r="B18" s="860" t="s">
        <v>688</v>
      </c>
      <c r="C18" s="861"/>
      <c r="G18" s="838"/>
    </row>
    <row r="19" spans="2:7" ht="26.25" hidden="1" customHeight="1">
      <c r="C19" s="837"/>
      <c r="F19" s="835"/>
      <c r="G19" s="838"/>
    </row>
    <row r="20" spans="2:7" ht="24" hidden="1" customHeight="1">
      <c r="B20" s="862" t="s">
        <v>689</v>
      </c>
      <c r="C20" s="863"/>
      <c r="D20" s="864"/>
      <c r="F20" s="838"/>
      <c r="G20" s="838"/>
    </row>
    <row r="21" spans="2:7" ht="24" hidden="1" customHeight="1" thickBot="1">
      <c r="B21" s="863" t="s">
        <v>690</v>
      </c>
      <c r="C21" s="863"/>
      <c r="D21" s="864"/>
    </row>
    <row r="22" spans="2:7" ht="24" hidden="1" customHeight="1">
      <c r="B22" s="865" t="s">
        <v>691</v>
      </c>
      <c r="C22" s="850" t="s">
        <v>676</v>
      </c>
      <c r="D22" s="864"/>
    </row>
    <row r="23" spans="2:7" ht="24" hidden="1" customHeight="1" thickBot="1">
      <c r="B23" s="866" t="s">
        <v>677</v>
      </c>
      <c r="C23" s="855" t="str">
        <f>IF(【様式１】総括表・個票!$D$12="","※園名を選択",CONCATENATE("【加算問い合わせ】",VLOOKUP(【様式１】総括表・個票!$D$12,'施設状況(要更新)'!$F$4:$S$700,14,FALSE),【様式１】総括表・個票!$D$12))</f>
        <v>※園名を選択</v>
      </c>
      <c r="D23" s="853" t="s">
        <v>678</v>
      </c>
    </row>
    <row r="24" spans="2:7" ht="24" customHeight="1">
      <c r="B24" s="867"/>
      <c r="C24" s="868"/>
    </row>
    <row r="25" spans="2:7" ht="24" customHeight="1" thickBot="1">
      <c r="B25" s="862" t="s">
        <v>692</v>
      </c>
      <c r="C25" s="835"/>
      <c r="E25" s="835"/>
    </row>
    <row r="26" spans="2:7" ht="24" customHeight="1" thickBot="1">
      <c r="B26" s="869" t="s">
        <v>693</v>
      </c>
      <c r="C26" s="947" t="s">
        <v>694</v>
      </c>
      <c r="D26" s="948"/>
      <c r="E26" s="838"/>
    </row>
    <row r="27" spans="2:7" ht="69.75" customHeight="1" thickTop="1">
      <c r="B27" s="870" t="s">
        <v>695</v>
      </c>
      <c r="C27" s="949" t="s">
        <v>696</v>
      </c>
      <c r="D27" s="950"/>
      <c r="E27" s="838"/>
    </row>
    <row r="28" spans="2:7" ht="23.25" customHeight="1">
      <c r="B28" s="942" t="s">
        <v>697</v>
      </c>
      <c r="C28" s="952" t="s">
        <v>647</v>
      </c>
      <c r="D28" s="953"/>
      <c r="E28" s="838"/>
    </row>
    <row r="29" spans="2:7" ht="23.25" customHeight="1">
      <c r="B29" s="943"/>
      <c r="C29" s="940" t="s">
        <v>392</v>
      </c>
      <c r="D29" s="941"/>
      <c r="E29" s="838"/>
    </row>
    <row r="30" spans="2:7" ht="23.25" customHeight="1">
      <c r="B30" s="943"/>
      <c r="C30" s="940" t="s">
        <v>387</v>
      </c>
      <c r="D30" s="941"/>
      <c r="E30" s="838"/>
    </row>
    <row r="31" spans="2:7" ht="23.25" customHeight="1">
      <c r="B31" s="943"/>
      <c r="C31" s="940" t="s">
        <v>648</v>
      </c>
      <c r="D31" s="941"/>
      <c r="E31" s="838"/>
    </row>
    <row r="32" spans="2:7" ht="23.25" customHeight="1">
      <c r="B32" s="943"/>
      <c r="C32" s="940" t="s">
        <v>388</v>
      </c>
      <c r="D32" s="941"/>
      <c r="E32" s="838"/>
    </row>
    <row r="33" spans="2:5" ht="23.25" customHeight="1">
      <c r="B33" s="943"/>
      <c r="C33" s="940" t="s">
        <v>389</v>
      </c>
      <c r="D33" s="941"/>
      <c r="E33" s="838"/>
    </row>
    <row r="34" spans="2:5" ht="23.25" customHeight="1">
      <c r="B34" s="943"/>
      <c r="C34" s="940" t="s">
        <v>390</v>
      </c>
      <c r="D34" s="941"/>
      <c r="E34" s="838"/>
    </row>
    <row r="35" spans="2:5" ht="23.25" customHeight="1">
      <c r="B35" s="943"/>
      <c r="C35" s="940" t="s">
        <v>649</v>
      </c>
      <c r="D35" s="941"/>
      <c r="E35" s="838"/>
    </row>
    <row r="36" spans="2:5" ht="23.25" customHeight="1">
      <c r="B36" s="943"/>
      <c r="C36" s="940" t="s">
        <v>650</v>
      </c>
      <c r="D36" s="941"/>
      <c r="E36" s="838"/>
    </row>
    <row r="37" spans="2:5" ht="23.25" customHeight="1">
      <c r="B37" s="951"/>
      <c r="C37" s="871" t="s">
        <v>391</v>
      </c>
      <c r="D37" s="872"/>
      <c r="E37" s="838"/>
    </row>
    <row r="38" spans="2:5" ht="23.25" customHeight="1">
      <c r="B38" s="942" t="s">
        <v>698</v>
      </c>
      <c r="C38" s="873" t="s">
        <v>699</v>
      </c>
      <c r="D38" s="874"/>
      <c r="E38" s="838"/>
    </row>
    <row r="39" spans="2:5" ht="23.25" customHeight="1">
      <c r="B39" s="943"/>
      <c r="C39" s="873" t="s">
        <v>700</v>
      </c>
      <c r="D39" s="874"/>
      <c r="E39" s="838"/>
    </row>
    <row r="40" spans="2:5" ht="23.25" customHeight="1">
      <c r="B40" s="943"/>
      <c r="C40" s="873" t="s">
        <v>701</v>
      </c>
      <c r="D40" s="874"/>
      <c r="E40" s="838"/>
    </row>
    <row r="41" spans="2:5" s="876" customFormat="1" ht="41.25" customHeight="1" thickBot="1">
      <c r="B41" s="944"/>
      <c r="C41" s="945" t="s">
        <v>743</v>
      </c>
      <c r="D41" s="946"/>
      <c r="E41" s="875"/>
    </row>
    <row r="42" spans="2:5" ht="24" customHeight="1">
      <c r="C42" s="837"/>
    </row>
    <row r="43" spans="2:5" ht="24" customHeight="1">
      <c r="C43" s="837"/>
    </row>
    <row r="44" spans="2:5" ht="24" customHeight="1">
      <c r="C44" s="837"/>
    </row>
    <row r="45" spans="2:5" ht="24" customHeight="1">
      <c r="C45" s="837"/>
    </row>
    <row r="46" spans="2:5" ht="24" customHeight="1">
      <c r="C46" s="837"/>
    </row>
    <row r="47" spans="2:5" ht="24" customHeight="1">
      <c r="C47" s="837"/>
    </row>
  </sheetData>
  <sheetProtection algorithmName="SHA-512" hashValue="veWrQPx8Nq2pHENkQjJ9mwbr9JNfAa73mKeaZuatlZSnIcISEF2nUZaFnCpow0DomCgq+S0OIitww9n2Xg4wKw==" saltValue="6Zi2xgDaKdpU1okVJPAJpw==" spinCount="100000" sheet="1" objects="1" scenarios="1"/>
  <mergeCells count="14">
    <mergeCell ref="C35:D35"/>
    <mergeCell ref="C36:D36"/>
    <mergeCell ref="B38:B41"/>
    <mergeCell ref="C41:D41"/>
    <mergeCell ref="C26:D26"/>
    <mergeCell ref="C27:D27"/>
    <mergeCell ref="B28:B37"/>
    <mergeCell ref="C28:D28"/>
    <mergeCell ref="C29:D29"/>
    <mergeCell ref="C30:D30"/>
    <mergeCell ref="C31:D31"/>
    <mergeCell ref="C32:D32"/>
    <mergeCell ref="C33:D33"/>
    <mergeCell ref="C34:D34"/>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200-000000000000}">
      <formula1>#REF!</formula1>
    </dataValidation>
  </dataValidations>
  <hyperlinks>
    <hyperlink ref="C11" r:id="rId1" xr:uid="{00000000-0004-0000-0200-000000000000}"/>
    <hyperlink ref="C22" r:id="rId2" xr:uid="{00000000-0004-0000-0200-000001000000}"/>
  </hyperlinks>
  <pageMargins left="0.39370078740157483" right="0" top="0.98425196850393704" bottom="0.98425196850393704" header="0.51181102362204722" footer="0.51181102362204722"/>
  <pageSetup paperSize="9" scale="65" orientation="portrait" r:id="rId3"/>
  <headerFooter alignWithMargins="0"/>
  <colBreaks count="1" manualBreakCount="1">
    <brk id="6"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99FF"/>
  </sheetPr>
  <dimension ref="A1:Q46"/>
  <sheetViews>
    <sheetView view="pageBreakPreview" zoomScale="115" zoomScaleNormal="100" zoomScaleSheetLayoutView="115" workbookViewId="0">
      <selection activeCell="C2" sqref="C2"/>
    </sheetView>
  </sheetViews>
  <sheetFormatPr defaultRowHeight="13.5"/>
  <cols>
    <col min="1" max="1" width="14.625" style="154" customWidth="1"/>
    <col min="2" max="2" width="31.5" style="154" customWidth="1"/>
    <col min="3" max="3" width="74.375" style="154" customWidth="1"/>
    <col min="4" max="10" width="0" style="154" hidden="1" customWidth="1"/>
    <col min="11" max="13" width="6" style="154" hidden="1" customWidth="1"/>
    <col min="14" max="15" width="6" style="154" customWidth="1"/>
    <col min="16" max="16" width="9" style="154" customWidth="1"/>
    <col min="17" max="16384" width="9" style="154"/>
  </cols>
  <sheetData>
    <row r="1" spans="1:17" ht="18" thickBot="1">
      <c r="A1" s="891" t="s">
        <v>689</v>
      </c>
      <c r="B1" s="892"/>
      <c r="C1"/>
      <c r="D1" s="893" t="s">
        <v>48</v>
      </c>
      <c r="E1" s="894" t="s">
        <v>714</v>
      </c>
      <c r="F1" s="893" t="s">
        <v>715</v>
      </c>
      <c r="G1"/>
      <c r="H1"/>
      <c r="I1"/>
      <c r="J1"/>
      <c r="K1"/>
      <c r="L1"/>
      <c r="M1"/>
      <c r="N1"/>
      <c r="O1"/>
      <c r="P1"/>
      <c r="Q1"/>
    </row>
    <row r="2" spans="1:17" ht="17.25">
      <c r="A2" s="895" t="s">
        <v>691</v>
      </c>
      <c r="B2" s="896" t="s">
        <v>716</v>
      </c>
      <c r="C2"/>
      <c r="D2" s="893" t="str">
        <f>【様式１】総括表・個票!I10&amp;"月"</f>
        <v>月</v>
      </c>
      <c r="E2" s="894" t="e">
        <f>VLOOKUP(【様式１】総括表・個票!D12,'施設状況(要更新)'!$F$4:$S$700,14,FALSE)</f>
        <v>#N/A</v>
      </c>
      <c r="F2" s="893">
        <f>【様式１】総括表・個票!D12</f>
        <v>0</v>
      </c>
      <c r="G2"/>
      <c r="H2"/>
      <c r="I2"/>
      <c r="J2"/>
      <c r="K2"/>
      <c r="L2"/>
      <c r="M2"/>
      <c r="N2"/>
      <c r="O2"/>
      <c r="P2"/>
      <c r="Q2"/>
    </row>
    <row r="3" spans="1:17" ht="14.25">
      <c r="A3" s="897" t="s">
        <v>677</v>
      </c>
      <c r="B3" s="898" t="e">
        <f>"【問合せ】"&amp;D2&amp;"加算"&amp;E2&amp;F2</f>
        <v>#N/A</v>
      </c>
      <c r="C3" s="899" t="s">
        <v>717</v>
      </c>
      <c r="D3" s="900"/>
      <c r="E3"/>
      <c r="F3"/>
      <c r="G3"/>
      <c r="H3"/>
      <c r="I3"/>
      <c r="J3"/>
      <c r="K3"/>
      <c r="L3"/>
      <c r="M3"/>
      <c r="N3"/>
      <c r="O3"/>
      <c r="P3"/>
      <c r="Q3"/>
    </row>
    <row r="4" spans="1:17">
      <c r="A4" s="901" t="s">
        <v>718</v>
      </c>
      <c r="B4" s="902"/>
      <c r="C4"/>
      <c r="D4"/>
      <c r="E4"/>
      <c r="F4"/>
      <c r="G4"/>
      <c r="H4"/>
      <c r="I4"/>
      <c r="J4"/>
      <c r="K4"/>
      <c r="L4"/>
      <c r="M4"/>
      <c r="N4"/>
      <c r="O4"/>
      <c r="P4"/>
      <c r="Q4"/>
    </row>
    <row r="5" spans="1:17" ht="17.25">
      <c r="A5" s="903" t="s">
        <v>719</v>
      </c>
      <c r="B5" s="904"/>
      <c r="C5" s="904"/>
      <c r="D5"/>
      <c r="E5"/>
      <c r="F5"/>
      <c r="G5"/>
      <c r="H5"/>
      <c r="I5"/>
      <c r="J5"/>
      <c r="K5"/>
      <c r="L5"/>
      <c r="M5"/>
      <c r="N5"/>
      <c r="O5"/>
      <c r="P5"/>
      <c r="Q5"/>
    </row>
    <row r="6" spans="1:17" ht="18" thickBot="1">
      <c r="A6" s="905" t="s">
        <v>720</v>
      </c>
      <c r="B6" s="906"/>
      <c r="C6" s="907"/>
      <c r="D6"/>
      <c r="E6"/>
      <c r="F6"/>
      <c r="G6"/>
      <c r="H6"/>
      <c r="I6"/>
      <c r="J6"/>
      <c r="K6"/>
      <c r="L6"/>
      <c r="M6"/>
      <c r="N6"/>
      <c r="O6"/>
      <c r="P6"/>
      <c r="Q6"/>
    </row>
    <row r="7" spans="1:17" ht="17.25">
      <c r="A7" s="908" t="s">
        <v>675</v>
      </c>
      <c r="B7" s="909" t="s">
        <v>716</v>
      </c>
      <c r="C7" s="907"/>
      <c r="D7"/>
      <c r="E7"/>
      <c r="F7"/>
      <c r="G7"/>
      <c r="H7"/>
      <c r="I7"/>
      <c r="J7"/>
      <c r="K7"/>
      <c r="L7"/>
      <c r="M7"/>
      <c r="N7"/>
      <c r="O7"/>
      <c r="P7"/>
      <c r="Q7"/>
    </row>
    <row r="8" spans="1:17" ht="14.25">
      <c r="A8" s="897" t="s">
        <v>677</v>
      </c>
      <c r="B8" s="910" t="e">
        <f>"【提出】"&amp;D2&amp;"加算"&amp;E2&amp;F2</f>
        <v>#N/A</v>
      </c>
      <c r="C8" s="899" t="s">
        <v>717</v>
      </c>
      <c r="D8"/>
      <c r="E8"/>
      <c r="F8"/>
      <c r="G8"/>
      <c r="H8"/>
      <c r="I8"/>
      <c r="J8"/>
      <c r="K8"/>
      <c r="L8"/>
      <c r="M8"/>
      <c r="N8"/>
      <c r="O8"/>
      <c r="P8"/>
      <c r="Q8"/>
    </row>
    <row r="9" spans="1:17" ht="14.25">
      <c r="A9" s="911" t="s">
        <v>721</v>
      </c>
      <c r="B9" s="912" t="e">
        <f>D2&amp;"加算"&amp;E2&amp;F2</f>
        <v>#N/A</v>
      </c>
      <c r="C9" s="899" t="s">
        <v>722</v>
      </c>
      <c r="D9"/>
      <c r="E9"/>
      <c r="F9"/>
      <c r="G9"/>
      <c r="H9"/>
      <c r="I9"/>
      <c r="J9"/>
      <c r="K9"/>
      <c r="L9"/>
      <c r="M9"/>
      <c r="N9"/>
      <c r="O9"/>
      <c r="P9"/>
      <c r="Q9"/>
    </row>
    <row r="10" spans="1:17" ht="15" thickBot="1">
      <c r="A10" s="913" t="s">
        <v>679</v>
      </c>
      <c r="B10" s="914" t="s">
        <v>723</v>
      </c>
      <c r="C10" s="899" t="s">
        <v>724</v>
      </c>
      <c r="D10"/>
      <c r="E10"/>
      <c r="F10"/>
      <c r="G10"/>
      <c r="H10"/>
      <c r="I10"/>
      <c r="J10"/>
      <c r="K10"/>
      <c r="L10"/>
      <c r="M10"/>
      <c r="N10"/>
      <c r="O10"/>
      <c r="P10"/>
      <c r="Q10"/>
    </row>
    <row r="11" spans="1:17">
      <c r="A11" s="915" t="s">
        <v>725</v>
      </c>
      <c r="B11"/>
      <c r="C11"/>
      <c r="D11"/>
      <c r="E11"/>
      <c r="F11"/>
      <c r="G11"/>
      <c r="H11"/>
      <c r="I11"/>
      <c r="J11"/>
      <c r="K11"/>
      <c r="L11"/>
      <c r="M11"/>
      <c r="N11"/>
      <c r="O11"/>
      <c r="P11"/>
      <c r="Q11"/>
    </row>
    <row r="12" spans="1:17">
      <c r="A12" s="916" t="s">
        <v>726</v>
      </c>
      <c r="B12"/>
      <c r="C12"/>
      <c r="D12"/>
      <c r="E12"/>
      <c r="F12"/>
      <c r="G12"/>
      <c r="H12"/>
      <c r="I12"/>
      <c r="J12"/>
      <c r="K12"/>
      <c r="L12"/>
      <c r="M12"/>
      <c r="N12"/>
      <c r="O12"/>
      <c r="P12"/>
      <c r="Q12"/>
    </row>
    <row r="13" spans="1:17" ht="17.25">
      <c r="A13" s="903"/>
      <c r="B13" s="917"/>
      <c r="C13" s="917"/>
      <c r="D13"/>
      <c r="E13"/>
      <c r="F13"/>
      <c r="G13"/>
      <c r="H13"/>
      <c r="I13"/>
      <c r="J13"/>
      <c r="K13"/>
      <c r="L13"/>
      <c r="M13"/>
      <c r="N13"/>
      <c r="O13"/>
      <c r="P13"/>
      <c r="Q13"/>
    </row>
    <row r="14" spans="1:17" ht="13.5" customHeight="1" thickBot="1">
      <c r="A14" s="918"/>
      <c r="B14" s="919" t="s">
        <v>727</v>
      </c>
      <c r="C14" s="920" t="s">
        <v>728</v>
      </c>
      <c r="D14"/>
      <c r="E14"/>
      <c r="F14"/>
      <c r="G14"/>
      <c r="H14"/>
      <c r="I14"/>
      <c r="J14"/>
      <c r="K14"/>
      <c r="L14"/>
      <c r="M14"/>
      <c r="N14"/>
      <c r="O14"/>
      <c r="P14"/>
      <c r="Q14"/>
    </row>
    <row r="15" spans="1:17" ht="14.25" customHeight="1">
      <c r="A15" s="960" t="s">
        <v>729</v>
      </c>
      <c r="B15" s="957" t="str" cm="1">
        <f t="array" aca="1" ref="B15" ca="1">IFERROR(INDIRECT("F"&amp;SMALL($I$16:$I$22,ROW()/3-4)),"")</f>
        <v>障害児保育加算</v>
      </c>
      <c r="C15" s="924" t="e">
        <f ca="1">IF($B$15="","",$E$2&amp;"_"&amp;B15&amp;"添付書類①")</f>
        <v>#N/A</v>
      </c>
      <c r="D15"/>
      <c r="E15"/>
      <c r="F15" s="921" t="s">
        <v>730</v>
      </c>
      <c r="G15" s="921" t="s">
        <v>731</v>
      </c>
      <c r="H15" t="s">
        <v>732</v>
      </c>
      <c r="I15" t="s">
        <v>56</v>
      </c>
      <c r="J15"/>
      <c r="K15"/>
      <c r="L15"/>
      <c r="M15"/>
      <c r="N15"/>
      <c r="O15"/>
      <c r="P15"/>
      <c r="Q15"/>
    </row>
    <row r="16" spans="1:17" ht="14.25" customHeight="1">
      <c r="A16" s="961"/>
      <c r="B16" s="958"/>
      <c r="C16" s="925" t="e">
        <f ca="1">IF($B$15="","",$E$2&amp;"_"&amp;B15&amp;"添付書類②")</f>
        <v>#N/A</v>
      </c>
      <c r="D16" t="b">
        <f ca="1">B15=""</f>
        <v>0</v>
      </c>
      <c r="E16"/>
      <c r="F16" s="922" t="s">
        <v>113</v>
      </c>
      <c r="G16" t="str">
        <f>INDEX(【様式１】総括表・個票!$B$17:$B$39,MATCH(F16,【様式１】総括表・個票!$F$17:F$39,0))</f>
        <v>適用月エラー</v>
      </c>
      <c r="H16" t="str">
        <f>G16</f>
        <v>適用月エラー</v>
      </c>
      <c r="I16" t="str">
        <f>IF(H16="○",ROW(),"")</f>
        <v/>
      </c>
      <c r="J16"/>
      <c r="K16"/>
      <c r="L16"/>
      <c r="M16"/>
      <c r="N16"/>
      <c r="O16"/>
      <c r="P16"/>
      <c r="Q16"/>
    </row>
    <row r="17" spans="1:17" ht="14.25" customHeight="1" thickBot="1">
      <c r="A17" s="962"/>
      <c r="B17" s="959"/>
      <c r="C17" s="926" t="e">
        <f ca="1">IF($B$15="","",$E$2&amp;"_"&amp;B15&amp;"添付書類③")</f>
        <v>#N/A</v>
      </c>
      <c r="D17" t="b">
        <f ca="1">D16</f>
        <v>0</v>
      </c>
      <c r="E17"/>
      <c r="F17" s="922" t="s">
        <v>733</v>
      </c>
      <c r="G17" t="str">
        <f>INDEX(【様式１】総括表・個票!$B$17:$B$39,MATCH(F17,【様式１】総括表・個票!$F$17:F$39,0))</f>
        <v>適用月エラー</v>
      </c>
      <c r="H17" s="927" t="str">
        <f>IF(G17="×","×","○")</f>
        <v>○</v>
      </c>
      <c r="I17">
        <f t="shared" ref="I17:I21" si="0">IF(H17="○",ROW(),"")</f>
        <v>17</v>
      </c>
      <c r="J17"/>
      <c r="K17"/>
      <c r="L17"/>
      <c r="M17"/>
      <c r="N17"/>
      <c r="O17"/>
      <c r="P17"/>
      <c r="Q17"/>
    </row>
    <row r="18" spans="1:17" ht="14.25" customHeight="1">
      <c r="A18" s="954" t="s">
        <v>734</v>
      </c>
      <c r="B18" s="957" t="str" cm="1">
        <f t="array" aca="1" ref="B18" ca="1">IFERROR(INDIRECT("F"&amp;SMALL($I$16:$I$22,ROW()/3-4)),"")</f>
        <v/>
      </c>
      <c r="C18" s="924" t="e">
        <f ca="1">IF($B$15="","",$E$2&amp;"_"&amp;B18&amp;"添付書類①")</f>
        <v>#N/A</v>
      </c>
      <c r="D18" t="b">
        <f ca="1">D16</f>
        <v>0</v>
      </c>
      <c r="E18"/>
      <c r="F18" s="922" t="s">
        <v>88</v>
      </c>
      <c r="G18" t="str">
        <f>INDEX(【様式１】総括表・個票!$B$17:$B$39,MATCH(F18,【様式１】総括表・個票!$F$17:F$39,0))</f>
        <v>適用月エラー</v>
      </c>
      <c r="H18" t="str">
        <f t="shared" ref="H18:H19" si="1">G18</f>
        <v>適用月エラー</v>
      </c>
      <c r="I18" t="str">
        <f t="shared" si="0"/>
        <v/>
      </c>
      <c r="J18"/>
      <c r="K18"/>
      <c r="L18"/>
      <c r="M18"/>
      <c r="N18"/>
      <c r="O18"/>
      <c r="P18"/>
      <c r="Q18"/>
    </row>
    <row r="19" spans="1:17" ht="14.25" customHeight="1">
      <c r="A19" s="955"/>
      <c r="B19" s="958"/>
      <c r="C19" s="925" t="e">
        <f ca="1">IF($B$15="","",$E$2&amp;"_"&amp;B18&amp;"添付書類②")</f>
        <v>#N/A</v>
      </c>
      <c r="D19" t="b">
        <f ca="1">B18=""</f>
        <v>1</v>
      </c>
      <c r="E19"/>
      <c r="F19" s="922" t="s">
        <v>89</v>
      </c>
      <c r="G19" t="str">
        <f>INDEX(【様式１】総括表・個票!$B$17:$B$39,MATCH(F19,【様式１】総括表・個票!$F$17:F$39,0))</f>
        <v>適用月エラー</v>
      </c>
      <c r="H19" t="str">
        <f t="shared" si="1"/>
        <v>適用月エラー</v>
      </c>
      <c r="I19" t="str">
        <f t="shared" si="0"/>
        <v/>
      </c>
      <c r="J19"/>
      <c r="K19"/>
      <c r="L19"/>
      <c r="M19"/>
      <c r="N19"/>
      <c r="O19"/>
      <c r="P19"/>
      <c r="Q19"/>
    </row>
    <row r="20" spans="1:17" ht="14.25" customHeight="1" thickBot="1">
      <c r="A20" s="956"/>
      <c r="B20" s="959"/>
      <c r="C20" s="926" t="e">
        <f ca="1">IF($B$15="","",$E$2&amp;"_"&amp;B18&amp;"添付書類③")</f>
        <v>#N/A</v>
      </c>
      <c r="D20" t="b">
        <f ca="1">D19</f>
        <v>1</v>
      </c>
      <c r="E20"/>
      <c r="F20" s="922" t="s">
        <v>30</v>
      </c>
      <c r="G20" t="str">
        <f>INDEX(【様式１】総括表・個票!$B$17:$B$39,MATCH(F20,【様式１】総括表・個票!$F$17:F$39,0))</f>
        <v>適用月エラー</v>
      </c>
      <c r="H20" s="923" t="str">
        <f>IF(G20="×","×",IF(G20="適用月エラー","×","○"))</f>
        <v>×</v>
      </c>
      <c r="I20" t="str">
        <f t="shared" si="0"/>
        <v/>
      </c>
      <c r="J20"/>
    </row>
    <row r="21" spans="1:17" ht="14.25" customHeight="1">
      <c r="A21" s="954" t="s">
        <v>735</v>
      </c>
      <c r="B21" s="957" t="str" cm="1">
        <f t="array" aca="1" ref="B21" ca="1">IFERROR(INDIRECT("F"&amp;SMALL($I$16:$I$22,ROW()/3-4)),"")</f>
        <v/>
      </c>
      <c r="C21" s="924" t="e">
        <f ca="1">IF($B$15="","",$E$2&amp;"_"&amp;B21&amp;"添付書類①")</f>
        <v>#N/A</v>
      </c>
      <c r="D21" t="b">
        <f ca="1">D19</f>
        <v>1</v>
      </c>
      <c r="E21"/>
      <c r="F21" s="922"/>
      <c r="G21"/>
      <c r="H21" s="923"/>
      <c r="I21" t="str">
        <f t="shared" si="0"/>
        <v/>
      </c>
      <c r="J21"/>
    </row>
    <row r="22" spans="1:17" ht="14.25" customHeight="1">
      <c r="A22" s="955"/>
      <c r="B22" s="958"/>
      <c r="C22" s="925" t="e">
        <f ca="1">IF($B$15="","",$E$2&amp;"_"&amp;B21&amp;"添付書類②")</f>
        <v>#N/A</v>
      </c>
      <c r="D22" t="b">
        <f ca="1">B21=""</f>
        <v>1</v>
      </c>
      <c r="E22"/>
      <c r="F22"/>
      <c r="G22"/>
      <c r="H22"/>
      <c r="I22"/>
      <c r="J22"/>
    </row>
    <row r="23" spans="1:17" ht="14.25" customHeight="1" thickBot="1">
      <c r="A23" s="956"/>
      <c r="B23" s="959"/>
      <c r="C23" s="926" t="e">
        <f ca="1">IF($B$15="","",$E$2&amp;"_"&amp;B21&amp;"添付書類③")</f>
        <v>#N/A</v>
      </c>
      <c r="D23" t="b">
        <f ca="1">D22</f>
        <v>1</v>
      </c>
      <c r="E23"/>
      <c r="F23"/>
      <c r="G23"/>
      <c r="H23"/>
      <c r="I23"/>
      <c r="J23"/>
    </row>
    <row r="24" spans="1:17" ht="14.25" customHeight="1">
      <c r="A24" s="954" t="s">
        <v>736</v>
      </c>
      <c r="B24" s="957" t="str" cm="1">
        <f t="array" aca="1" ref="B24" ca="1">IFERROR(INDIRECT("F"&amp;SMALL($I$16:$I$22,ROW()/3-4)),"")</f>
        <v/>
      </c>
      <c r="C24" s="924" t="e">
        <f ca="1">IF($B$15="","",$E$2&amp;"_"&amp;B24&amp;"添付書類①")</f>
        <v>#N/A</v>
      </c>
      <c r="D24" t="b">
        <f ca="1">D22</f>
        <v>1</v>
      </c>
      <c r="E24"/>
      <c r="F24"/>
      <c r="G24"/>
      <c r="H24"/>
      <c r="I24"/>
      <c r="J24"/>
    </row>
    <row r="25" spans="1:17" ht="14.25" customHeight="1">
      <c r="A25" s="955"/>
      <c r="B25" s="958"/>
      <c r="C25" s="925" t="e">
        <f ca="1">IF($B$15="","",$E$2&amp;"_"&amp;B24&amp;"添付書類②")</f>
        <v>#N/A</v>
      </c>
      <c r="D25" t="b">
        <f ca="1">B24=""</f>
        <v>1</v>
      </c>
      <c r="E25"/>
      <c r="F25"/>
      <c r="G25"/>
      <c r="H25"/>
      <c r="I25"/>
      <c r="J25"/>
    </row>
    <row r="26" spans="1:17" ht="14.25" customHeight="1" thickBot="1">
      <c r="A26" s="956"/>
      <c r="B26" s="959"/>
      <c r="C26" s="926" t="e">
        <f ca="1">IF($B$15="","",$E$2&amp;"_"&amp;B24&amp;"添付書類③")</f>
        <v>#N/A</v>
      </c>
      <c r="D26" t="b">
        <f ca="1">D25</f>
        <v>1</v>
      </c>
      <c r="E26"/>
      <c r="F26"/>
      <c r="G26"/>
      <c r="H26"/>
      <c r="I26"/>
      <c r="J26"/>
    </row>
    <row r="27" spans="1:17" ht="14.25" customHeight="1">
      <c r="A27" s="954" t="s">
        <v>737</v>
      </c>
      <c r="B27" s="957" t="str" cm="1">
        <f t="array" aca="1" ref="B27" ca="1">IFERROR(INDIRECT("F"&amp;SMALL($I$16:$I$22,ROW()/3-4)),"")</f>
        <v/>
      </c>
      <c r="C27" s="924" t="e">
        <f ca="1">IF($B$15="","",$E$2&amp;"_"&amp;B27&amp;"添付書類①")</f>
        <v>#N/A</v>
      </c>
      <c r="D27" t="b">
        <f ca="1">D25</f>
        <v>1</v>
      </c>
      <c r="E27"/>
      <c r="F27"/>
      <c r="G27"/>
      <c r="H27"/>
      <c r="I27"/>
      <c r="J27"/>
    </row>
    <row r="28" spans="1:17" ht="14.25" customHeight="1">
      <c r="A28" s="955"/>
      <c r="B28" s="958"/>
      <c r="C28" s="925" t="e">
        <f ca="1">IF($B$15="","",$E$2&amp;"_"&amp;B27&amp;"添付書類②")</f>
        <v>#N/A</v>
      </c>
      <c r="D28" t="b">
        <f ca="1">B27=""</f>
        <v>1</v>
      </c>
      <c r="E28"/>
      <c r="F28"/>
      <c r="G28"/>
      <c r="H28"/>
      <c r="I28"/>
      <c r="J28"/>
    </row>
    <row r="29" spans="1:17" ht="14.25" customHeight="1" thickBot="1">
      <c r="A29" s="956"/>
      <c r="B29" s="959"/>
      <c r="C29" s="926" t="e">
        <f ca="1">IF($B$15="","",$E$2&amp;"_"&amp;B27&amp;"添付書類③")</f>
        <v>#N/A</v>
      </c>
      <c r="D29" t="b">
        <f ca="1">D28</f>
        <v>1</v>
      </c>
      <c r="E29"/>
      <c r="F29"/>
      <c r="G29"/>
      <c r="H29"/>
      <c r="I29"/>
      <c r="J29"/>
    </row>
    <row r="30" spans="1:17" ht="14.25" customHeight="1">
      <c r="A30" s="954" t="s">
        <v>738</v>
      </c>
      <c r="B30" s="957" t="str" cm="1">
        <f t="array" aca="1" ref="B30" ca="1">IFERROR(INDIRECT("F"&amp;SMALL($I$16:$I$22,ROW()/3-4)),"")</f>
        <v/>
      </c>
      <c r="C30" s="924" t="e">
        <f ca="1">IF($B$15="","",$E$2&amp;"_"&amp;B30&amp;"添付書類①")</f>
        <v>#N/A</v>
      </c>
      <c r="D30" t="b">
        <f ca="1">D28</f>
        <v>1</v>
      </c>
      <c r="E30"/>
      <c r="F30"/>
      <c r="G30"/>
      <c r="H30"/>
      <c r="I30"/>
      <c r="J30"/>
    </row>
    <row r="31" spans="1:17" ht="14.25" customHeight="1">
      <c r="A31" s="955"/>
      <c r="B31" s="958"/>
      <c r="C31" s="925" t="e">
        <f ca="1">IF($B$15="","",$E$2&amp;"_"&amp;B30&amp;"添付書類②")</f>
        <v>#N/A</v>
      </c>
      <c r="D31" t="b">
        <f ca="1">B30=""</f>
        <v>1</v>
      </c>
      <c r="E31"/>
      <c r="F31"/>
      <c r="G31"/>
      <c r="H31"/>
      <c r="I31"/>
      <c r="J31"/>
    </row>
    <row r="32" spans="1:17" ht="14.25" customHeight="1" thickBot="1">
      <c r="A32" s="956"/>
      <c r="B32" s="959"/>
      <c r="C32" s="926" t="e">
        <f ca="1">IF($B$15="","",$E$2&amp;"_"&amp;B30&amp;"添付書類③")</f>
        <v>#N/A</v>
      </c>
      <c r="D32" t="b">
        <f ca="1">D31</f>
        <v>1</v>
      </c>
      <c r="E32"/>
      <c r="F32"/>
      <c r="G32"/>
      <c r="H32"/>
      <c r="I32"/>
      <c r="J32"/>
    </row>
    <row r="33" spans="1:10" ht="14.25" customHeight="1">
      <c r="A33" s="954" t="s">
        <v>739</v>
      </c>
      <c r="B33" s="957" t="str" cm="1">
        <f t="array" aca="1" ref="B33" ca="1">IFERROR(INDIRECT("F"&amp;SMALL($I$16:$I$22,ROW()/3-4)),"")</f>
        <v/>
      </c>
      <c r="C33" s="924" t="e">
        <f ca="1">IF($B$15="","",$E$2&amp;"_"&amp;B33&amp;"添付書類①")</f>
        <v>#N/A</v>
      </c>
      <c r="D33" t="b">
        <f ca="1">D31</f>
        <v>1</v>
      </c>
      <c r="E33"/>
      <c r="F33"/>
      <c r="G33"/>
      <c r="H33"/>
      <c r="I33"/>
      <c r="J33"/>
    </row>
    <row r="34" spans="1:10" ht="14.25" customHeight="1">
      <c r="A34" s="955"/>
      <c r="B34" s="958"/>
      <c r="C34" s="925" t="e">
        <f ca="1">IF($B$15="","",$E$2&amp;"_"&amp;B33&amp;"添付書類②")</f>
        <v>#N/A</v>
      </c>
      <c r="D34" t="b">
        <f ca="1">B33=""</f>
        <v>1</v>
      </c>
      <c r="E34"/>
      <c r="F34"/>
      <c r="G34"/>
      <c r="H34"/>
      <c r="I34"/>
      <c r="J34"/>
    </row>
    <row r="35" spans="1:10" ht="14.25" customHeight="1" thickBot="1">
      <c r="A35" s="956"/>
      <c r="B35" s="959"/>
      <c r="C35" s="926" t="e">
        <f ca="1">IF($B$15="","",$E$2&amp;"_"&amp;B33&amp;"添付書類③")</f>
        <v>#N/A</v>
      </c>
      <c r="D35" t="b">
        <f ca="1">D34</f>
        <v>1</v>
      </c>
      <c r="E35"/>
      <c r="F35"/>
      <c r="G35"/>
      <c r="H35"/>
      <c r="I35"/>
      <c r="J35"/>
    </row>
    <row r="36" spans="1:10" ht="14.25" customHeight="1">
      <c r="A36" s="954" t="s">
        <v>740</v>
      </c>
      <c r="B36" s="957" t="str" cm="1">
        <f t="array" aca="1" ref="B36" ca="1">IFERROR(INDIRECT("F"&amp;SMALL($I$16:$I$22,ROW()/3-4)),"")</f>
        <v/>
      </c>
      <c r="C36" s="924" t="e">
        <f ca="1">IF($B$15="","",$E$2&amp;"_"&amp;B36&amp;"添付書類①")</f>
        <v>#N/A</v>
      </c>
      <c r="D36" t="b">
        <f ca="1">D34</f>
        <v>1</v>
      </c>
      <c r="E36"/>
      <c r="F36"/>
      <c r="G36"/>
      <c r="H36"/>
      <c r="I36"/>
      <c r="J36"/>
    </row>
    <row r="37" spans="1:10" ht="14.25" customHeight="1">
      <c r="A37" s="955"/>
      <c r="B37" s="958"/>
      <c r="C37" s="925" t="e">
        <f ca="1">IF($B$15="","",$E$2&amp;"_"&amp;B36&amp;"添付書類②")</f>
        <v>#N/A</v>
      </c>
      <c r="D37" t="b">
        <f ca="1">B36=""</f>
        <v>1</v>
      </c>
      <c r="E37"/>
      <c r="F37"/>
      <c r="G37"/>
      <c r="H37"/>
      <c r="I37"/>
      <c r="J37"/>
    </row>
    <row r="38" spans="1:10" ht="14.25" customHeight="1" thickBot="1">
      <c r="A38" s="956"/>
      <c r="B38" s="959"/>
      <c r="C38" s="926" t="e">
        <f ca="1">IF($B$15="","",$E$2&amp;"_"&amp;B36&amp;"添付書類③")</f>
        <v>#N/A</v>
      </c>
      <c r="D38" t="b">
        <f ca="1">D37</f>
        <v>1</v>
      </c>
      <c r="E38"/>
      <c r="F38"/>
      <c r="G38"/>
      <c r="H38"/>
      <c r="I38"/>
      <c r="J38"/>
    </row>
    <row r="39" spans="1:10" ht="14.25" customHeight="1">
      <c r="A39" s="954" t="s">
        <v>741</v>
      </c>
      <c r="B39" s="957" t="str" cm="1">
        <f t="array" aca="1" ref="B39" ca="1">IFERROR(INDIRECT("F"&amp;SMALL($I$16:$I$22,ROW()/3-4)),"")</f>
        <v/>
      </c>
      <c r="C39" s="924" t="e">
        <f ca="1">IF($B$15="","",$E$2&amp;"_"&amp;B39&amp;"添付書類①")</f>
        <v>#N/A</v>
      </c>
      <c r="D39" t="b">
        <f ca="1">D37</f>
        <v>1</v>
      </c>
      <c r="E39"/>
      <c r="F39"/>
      <c r="G39"/>
      <c r="H39"/>
      <c r="I39"/>
      <c r="J39"/>
    </row>
    <row r="40" spans="1:10" ht="14.25" customHeight="1">
      <c r="A40" s="955"/>
      <c r="B40" s="958"/>
      <c r="C40" s="925" t="e">
        <f ca="1">IF($B$15="","",$E$2&amp;"_"&amp;B39&amp;"添付書類②")</f>
        <v>#N/A</v>
      </c>
      <c r="D40" t="b">
        <f ca="1">B39=""</f>
        <v>1</v>
      </c>
      <c r="E40"/>
      <c r="F40"/>
      <c r="G40"/>
      <c r="H40"/>
      <c r="I40"/>
      <c r="J40"/>
    </row>
    <row r="41" spans="1:10" ht="14.25" customHeight="1" thickBot="1">
      <c r="A41" s="956"/>
      <c r="B41" s="959"/>
      <c r="C41" s="926" t="e">
        <f ca="1">IF($B$15="","",$E$2&amp;"_"&amp;B39&amp;"添付書類③")</f>
        <v>#N/A</v>
      </c>
      <c r="D41" t="b">
        <f ca="1">D40</f>
        <v>1</v>
      </c>
      <c r="E41"/>
      <c r="F41"/>
      <c r="G41"/>
      <c r="H41"/>
      <c r="I41"/>
      <c r="J41"/>
    </row>
    <row r="42" spans="1:10" ht="14.25" customHeight="1">
      <c r="A42"/>
      <c r="B42"/>
      <c r="C42"/>
      <c r="D42" t="b">
        <f ca="1">D40</f>
        <v>1</v>
      </c>
      <c r="E42"/>
      <c r="F42"/>
      <c r="G42"/>
      <c r="H42"/>
      <c r="I42"/>
      <c r="J42"/>
    </row>
    <row r="43" spans="1:10" ht="14.25" customHeight="1">
      <c r="A43"/>
      <c r="B43"/>
      <c r="C43"/>
      <c r="D43" t="b">
        <f>B42=""</f>
        <v>1</v>
      </c>
      <c r="E43"/>
      <c r="F43"/>
      <c r="G43"/>
      <c r="H43"/>
      <c r="I43"/>
      <c r="J43"/>
    </row>
    <row r="44" spans="1:10">
      <c r="A44"/>
      <c r="B44"/>
      <c r="C44"/>
      <c r="D44" t="b">
        <f>D43</f>
        <v>1</v>
      </c>
      <c r="E44"/>
      <c r="F44"/>
      <c r="G44"/>
      <c r="H44"/>
      <c r="I44"/>
      <c r="J44"/>
    </row>
    <row r="45" spans="1:10">
      <c r="A45"/>
      <c r="B45"/>
      <c r="C45"/>
      <c r="D45" t="b">
        <f>D43</f>
        <v>1</v>
      </c>
      <c r="E45"/>
      <c r="F45"/>
      <c r="G45"/>
      <c r="H45"/>
      <c r="I45"/>
      <c r="J45"/>
    </row>
    <row r="46" spans="1:10">
      <c r="A46"/>
      <c r="B46"/>
      <c r="C46"/>
      <c r="D46" t="b">
        <f>B45=""</f>
        <v>1</v>
      </c>
      <c r="E46"/>
      <c r="F46"/>
      <c r="G46"/>
      <c r="H46"/>
      <c r="I46"/>
      <c r="J46"/>
    </row>
  </sheetData>
  <sheetProtection algorithmName="SHA-512" hashValue="SOqqJe6c/VheFtRVzhhg1Non02IseXOjNh01vShGh/4zlnJ05zX9/O8fl7ftM6McfQ+cYA2y+k7oVhlO7bLI1A==" saltValue="g9FJzaB51TPl3e6M++TjjA==" spinCount="100000" sheet="1" objects="1" scenarios="1"/>
  <mergeCells count="18">
    <mergeCell ref="A15:A17"/>
    <mergeCell ref="B15:B17"/>
    <mergeCell ref="A18:A20"/>
    <mergeCell ref="B18:B20"/>
    <mergeCell ref="A21:A23"/>
    <mergeCell ref="B21:B23"/>
    <mergeCell ref="A24:A26"/>
    <mergeCell ref="B24:B26"/>
    <mergeCell ref="A27:A29"/>
    <mergeCell ref="B27:B29"/>
    <mergeCell ref="A30:A32"/>
    <mergeCell ref="B30:B32"/>
    <mergeCell ref="A33:A35"/>
    <mergeCell ref="B33:B35"/>
    <mergeCell ref="A36:A38"/>
    <mergeCell ref="B36:B38"/>
    <mergeCell ref="A39:A41"/>
    <mergeCell ref="B39:B41"/>
  </mergeCells>
  <phoneticPr fontId="1"/>
  <pageMargins left="0.7" right="0.7" top="0.75" bottom="0.75" header="0.3" footer="0.3"/>
  <pageSetup paperSize="9" scale="74" orientation="portrait" r:id="rId1"/>
  <colBreaks count="1" manualBreakCount="1">
    <brk id="3" max="5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1">
    <tabColor rgb="FFFF0000"/>
    <pageSetUpPr fitToPage="1"/>
  </sheetPr>
  <dimension ref="A1:AS319"/>
  <sheetViews>
    <sheetView view="pageBreakPreview" zoomScale="118" zoomScaleNormal="100" zoomScaleSheetLayoutView="118" workbookViewId="0">
      <selection activeCell="I10" sqref="I10:K10"/>
    </sheetView>
  </sheetViews>
  <sheetFormatPr defaultRowHeight="12" outlineLevelCol="1"/>
  <cols>
    <col min="1" max="21" width="2.875" style="83" customWidth="1"/>
    <col min="22" max="26" width="3.125" style="83" customWidth="1"/>
    <col min="27" max="33" width="2.875" style="83" customWidth="1"/>
    <col min="34" max="34" width="50.625" style="83" customWidth="1"/>
    <col min="35" max="36" width="9" style="83" hidden="1" customWidth="1" outlineLevel="1"/>
    <col min="37" max="37" width="11.625" style="83" hidden="1" customWidth="1" outlineLevel="1"/>
    <col min="38" max="38" width="12.5" style="83" hidden="1" customWidth="1" outlineLevel="1"/>
    <col min="39" max="44" width="9" style="83" hidden="1" customWidth="1" outlineLevel="1"/>
    <col min="45" max="45" width="9" style="83" collapsed="1"/>
    <col min="46" max="16384" width="9" style="83"/>
  </cols>
  <sheetData>
    <row r="1" spans="1:42" ht="15" customHeight="1" thickBot="1">
      <c r="A1" s="719" t="s">
        <v>357</v>
      </c>
      <c r="B1" s="718"/>
      <c r="C1" s="718"/>
      <c r="D1" s="718"/>
      <c r="E1" s="718"/>
      <c r="F1" s="718"/>
      <c r="G1" s="718"/>
      <c r="H1" s="718"/>
      <c r="I1" s="720"/>
      <c r="J1" s="720"/>
      <c r="K1" s="720"/>
      <c r="L1" s="720"/>
      <c r="M1" s="720"/>
      <c r="N1" s="720"/>
      <c r="O1" s="720"/>
      <c r="P1" s="720"/>
      <c r="Q1" s="720"/>
      <c r="R1" s="720"/>
      <c r="S1" s="720"/>
      <c r="T1" s="720"/>
      <c r="U1" s="720"/>
      <c r="V1" s="720"/>
      <c r="W1" s="720"/>
      <c r="X1" s="1000" t="str">
        <f>AI2&amp;"様式1"&amp;AI3</f>
        <v>加-23_月申-様式1-家_Ver.2.00</v>
      </c>
      <c r="Y1" s="1000"/>
      <c r="Z1" s="1000"/>
      <c r="AA1" s="1000"/>
      <c r="AB1" s="1000"/>
      <c r="AC1" s="1000"/>
      <c r="AD1" s="1000"/>
      <c r="AE1" s="1000"/>
      <c r="AF1" s="1000"/>
      <c r="AG1" s="1001"/>
      <c r="AI1" s="87" t="s">
        <v>385</v>
      </c>
      <c r="AJ1" s="84" t="s">
        <v>43</v>
      </c>
      <c r="AK1" s="975" t="s">
        <v>48</v>
      </c>
      <c r="AL1" s="977"/>
      <c r="AM1" s="85" t="s">
        <v>134</v>
      </c>
      <c r="AN1" s="86" t="s">
        <v>190</v>
      </c>
      <c r="AO1" s="85" t="s">
        <v>47</v>
      </c>
      <c r="AP1" s="87" t="s">
        <v>193</v>
      </c>
    </row>
    <row r="2" spans="1:42" ht="15" customHeight="1" thickTop="1" thickBot="1">
      <c r="A2" s="574"/>
      <c r="B2" s="575"/>
      <c r="C2" s="575"/>
      <c r="D2" s="575"/>
      <c r="E2" s="575"/>
      <c r="F2" s="575"/>
      <c r="G2" s="575"/>
      <c r="H2" s="575"/>
      <c r="I2" s="576"/>
      <c r="J2" s="576"/>
      <c r="K2" s="576"/>
      <c r="L2" s="576"/>
      <c r="M2" s="576"/>
      <c r="N2" s="576"/>
      <c r="O2" s="576"/>
      <c r="P2" s="576"/>
      <c r="Q2" s="576"/>
      <c r="R2" s="576"/>
      <c r="S2" s="576"/>
      <c r="T2" s="576"/>
      <c r="U2" s="576"/>
      <c r="V2" s="576"/>
      <c r="W2" s="576"/>
      <c r="X2" s="575"/>
      <c r="Y2" s="575"/>
      <c r="Z2" s="575"/>
      <c r="AA2" s="575"/>
      <c r="AB2" s="575"/>
      <c r="AC2" s="219"/>
      <c r="AD2" s="219"/>
      <c r="AE2" s="219"/>
      <c r="AF2" s="219"/>
      <c r="AG2" s="577"/>
      <c r="AI2" s="85" t="str">
        <f>"加-"&amp;MID($AJ$2,3,2)&amp;"_"&amp;$I$10&amp;"月"&amp;"申-"</f>
        <v>加-23_月申-</v>
      </c>
      <c r="AJ2" s="889">
        <v>2023</v>
      </c>
      <c r="AK2" s="88"/>
      <c r="AL2" s="87"/>
      <c r="AM2" s="85"/>
      <c r="AN2" s="87" t="s">
        <v>657</v>
      </c>
      <c r="AO2" s="714"/>
      <c r="AP2" s="87"/>
    </row>
    <row r="3" spans="1:42" ht="15" customHeight="1" thickTop="1">
      <c r="A3" s="1095" t="str">
        <f>+AJ2&amp;"年度施設型給付費等にかかる加算（調整）適用申請書（試算様式）"</f>
        <v>2023年度施設型給付費等にかかる加算（調整）適用申請書（試算様式）</v>
      </c>
      <c r="B3" s="1096"/>
      <c r="C3" s="1096"/>
      <c r="D3" s="1096"/>
      <c r="E3" s="1096"/>
      <c r="F3" s="1096"/>
      <c r="G3" s="1096"/>
      <c r="H3" s="1096"/>
      <c r="I3" s="1096"/>
      <c r="J3" s="1096"/>
      <c r="K3" s="1096"/>
      <c r="L3" s="1096"/>
      <c r="M3" s="1096"/>
      <c r="N3" s="1096"/>
      <c r="O3" s="1096"/>
      <c r="P3" s="1096"/>
      <c r="Q3" s="1096"/>
      <c r="R3" s="1096"/>
      <c r="S3" s="1096"/>
      <c r="T3" s="1096"/>
      <c r="U3" s="1096"/>
      <c r="V3" s="1096"/>
      <c r="W3" s="1096"/>
      <c r="X3" s="1096"/>
      <c r="Y3" s="1096"/>
      <c r="Z3" s="1096"/>
      <c r="AA3" s="1096"/>
      <c r="AB3" s="1096"/>
      <c r="AC3" s="1096"/>
      <c r="AD3" s="1096"/>
      <c r="AE3" s="575"/>
      <c r="AF3" s="575"/>
      <c r="AG3" s="578"/>
      <c r="AI3" s="87" t="str">
        <f>"-"&amp;MID(AN2,3,1)&amp;IFERROR(VLOOKUP($D$12,'施設状況(要更新)'!$F$4:$S$700,14,FALSE),"")&amp;"_Ver."&amp;TEXT(ver!$B$18,"#.00")</f>
        <v>-家_Ver.2.00</v>
      </c>
      <c r="AJ3" s="713"/>
      <c r="AK3" s="89">
        <v>4</v>
      </c>
      <c r="AL3" s="89">
        <v>1</v>
      </c>
      <c r="AM3" s="89" t="s">
        <v>181</v>
      </c>
      <c r="AN3" s="90"/>
      <c r="AO3" s="91" t="s">
        <v>191</v>
      </c>
      <c r="AP3" s="89" t="s">
        <v>194</v>
      </c>
    </row>
    <row r="4" spans="1:42" ht="15" customHeight="1">
      <c r="A4" s="574"/>
      <c r="B4" s="575"/>
      <c r="C4" s="575"/>
      <c r="D4" s="575"/>
      <c r="E4" s="575"/>
      <c r="F4" s="575"/>
      <c r="G4" s="575"/>
      <c r="H4" s="575"/>
      <c r="I4" s="575"/>
      <c r="J4" s="575"/>
      <c r="K4" s="575"/>
      <c r="L4" s="575"/>
      <c r="M4" s="575"/>
      <c r="N4" s="575"/>
      <c r="O4" s="575"/>
      <c r="P4" s="575"/>
      <c r="Q4" s="575"/>
      <c r="R4" s="575"/>
      <c r="S4" s="575"/>
      <c r="T4" s="575"/>
      <c r="U4" s="575"/>
      <c r="V4" s="575"/>
      <c r="W4" s="1097" t="e">
        <f>VLOOKUP(I10,$AK$18:$AL$29,2,0)</f>
        <v>#N/A</v>
      </c>
      <c r="X4" s="1097"/>
      <c r="Y4" s="1097"/>
      <c r="Z4" s="1097"/>
      <c r="AA4" s="1097"/>
      <c r="AB4" s="1097"/>
      <c r="AC4" s="1097"/>
      <c r="AD4" s="1097"/>
      <c r="AE4" s="575"/>
      <c r="AF4" s="575"/>
      <c r="AG4" s="578"/>
      <c r="AK4" s="89">
        <v>5</v>
      </c>
      <c r="AL4" s="89">
        <v>2</v>
      </c>
      <c r="AM4" s="89" t="s">
        <v>182</v>
      </c>
      <c r="AN4" s="90"/>
      <c r="AO4" s="89" t="s">
        <v>192</v>
      </c>
      <c r="AP4" s="89" t="s">
        <v>195</v>
      </c>
    </row>
    <row r="5" spans="1:42" ht="15" customHeight="1">
      <c r="A5" s="574" t="s">
        <v>36</v>
      </c>
      <c r="B5" s="575"/>
      <c r="C5" s="575"/>
      <c r="D5" s="575"/>
      <c r="E5" s="575"/>
      <c r="F5" s="575"/>
      <c r="G5" s="575"/>
      <c r="H5" s="575"/>
      <c r="I5" s="575"/>
      <c r="J5" s="575"/>
      <c r="K5" s="575"/>
      <c r="L5" s="575"/>
      <c r="M5" s="575"/>
      <c r="N5" s="575"/>
      <c r="O5" s="575"/>
      <c r="P5" s="575"/>
      <c r="Q5" s="575"/>
      <c r="R5" s="575"/>
      <c r="S5" s="575"/>
      <c r="T5" s="575"/>
      <c r="U5" s="575"/>
      <c r="V5" s="575"/>
      <c r="W5" s="575"/>
      <c r="X5" s="575"/>
      <c r="Y5" s="575"/>
      <c r="Z5" s="575"/>
      <c r="AA5" s="575"/>
      <c r="AB5" s="575"/>
      <c r="AC5" s="575"/>
      <c r="AD5" s="575"/>
      <c r="AE5" s="575"/>
      <c r="AF5" s="575"/>
      <c r="AG5" s="578"/>
      <c r="AK5" s="89">
        <v>6</v>
      </c>
      <c r="AL5" s="89">
        <v>3</v>
      </c>
      <c r="AM5" s="89" t="s">
        <v>183</v>
      </c>
      <c r="AN5" s="82"/>
      <c r="AO5" s="80"/>
      <c r="AP5" s="80"/>
    </row>
    <row r="6" spans="1:42" ht="15" customHeight="1">
      <c r="A6" s="574"/>
      <c r="B6" s="575"/>
      <c r="C6" s="575"/>
      <c r="D6" s="575"/>
      <c r="E6" s="575"/>
      <c r="F6" s="575"/>
      <c r="G6" s="575"/>
      <c r="H6" s="575"/>
      <c r="I6" s="575"/>
      <c r="J6" s="575"/>
      <c r="K6" s="575"/>
      <c r="L6" s="575"/>
      <c r="M6" s="575"/>
      <c r="N6" s="575"/>
      <c r="O6" s="575"/>
      <c r="P6" s="1117" t="s">
        <v>13</v>
      </c>
      <c r="Q6" s="1118"/>
      <c r="R6" s="1118"/>
      <c r="S6" s="1829"/>
      <c r="T6" s="1830"/>
      <c r="U6" s="1830"/>
      <c r="V6" s="1830"/>
      <c r="W6" s="1830"/>
      <c r="X6" s="1830"/>
      <c r="Y6" s="1830"/>
      <c r="Z6" s="1830"/>
      <c r="AA6" s="1830"/>
      <c r="AB6" s="1830"/>
      <c r="AC6" s="1830"/>
      <c r="AD6" s="1831"/>
      <c r="AE6" s="579"/>
      <c r="AF6" s="575"/>
      <c r="AG6" s="578"/>
      <c r="AK6" s="89">
        <v>7</v>
      </c>
      <c r="AL6" s="89">
        <v>4</v>
      </c>
      <c r="AM6" s="89" t="s">
        <v>184</v>
      </c>
      <c r="AN6" s="82"/>
      <c r="AO6" s="80"/>
      <c r="AP6" s="80"/>
    </row>
    <row r="7" spans="1:42" ht="15" customHeight="1">
      <c r="A7" s="574"/>
      <c r="B7" s="575"/>
      <c r="C7" s="575"/>
      <c r="D7" s="575"/>
      <c r="E7" s="575"/>
      <c r="F7" s="575"/>
      <c r="G7" s="575"/>
      <c r="H7" s="575"/>
      <c r="I7" s="575"/>
      <c r="J7" s="575"/>
      <c r="K7" s="575"/>
      <c r="L7" s="575"/>
      <c r="M7" s="575"/>
      <c r="N7" s="575"/>
      <c r="O7" s="575"/>
      <c r="P7" s="1013" t="s">
        <v>14</v>
      </c>
      <c r="Q7" s="1014"/>
      <c r="R7" s="1014"/>
      <c r="S7" s="1832"/>
      <c r="T7" s="1833"/>
      <c r="U7" s="1833"/>
      <c r="V7" s="1833"/>
      <c r="W7" s="1833"/>
      <c r="X7" s="1833"/>
      <c r="Y7" s="1833"/>
      <c r="Z7" s="1833"/>
      <c r="AA7" s="1833"/>
      <c r="AB7" s="1833"/>
      <c r="AC7" s="1833"/>
      <c r="AD7" s="1834"/>
      <c r="AE7" s="579"/>
      <c r="AF7" s="575"/>
      <c r="AG7" s="578"/>
      <c r="AK7" s="89">
        <v>8</v>
      </c>
      <c r="AL7" s="89">
        <v>5</v>
      </c>
      <c r="AM7" s="89" t="s">
        <v>185</v>
      </c>
      <c r="AN7" s="82"/>
      <c r="AO7" s="80"/>
      <c r="AP7" s="80"/>
    </row>
    <row r="8" spans="1:42" ht="15" customHeight="1">
      <c r="A8" s="574" t="str">
        <f>+"　"&amp;AJ2&amp;"年度において、下記のとおり申請します。"</f>
        <v>　2023年度において、下記のとおり申請します。</v>
      </c>
      <c r="B8" s="575"/>
      <c r="C8" s="575"/>
      <c r="D8" s="575"/>
      <c r="E8" s="575"/>
      <c r="F8" s="575"/>
      <c r="G8" s="575"/>
      <c r="H8" s="575"/>
      <c r="I8" s="575"/>
      <c r="J8" s="575"/>
      <c r="K8" s="575"/>
      <c r="L8" s="575"/>
      <c r="M8" s="575"/>
      <c r="N8" s="575"/>
      <c r="O8" s="575"/>
      <c r="P8" s="575"/>
      <c r="Q8" s="575"/>
      <c r="R8" s="575"/>
      <c r="S8" s="575"/>
      <c r="T8" s="575"/>
      <c r="U8" s="575"/>
      <c r="V8" s="575"/>
      <c r="W8" s="575"/>
      <c r="X8" s="575"/>
      <c r="Y8" s="575"/>
      <c r="Z8" s="575"/>
      <c r="AA8" s="575"/>
      <c r="AB8" s="575"/>
      <c r="AC8" s="575"/>
      <c r="AD8" s="575"/>
      <c r="AE8" s="575"/>
      <c r="AF8" s="575"/>
      <c r="AG8" s="578"/>
      <c r="AK8" s="89">
        <v>9</v>
      </c>
      <c r="AL8" s="89">
        <v>6</v>
      </c>
      <c r="AM8" s="89" t="s">
        <v>186</v>
      </c>
      <c r="AN8" s="82"/>
      <c r="AO8" s="80"/>
      <c r="AP8" s="80"/>
    </row>
    <row r="9" spans="1:42" ht="15" customHeight="1">
      <c r="A9" s="1098" t="s">
        <v>16</v>
      </c>
      <c r="B9" s="1099"/>
      <c r="C9" s="1099"/>
      <c r="D9" s="1099"/>
      <c r="E9" s="1099"/>
      <c r="F9" s="1099"/>
      <c r="G9" s="1099"/>
      <c r="H9" s="1099"/>
      <c r="I9" s="1099"/>
      <c r="J9" s="1099"/>
      <c r="K9" s="1099"/>
      <c r="L9" s="1099"/>
      <c r="M9" s="1099"/>
      <c r="N9" s="1099"/>
      <c r="O9" s="1099"/>
      <c r="P9" s="1099"/>
      <c r="Q9" s="1099"/>
      <c r="R9" s="1099"/>
      <c r="S9" s="1099"/>
      <c r="T9" s="1099"/>
      <c r="U9" s="1099"/>
      <c r="V9" s="1099"/>
      <c r="W9" s="1099"/>
      <c r="X9" s="1099"/>
      <c r="Y9" s="1099"/>
      <c r="Z9" s="1099"/>
      <c r="AA9" s="1099"/>
      <c r="AB9" s="1099"/>
      <c r="AC9" s="1099"/>
      <c r="AD9" s="1099"/>
      <c r="AE9" s="1099"/>
      <c r="AF9" s="1099"/>
      <c r="AG9" s="1100"/>
      <c r="AK9" s="89">
        <v>10</v>
      </c>
      <c r="AL9" s="89">
        <v>7</v>
      </c>
      <c r="AM9" s="89" t="s">
        <v>135</v>
      </c>
      <c r="AN9" s="82"/>
      <c r="AO9" s="80"/>
      <c r="AP9" s="80"/>
    </row>
    <row r="10" spans="1:42" ht="15" customHeight="1">
      <c r="A10" s="963" t="s">
        <v>133</v>
      </c>
      <c r="B10" s="964"/>
      <c r="C10" s="965"/>
      <c r="D10" s="963" t="str">
        <f>IF(I10&gt;=4,$AJ$2,IF(AND(I10&gt;0,$I$10&lt;=3),$AJ$2+1,""))</f>
        <v/>
      </c>
      <c r="E10" s="964"/>
      <c r="F10" s="964"/>
      <c r="G10" s="964" t="s">
        <v>11</v>
      </c>
      <c r="H10" s="964"/>
      <c r="I10" s="1119"/>
      <c r="J10" s="1119"/>
      <c r="K10" s="1119"/>
      <c r="L10" s="964" t="s">
        <v>37</v>
      </c>
      <c r="M10" s="964"/>
      <c r="N10" s="965"/>
      <c r="O10" s="575"/>
      <c r="P10" s="575"/>
      <c r="Q10" s="575"/>
      <c r="R10" s="575"/>
      <c r="S10" s="575"/>
      <c r="T10" s="575"/>
      <c r="U10" s="318"/>
      <c r="V10" s="318"/>
      <c r="W10" s="575"/>
      <c r="X10" s="575"/>
      <c r="Y10" s="318"/>
      <c r="Z10" s="318"/>
      <c r="AA10" s="575"/>
      <c r="AB10" s="575"/>
      <c r="AC10" s="575"/>
      <c r="AD10" s="575"/>
      <c r="AE10" s="575"/>
      <c r="AF10" s="575"/>
      <c r="AG10" s="578"/>
      <c r="AK10" s="89">
        <v>11</v>
      </c>
      <c r="AL10" s="89">
        <v>8</v>
      </c>
      <c r="AM10" s="87" t="s">
        <v>187</v>
      </c>
      <c r="AN10" s="79"/>
    </row>
    <row r="11" spans="1:42" ht="15" customHeight="1">
      <c r="A11" s="1101" t="s">
        <v>134</v>
      </c>
      <c r="B11" s="971"/>
      <c r="C11" s="971"/>
      <c r="D11" s="1835"/>
      <c r="E11" s="1835"/>
      <c r="F11" s="1835"/>
      <c r="G11" s="1835"/>
      <c r="H11" s="1835"/>
      <c r="I11" s="1835"/>
      <c r="J11" s="1835"/>
      <c r="K11" s="1835"/>
      <c r="L11" s="1835"/>
      <c r="M11" s="1835"/>
      <c r="N11" s="1835"/>
      <c r="O11" s="318"/>
      <c r="P11" s="318"/>
      <c r="Q11" s="318"/>
      <c r="R11" s="580"/>
      <c r="S11" s="575"/>
      <c r="T11" s="575"/>
      <c r="U11" s="575"/>
      <c r="V11" s="575"/>
      <c r="W11" s="575"/>
      <c r="X11" s="575"/>
      <c r="Y11" s="575"/>
      <c r="Z11" s="318"/>
      <c r="AA11" s="575"/>
      <c r="AB11" s="575"/>
      <c r="AC11" s="575"/>
      <c r="AD11" s="575"/>
      <c r="AE11" s="575"/>
      <c r="AF11" s="575"/>
      <c r="AG11" s="578"/>
      <c r="AK11" s="89">
        <v>12</v>
      </c>
      <c r="AL11" s="89">
        <v>9</v>
      </c>
      <c r="AM11" s="87" t="s">
        <v>188</v>
      </c>
      <c r="AN11" s="79"/>
    </row>
    <row r="12" spans="1:42" ht="15" customHeight="1">
      <c r="A12" s="1116" t="s">
        <v>2</v>
      </c>
      <c r="B12" s="1116"/>
      <c r="C12" s="1116"/>
      <c r="D12" s="1835"/>
      <c r="E12" s="1835"/>
      <c r="F12" s="1835"/>
      <c r="G12" s="1835"/>
      <c r="H12" s="1835"/>
      <c r="I12" s="1835"/>
      <c r="J12" s="1835"/>
      <c r="K12" s="1835"/>
      <c r="L12" s="1835"/>
      <c r="M12" s="1835"/>
      <c r="N12" s="1835"/>
      <c r="O12" s="581"/>
      <c r="P12" s="582"/>
      <c r="Q12" s="582"/>
      <c r="R12" s="582"/>
      <c r="S12" s="582"/>
      <c r="T12" s="582"/>
      <c r="U12" s="582"/>
      <c r="V12" s="582"/>
      <c r="W12" s="582"/>
      <c r="X12" s="582"/>
      <c r="Y12" s="582"/>
      <c r="Z12" s="575"/>
      <c r="AA12" s="575"/>
      <c r="AB12" s="575"/>
      <c r="AC12" s="575"/>
      <c r="AD12" s="575"/>
      <c r="AE12" s="575"/>
      <c r="AF12" s="575"/>
      <c r="AG12" s="578"/>
      <c r="AK12" s="89">
        <v>1</v>
      </c>
      <c r="AL12" s="89">
        <v>10</v>
      </c>
      <c r="AM12" s="87" t="s">
        <v>189</v>
      </c>
      <c r="AN12" s="79"/>
    </row>
    <row r="13" spans="1:42" ht="15" customHeight="1">
      <c r="A13" s="1101" t="s">
        <v>17</v>
      </c>
      <c r="B13" s="971"/>
      <c r="C13" s="971"/>
      <c r="D13" s="1836"/>
      <c r="E13" s="1836"/>
      <c r="F13" s="1836"/>
      <c r="G13" s="1836"/>
      <c r="H13" s="1836"/>
      <c r="I13" s="1836"/>
      <c r="J13" s="1836"/>
      <c r="K13" s="1836"/>
      <c r="L13" s="1836"/>
      <c r="M13" s="1836"/>
      <c r="N13" s="1836"/>
      <c r="O13" s="1836"/>
      <c r="P13" s="1836"/>
      <c r="Q13" s="1836"/>
      <c r="R13" s="1836"/>
      <c r="S13" s="1836"/>
      <c r="T13" s="1836"/>
      <c r="U13" s="1836"/>
      <c r="V13" s="1836"/>
      <c r="W13" s="1836"/>
      <c r="X13" s="1836"/>
      <c r="Y13" s="1836"/>
      <c r="Z13" s="575"/>
      <c r="AA13" s="575"/>
      <c r="AB13" s="575"/>
      <c r="AC13" s="575"/>
      <c r="AD13" s="575"/>
      <c r="AE13" s="575"/>
      <c r="AF13" s="575"/>
      <c r="AG13" s="578"/>
      <c r="AI13" s="87" t="s">
        <v>4</v>
      </c>
      <c r="AJ13" s="87" t="s">
        <v>5</v>
      </c>
      <c r="AK13" s="87">
        <v>2</v>
      </c>
      <c r="AL13" s="89">
        <v>11</v>
      </c>
      <c r="AM13" s="82"/>
      <c r="AN13" s="82"/>
    </row>
    <row r="14" spans="1:42" ht="15" customHeight="1">
      <c r="A14" s="1092" t="s">
        <v>0</v>
      </c>
      <c r="B14" s="964"/>
      <c r="C14" s="965"/>
      <c r="D14" s="1014" t="s">
        <v>87</v>
      </c>
      <c r="E14" s="1014"/>
      <c r="F14" s="971" t="s">
        <v>4</v>
      </c>
      <c r="G14" s="963"/>
      <c r="H14" s="1102"/>
      <c r="I14" s="1102"/>
      <c r="J14" s="583" t="s">
        <v>18</v>
      </c>
      <c r="K14" s="971" t="s">
        <v>5</v>
      </c>
      <c r="L14" s="963"/>
      <c r="M14" s="1837"/>
      <c r="N14" s="1837"/>
      <c r="O14" s="583" t="s">
        <v>18</v>
      </c>
      <c r="P14" s="963" t="s">
        <v>1</v>
      </c>
      <c r="Q14" s="964"/>
      <c r="R14" s="964">
        <f>H14+M14</f>
        <v>0</v>
      </c>
      <c r="S14" s="964"/>
      <c r="T14" s="583" t="s">
        <v>18</v>
      </c>
      <c r="U14" s="575"/>
      <c r="V14" s="575"/>
      <c r="W14" s="575"/>
      <c r="X14" s="575"/>
      <c r="Y14" s="575"/>
      <c r="Z14" s="575"/>
      <c r="AA14" s="575"/>
      <c r="AB14" s="575"/>
      <c r="AC14" s="575"/>
      <c r="AD14" s="575"/>
      <c r="AE14" s="575"/>
      <c r="AF14" s="575"/>
      <c r="AG14" s="578"/>
      <c r="AI14" s="87" t="e">
        <f>VLOOKUP($D$12,'施設状況(要更新)'!$F$4:$R$700,7,FALSE)</f>
        <v>#N/A</v>
      </c>
      <c r="AJ14" s="87" t="e">
        <f>VLOOKUP($D$12,'施設状況(要更新)'!$F$4:$R$700,10,FALSE)</f>
        <v>#N/A</v>
      </c>
      <c r="AK14" s="87">
        <v>3</v>
      </c>
      <c r="AL14" s="89">
        <v>12</v>
      </c>
      <c r="AM14" s="82"/>
      <c r="AN14" s="82"/>
    </row>
    <row r="15" spans="1:42" ht="15" customHeight="1" thickBot="1">
      <c r="A15" s="1093" t="s">
        <v>330</v>
      </c>
      <c r="B15" s="1094"/>
      <c r="C15" s="1094"/>
      <c r="D15" s="1094"/>
      <c r="E15" s="1094"/>
      <c r="F15" s="1094"/>
      <c r="G15" s="1094"/>
      <c r="H15" s="1094"/>
      <c r="I15" s="1094"/>
      <c r="J15" s="1094"/>
      <c r="K15" s="1094"/>
      <c r="L15" s="1094"/>
      <c r="M15" s="1094"/>
      <c r="N15" s="1094"/>
      <c r="O15" s="1094"/>
      <c r="P15" s="1094"/>
      <c r="Q15" s="1094"/>
      <c r="R15" s="1094"/>
      <c r="S15" s="1094"/>
      <c r="T15" s="1094"/>
      <c r="U15" s="1094"/>
      <c r="V15" s="1094"/>
      <c r="W15" s="1094"/>
      <c r="X15" s="1094"/>
      <c r="Y15" s="1094"/>
      <c r="Z15" s="1094"/>
      <c r="AA15" s="1094"/>
      <c r="AB15" s="1094"/>
      <c r="AC15" s="1094"/>
      <c r="AD15" s="1094"/>
      <c r="AE15" s="1094"/>
      <c r="AF15" s="1094"/>
      <c r="AG15" s="578"/>
      <c r="AK15" s="87">
        <v>0</v>
      </c>
      <c r="AL15" s="87">
        <v>0</v>
      </c>
      <c r="AN15" s="79"/>
    </row>
    <row r="16" spans="1:42" ht="24.95" customHeight="1" thickBot="1">
      <c r="A16" s="584" t="s">
        <v>201</v>
      </c>
      <c r="B16" s="1109" t="s">
        <v>78</v>
      </c>
      <c r="C16" s="1109"/>
      <c r="D16" s="1109"/>
      <c r="E16" s="1110"/>
      <c r="F16" s="1087" t="s">
        <v>19</v>
      </c>
      <c r="G16" s="1088"/>
      <c r="H16" s="1088"/>
      <c r="I16" s="1088"/>
      <c r="J16" s="1088"/>
      <c r="K16" s="1088"/>
      <c r="L16" s="1088"/>
      <c r="M16" s="1088"/>
      <c r="N16" s="1088"/>
      <c r="O16" s="1088"/>
      <c r="P16" s="1088"/>
      <c r="Q16" s="1088"/>
      <c r="R16" s="1088"/>
      <c r="S16" s="1088"/>
      <c r="T16" s="1088"/>
      <c r="U16" s="1089"/>
      <c r="V16" s="1103" t="s">
        <v>202</v>
      </c>
      <c r="W16" s="1104"/>
      <c r="X16" s="1104"/>
      <c r="Y16" s="1105"/>
      <c r="Z16" s="1111" t="s">
        <v>20</v>
      </c>
      <c r="AA16" s="1111"/>
      <c r="AB16" s="1111"/>
      <c r="AC16" s="1111"/>
      <c r="AD16" s="1111"/>
      <c r="AE16" s="1111"/>
      <c r="AF16" s="1111"/>
      <c r="AG16" s="578"/>
      <c r="AI16" s="1085" t="s">
        <v>204</v>
      </c>
      <c r="AJ16" s="1086"/>
    </row>
    <row r="17" spans="1:38" ht="15" customHeight="1" thickBot="1">
      <c r="A17" s="585">
        <v>0</v>
      </c>
      <c r="B17" s="1106" t="str">
        <f>AI17</f>
        <v>×</v>
      </c>
      <c r="C17" s="1107"/>
      <c r="D17" s="1107"/>
      <c r="E17" s="1108"/>
      <c r="F17" s="1112" t="s">
        <v>200</v>
      </c>
      <c r="G17" s="1112"/>
      <c r="H17" s="1112"/>
      <c r="I17" s="1112"/>
      <c r="J17" s="1112"/>
      <c r="K17" s="1112"/>
      <c r="L17" s="1112"/>
      <c r="M17" s="1112"/>
      <c r="N17" s="1112"/>
      <c r="O17" s="1112"/>
      <c r="P17" s="1112"/>
      <c r="Q17" s="1112"/>
      <c r="R17" s="1112"/>
      <c r="S17" s="1112"/>
      <c r="T17" s="1112"/>
      <c r="U17" s="1112"/>
      <c r="V17" s="1113"/>
      <c r="W17" s="1114"/>
      <c r="X17" s="1114"/>
      <c r="Y17" s="1115"/>
      <c r="Z17" s="964"/>
      <c r="AA17" s="964"/>
      <c r="AB17" s="964"/>
      <c r="AC17" s="964"/>
      <c r="AD17" s="964"/>
      <c r="AE17" s="964"/>
      <c r="AF17" s="965"/>
      <c r="AG17" s="578"/>
      <c r="AI17" s="1085" t="str">
        <f>J45</f>
        <v>×</v>
      </c>
      <c r="AJ17" s="1086"/>
      <c r="AK17" s="1259" t="s">
        <v>705</v>
      </c>
      <c r="AL17" s="1259"/>
    </row>
    <row r="18" spans="1:38" ht="15" customHeight="1">
      <c r="A18" s="586" t="s">
        <v>21</v>
      </c>
      <c r="B18" s="753"/>
      <c r="C18" s="753"/>
      <c r="D18" s="740"/>
      <c r="E18" s="740"/>
      <c r="F18" s="740"/>
      <c r="G18" s="740"/>
      <c r="H18" s="740"/>
      <c r="I18" s="740"/>
      <c r="J18" s="740"/>
      <c r="K18" s="740"/>
      <c r="L18" s="740"/>
      <c r="M18" s="740"/>
      <c r="N18" s="740"/>
      <c r="O18" s="740"/>
      <c r="P18" s="740"/>
      <c r="Q18" s="740"/>
      <c r="R18" s="740"/>
      <c r="S18" s="740"/>
      <c r="T18" s="740"/>
      <c r="U18" s="740"/>
      <c r="V18" s="1090" t="s">
        <v>203</v>
      </c>
      <c r="W18" s="1090"/>
      <c r="X18" s="1090"/>
      <c r="Y18" s="1090"/>
      <c r="Z18" s="1090"/>
      <c r="AA18" s="1090"/>
      <c r="AB18" s="1090"/>
      <c r="AC18" s="1090"/>
      <c r="AD18" s="1090"/>
      <c r="AE18" s="1090"/>
      <c r="AF18" s="1091"/>
      <c r="AG18" s="578"/>
      <c r="AI18" s="749">
        <f>VLOOKUP($I$10,AK3:AL15,2,FALSE)</f>
        <v>0</v>
      </c>
      <c r="AJ18" s="749"/>
      <c r="AK18" s="885">
        <v>4</v>
      </c>
      <c r="AL18" s="886">
        <v>45084</v>
      </c>
    </row>
    <row r="19" spans="1:38" ht="15" customHeight="1">
      <c r="A19" s="588">
        <v>1</v>
      </c>
      <c r="B19" s="1013" t="str">
        <f t="shared" ref="B19:B25" si="0">IFERROR(IF(AI19,AJ19,"適用月エラー"),"－")</f>
        <v>適用月エラー</v>
      </c>
      <c r="C19" s="1014"/>
      <c r="D19" s="1014"/>
      <c r="E19" s="1015"/>
      <c r="F19" s="1016" t="s">
        <v>22</v>
      </c>
      <c r="G19" s="1017"/>
      <c r="H19" s="1017"/>
      <c r="I19" s="1017"/>
      <c r="J19" s="1017"/>
      <c r="K19" s="1017"/>
      <c r="L19" s="1017"/>
      <c r="M19" s="1017"/>
      <c r="N19" s="1017"/>
      <c r="O19" s="1017"/>
      <c r="P19" s="1017"/>
      <c r="Q19" s="1017"/>
      <c r="R19" s="1017"/>
      <c r="S19" s="1017"/>
      <c r="T19" s="1017"/>
      <c r="U19" s="1018"/>
      <c r="V19" s="1006">
        <v>4</v>
      </c>
      <c r="W19" s="1007"/>
      <c r="X19" s="1007"/>
      <c r="Y19" s="1008"/>
      <c r="Z19" s="1009"/>
      <c r="AA19" s="1009"/>
      <c r="AB19" s="1009"/>
      <c r="AC19" s="1009"/>
      <c r="AD19" s="1009"/>
      <c r="AE19" s="1009"/>
      <c r="AF19" s="1009"/>
      <c r="AG19" s="578"/>
      <c r="AI19" s="744" t="b">
        <f t="shared" ref="AI19:AI25" si="1">VLOOKUP(V19,$AK$3:$AL$15,2,FALSE)&lt;=$AI$18</f>
        <v>0</v>
      </c>
      <c r="AJ19" s="744" t="str">
        <f>J62</f>
        <v>×</v>
      </c>
      <c r="AK19" s="885">
        <v>5</v>
      </c>
      <c r="AL19" s="887">
        <f>AL18</f>
        <v>45084</v>
      </c>
    </row>
    <row r="20" spans="1:38" ht="15" customHeight="1">
      <c r="A20" s="588">
        <v>2</v>
      </c>
      <c r="B20" s="1013" t="str">
        <f t="shared" si="0"/>
        <v>適用月エラー</v>
      </c>
      <c r="C20" s="1014"/>
      <c r="D20" s="1014"/>
      <c r="E20" s="1015"/>
      <c r="F20" s="1016" t="s">
        <v>113</v>
      </c>
      <c r="G20" s="1017"/>
      <c r="H20" s="1017"/>
      <c r="I20" s="1017"/>
      <c r="J20" s="1017"/>
      <c r="K20" s="1017"/>
      <c r="L20" s="1017"/>
      <c r="M20" s="1017"/>
      <c r="N20" s="1017"/>
      <c r="O20" s="1017"/>
      <c r="P20" s="1017"/>
      <c r="Q20" s="1017"/>
      <c r="R20" s="1017"/>
      <c r="S20" s="1017"/>
      <c r="T20" s="1017"/>
      <c r="U20" s="1018"/>
      <c r="V20" s="1006">
        <v>4</v>
      </c>
      <c r="W20" s="1007"/>
      <c r="X20" s="1007"/>
      <c r="Y20" s="1008"/>
      <c r="Z20" s="1009"/>
      <c r="AA20" s="1009"/>
      <c r="AB20" s="1009"/>
      <c r="AC20" s="1009"/>
      <c r="AD20" s="1009"/>
      <c r="AE20" s="1009"/>
      <c r="AF20" s="1009"/>
      <c r="AG20" s="578"/>
      <c r="AI20" s="744" t="b">
        <f t="shared" si="1"/>
        <v>0</v>
      </c>
      <c r="AJ20" s="744" t="str">
        <f>J66</f>
        <v>×</v>
      </c>
      <c r="AK20" s="885">
        <v>6</v>
      </c>
      <c r="AL20" s="887">
        <f>AL19</f>
        <v>45084</v>
      </c>
    </row>
    <row r="21" spans="1:38" ht="15" customHeight="1">
      <c r="A21" s="588">
        <v>3</v>
      </c>
      <c r="B21" s="1013" t="str">
        <f t="shared" si="0"/>
        <v>適用月エラー</v>
      </c>
      <c r="C21" s="1014"/>
      <c r="D21" s="1014"/>
      <c r="E21" s="1015"/>
      <c r="F21" s="1016" t="s">
        <v>114</v>
      </c>
      <c r="G21" s="1017"/>
      <c r="H21" s="1017"/>
      <c r="I21" s="1017"/>
      <c r="J21" s="1017"/>
      <c r="K21" s="1017"/>
      <c r="L21" s="1017"/>
      <c r="M21" s="1017"/>
      <c r="N21" s="1017"/>
      <c r="O21" s="1017"/>
      <c r="P21" s="1017"/>
      <c r="Q21" s="1017"/>
      <c r="R21" s="1017"/>
      <c r="S21" s="1017"/>
      <c r="T21" s="1017"/>
      <c r="U21" s="1018"/>
      <c r="V21" s="1006">
        <v>4</v>
      </c>
      <c r="W21" s="1007"/>
      <c r="X21" s="1007"/>
      <c r="Y21" s="1008"/>
      <c r="Z21" s="1009"/>
      <c r="AA21" s="1009"/>
      <c r="AB21" s="1009"/>
      <c r="AC21" s="1009"/>
      <c r="AD21" s="1009"/>
      <c r="AE21" s="1009"/>
      <c r="AF21" s="1009"/>
      <c r="AG21" s="578"/>
      <c r="AI21" s="744" t="b">
        <f t="shared" si="1"/>
        <v>0</v>
      </c>
      <c r="AJ21" s="744" t="str">
        <f>J74</f>
        <v>×</v>
      </c>
      <c r="AK21" s="885">
        <v>7</v>
      </c>
      <c r="AL21" s="886">
        <v>45175</v>
      </c>
    </row>
    <row r="22" spans="1:38" ht="15" customHeight="1">
      <c r="A22" s="588">
        <v>4</v>
      </c>
      <c r="B22" s="1013" t="str">
        <f t="shared" si="0"/>
        <v>適用月エラー</v>
      </c>
      <c r="C22" s="1014"/>
      <c r="D22" s="1014"/>
      <c r="E22" s="1015"/>
      <c r="F22" s="1016" t="s">
        <v>115</v>
      </c>
      <c r="G22" s="1017"/>
      <c r="H22" s="1017"/>
      <c r="I22" s="1017"/>
      <c r="J22" s="1017"/>
      <c r="K22" s="1017"/>
      <c r="L22" s="1017"/>
      <c r="M22" s="1017"/>
      <c r="N22" s="1017"/>
      <c r="O22" s="1017"/>
      <c r="P22" s="1017"/>
      <c r="Q22" s="1017"/>
      <c r="R22" s="1017"/>
      <c r="S22" s="1017"/>
      <c r="T22" s="1017"/>
      <c r="U22" s="1018"/>
      <c r="V22" s="1006">
        <v>4</v>
      </c>
      <c r="W22" s="1007"/>
      <c r="X22" s="1007"/>
      <c r="Y22" s="1008"/>
      <c r="Z22" s="1025" t="s">
        <v>400</v>
      </c>
      <c r="AA22" s="1025"/>
      <c r="AB22" s="1025"/>
      <c r="AC22" s="1025"/>
      <c r="AD22" s="1025"/>
      <c r="AE22" s="1025"/>
      <c r="AF22" s="1025"/>
      <c r="AG22" s="578"/>
      <c r="AI22" s="744" t="b">
        <f t="shared" si="1"/>
        <v>0</v>
      </c>
      <c r="AJ22" s="744" t="str">
        <f>J82</f>
        <v>×</v>
      </c>
      <c r="AK22" s="885">
        <v>8</v>
      </c>
      <c r="AL22" s="887">
        <f>AL21</f>
        <v>45175</v>
      </c>
    </row>
    <row r="23" spans="1:38" ht="15" customHeight="1">
      <c r="A23" s="588">
        <v>5</v>
      </c>
      <c r="B23" s="1013" t="str">
        <f>IFERROR(IF(AI23,AJ23,"適用月エラー"),"－")</f>
        <v>適用月エラー</v>
      </c>
      <c r="C23" s="1014"/>
      <c r="D23" s="1014"/>
      <c r="E23" s="1015"/>
      <c r="F23" s="1016" t="s">
        <v>103</v>
      </c>
      <c r="G23" s="1017"/>
      <c r="H23" s="1017"/>
      <c r="I23" s="1017"/>
      <c r="J23" s="1017"/>
      <c r="K23" s="1017"/>
      <c r="L23" s="1017"/>
      <c r="M23" s="1017"/>
      <c r="N23" s="1017"/>
      <c r="O23" s="1017"/>
      <c r="P23" s="1017"/>
      <c r="Q23" s="1017"/>
      <c r="R23" s="1017"/>
      <c r="S23" s="1017"/>
      <c r="T23" s="1017"/>
      <c r="U23" s="1018"/>
      <c r="V23" s="1006">
        <v>4</v>
      </c>
      <c r="W23" s="1007"/>
      <c r="X23" s="1007"/>
      <c r="Y23" s="1008"/>
      <c r="Z23" s="1009"/>
      <c r="AA23" s="1009"/>
      <c r="AB23" s="1009"/>
      <c r="AC23" s="1009"/>
      <c r="AD23" s="1009"/>
      <c r="AE23" s="1009"/>
      <c r="AF23" s="1009"/>
      <c r="AG23" s="578"/>
      <c r="AI23" s="744" t="b">
        <f t="shared" si="1"/>
        <v>0</v>
      </c>
      <c r="AJ23" s="744" t="str">
        <f>J106</f>
        <v>×</v>
      </c>
      <c r="AK23" s="885">
        <v>9</v>
      </c>
      <c r="AL23" s="887">
        <f>AL22</f>
        <v>45175</v>
      </c>
    </row>
    <row r="24" spans="1:38" ht="15" customHeight="1">
      <c r="A24" s="588">
        <v>6</v>
      </c>
      <c r="B24" s="1013" t="str">
        <f t="shared" si="0"/>
        <v>適用月エラー</v>
      </c>
      <c r="C24" s="1014"/>
      <c r="D24" s="1014"/>
      <c r="E24" s="1015"/>
      <c r="F24" s="1016" t="s">
        <v>88</v>
      </c>
      <c r="G24" s="1017"/>
      <c r="H24" s="1017"/>
      <c r="I24" s="1017"/>
      <c r="J24" s="1017"/>
      <c r="K24" s="1017"/>
      <c r="L24" s="1017"/>
      <c r="M24" s="1017"/>
      <c r="N24" s="1017"/>
      <c r="O24" s="1017"/>
      <c r="P24" s="1017"/>
      <c r="Q24" s="1017"/>
      <c r="R24" s="1017"/>
      <c r="S24" s="1017"/>
      <c r="T24" s="1017"/>
      <c r="U24" s="1018"/>
      <c r="V24" s="1006">
        <v>4</v>
      </c>
      <c r="W24" s="1007"/>
      <c r="X24" s="1007"/>
      <c r="Y24" s="1008"/>
      <c r="Z24" s="1025" t="s">
        <v>329</v>
      </c>
      <c r="AA24" s="1025"/>
      <c r="AB24" s="1025"/>
      <c r="AC24" s="1025"/>
      <c r="AD24" s="1025"/>
      <c r="AE24" s="1025"/>
      <c r="AF24" s="1025"/>
      <c r="AG24" s="578"/>
      <c r="AI24" s="744" t="b">
        <f t="shared" si="1"/>
        <v>0</v>
      </c>
      <c r="AJ24" s="744" t="str">
        <f>J120</f>
        <v>×</v>
      </c>
      <c r="AK24" s="885">
        <v>10</v>
      </c>
      <c r="AL24" s="886">
        <v>45266</v>
      </c>
    </row>
    <row r="25" spans="1:38" ht="15" customHeight="1">
      <c r="A25" s="588">
        <v>7</v>
      </c>
      <c r="B25" s="1013" t="str">
        <f t="shared" si="0"/>
        <v>適用月エラー</v>
      </c>
      <c r="C25" s="1014"/>
      <c r="D25" s="1014"/>
      <c r="E25" s="1015"/>
      <c r="F25" s="1016" t="s">
        <v>89</v>
      </c>
      <c r="G25" s="1017"/>
      <c r="H25" s="1017"/>
      <c r="I25" s="1017"/>
      <c r="J25" s="1017"/>
      <c r="K25" s="1017"/>
      <c r="L25" s="1017"/>
      <c r="M25" s="1017"/>
      <c r="N25" s="1017"/>
      <c r="O25" s="1017"/>
      <c r="P25" s="1017"/>
      <c r="Q25" s="1017"/>
      <c r="R25" s="1017"/>
      <c r="S25" s="1017"/>
      <c r="T25" s="1017"/>
      <c r="U25" s="1018"/>
      <c r="V25" s="1006">
        <v>4</v>
      </c>
      <c r="W25" s="1007"/>
      <c r="X25" s="1007"/>
      <c r="Y25" s="1008"/>
      <c r="Z25" s="1025" t="s">
        <v>272</v>
      </c>
      <c r="AA25" s="1025"/>
      <c r="AB25" s="1025"/>
      <c r="AC25" s="1025"/>
      <c r="AD25" s="1025"/>
      <c r="AE25" s="1025"/>
      <c r="AF25" s="1025"/>
      <c r="AG25" s="578"/>
      <c r="AI25" s="744" t="b">
        <f t="shared" si="1"/>
        <v>0</v>
      </c>
      <c r="AJ25" s="744" t="str">
        <f>J135</f>
        <v>×</v>
      </c>
      <c r="AK25" s="885">
        <v>11</v>
      </c>
      <c r="AL25" s="887">
        <f>AL24</f>
        <v>45266</v>
      </c>
    </row>
    <row r="26" spans="1:38" ht="15" customHeight="1">
      <c r="A26" s="586" t="s">
        <v>23</v>
      </c>
      <c r="B26" s="734"/>
      <c r="C26" s="740"/>
      <c r="D26" s="746"/>
      <c r="E26" s="746"/>
      <c r="F26" s="746"/>
      <c r="G26" s="746"/>
      <c r="H26" s="746"/>
      <c r="I26" s="746"/>
      <c r="J26" s="746"/>
      <c r="K26" s="746"/>
      <c r="L26" s="746"/>
      <c r="M26" s="746"/>
      <c r="N26" s="746"/>
      <c r="O26" s="746"/>
      <c r="P26" s="746"/>
      <c r="Q26" s="746"/>
      <c r="R26" s="746"/>
      <c r="S26" s="746"/>
      <c r="T26" s="746"/>
      <c r="U26" s="742"/>
      <c r="V26" s="750"/>
      <c r="W26" s="750"/>
      <c r="X26" s="750"/>
      <c r="Y26" s="750"/>
      <c r="Z26" s="747"/>
      <c r="AA26" s="750"/>
      <c r="AB26" s="750"/>
      <c r="AC26" s="750"/>
      <c r="AD26" s="750"/>
      <c r="AE26" s="575"/>
      <c r="AF26" s="591"/>
      <c r="AG26" s="578"/>
      <c r="AK26" s="885">
        <v>12</v>
      </c>
      <c r="AL26" s="887">
        <f>AL25</f>
        <v>45266</v>
      </c>
    </row>
    <row r="27" spans="1:38" ht="15" customHeight="1">
      <c r="A27" s="590">
        <v>8</v>
      </c>
      <c r="B27" s="1013" t="str">
        <f t="shared" ref="B27:B29" si="2">IFERROR(IF(AI27,AJ27,"適用月エラー"),AJ27)</f>
        <v>適用月エラー</v>
      </c>
      <c r="C27" s="1014"/>
      <c r="D27" s="1014"/>
      <c r="E27" s="1015"/>
      <c r="F27" s="1016" t="s">
        <v>660</v>
      </c>
      <c r="G27" s="1017"/>
      <c r="H27" s="1017"/>
      <c r="I27" s="1017"/>
      <c r="J27" s="1017"/>
      <c r="K27" s="1017"/>
      <c r="L27" s="1017"/>
      <c r="M27" s="1017"/>
      <c r="N27" s="1017"/>
      <c r="O27" s="1017"/>
      <c r="P27" s="1017"/>
      <c r="Q27" s="1017"/>
      <c r="R27" s="1017"/>
      <c r="S27" s="1017"/>
      <c r="T27" s="1017"/>
      <c r="U27" s="1018"/>
      <c r="V27" s="1006">
        <v>4</v>
      </c>
      <c r="W27" s="1007"/>
      <c r="X27" s="1007"/>
      <c r="Y27" s="1008"/>
      <c r="Z27" s="1009"/>
      <c r="AA27" s="1009"/>
      <c r="AB27" s="1009"/>
      <c r="AC27" s="1009"/>
      <c r="AD27" s="1009"/>
      <c r="AE27" s="1009"/>
      <c r="AF27" s="1009"/>
      <c r="AG27" s="578"/>
      <c r="AI27" s="744" t="b">
        <f>VLOOKUP(V27,$AK$3:$AL$15,2,FALSE)&lt;=$AI$18</f>
        <v>0</v>
      </c>
      <c r="AJ27" s="744" t="str">
        <f>J143</f>
        <v>○</v>
      </c>
      <c r="AK27" s="885">
        <v>1</v>
      </c>
      <c r="AL27" s="886">
        <v>44988</v>
      </c>
    </row>
    <row r="28" spans="1:38" ht="15" customHeight="1">
      <c r="A28" s="590">
        <v>9</v>
      </c>
      <c r="B28" s="1013" t="str">
        <f t="shared" si="2"/>
        <v>適用月エラー</v>
      </c>
      <c r="C28" s="1014"/>
      <c r="D28" s="1014"/>
      <c r="E28" s="1015"/>
      <c r="F28" s="1016" t="s">
        <v>661</v>
      </c>
      <c r="G28" s="1017"/>
      <c r="H28" s="1017"/>
      <c r="I28" s="1017"/>
      <c r="J28" s="1017"/>
      <c r="K28" s="1017"/>
      <c r="L28" s="1017"/>
      <c r="M28" s="1017"/>
      <c r="N28" s="1017"/>
      <c r="O28" s="1017"/>
      <c r="P28" s="1017"/>
      <c r="Q28" s="1017"/>
      <c r="R28" s="1017"/>
      <c r="S28" s="1017"/>
      <c r="T28" s="1017"/>
      <c r="U28" s="1018"/>
      <c r="V28" s="1006">
        <v>4</v>
      </c>
      <c r="W28" s="1007"/>
      <c r="X28" s="1007"/>
      <c r="Y28" s="1008"/>
      <c r="Z28" s="1009"/>
      <c r="AA28" s="1009"/>
      <c r="AB28" s="1009"/>
      <c r="AC28" s="1009"/>
      <c r="AD28" s="1009"/>
      <c r="AE28" s="1009"/>
      <c r="AF28" s="1009"/>
      <c r="AG28" s="578"/>
      <c r="AI28" s="744" t="b">
        <f>VLOOKUP(V28,$AK$3:$AL$15,2,FALSE)&lt;=$AI$18</f>
        <v>0</v>
      </c>
      <c r="AJ28" s="744" t="str">
        <f>J156</f>
        <v>○</v>
      </c>
      <c r="AK28" s="885">
        <v>2</v>
      </c>
      <c r="AL28" s="887">
        <f>AL27</f>
        <v>44988</v>
      </c>
    </row>
    <row r="29" spans="1:38" ht="15" customHeight="1">
      <c r="A29" s="590">
        <v>10</v>
      </c>
      <c r="B29" s="1013" t="str">
        <f t="shared" si="2"/>
        <v>×</v>
      </c>
      <c r="C29" s="1014"/>
      <c r="D29" s="1014"/>
      <c r="E29" s="1015"/>
      <c r="F29" s="1016" t="s">
        <v>662</v>
      </c>
      <c r="G29" s="1017"/>
      <c r="H29" s="1017"/>
      <c r="I29" s="1017"/>
      <c r="J29" s="1017"/>
      <c r="K29" s="1017"/>
      <c r="L29" s="1017"/>
      <c r="M29" s="1017"/>
      <c r="N29" s="1017"/>
      <c r="O29" s="1017"/>
      <c r="P29" s="1017"/>
      <c r="Q29" s="1017"/>
      <c r="R29" s="1017"/>
      <c r="S29" s="1017"/>
      <c r="T29" s="1017"/>
      <c r="U29" s="1018"/>
      <c r="V29" s="1022">
        <f>I10</f>
        <v>0</v>
      </c>
      <c r="W29" s="1023"/>
      <c r="X29" s="1023"/>
      <c r="Y29" s="1024"/>
      <c r="Z29" s="1025" t="str">
        <f>IF(I10=4,"","前月："&amp;F170)</f>
        <v>前月：(変更無)全て → 全て</v>
      </c>
      <c r="AA29" s="1025"/>
      <c r="AB29" s="1025"/>
      <c r="AC29" s="1025"/>
      <c r="AD29" s="1025"/>
      <c r="AE29" s="1025"/>
      <c r="AF29" s="1025"/>
      <c r="AG29" s="578"/>
      <c r="AI29" s="744" t="b">
        <f>VLOOKUP(V29,$AK$3:$AL$15,2,FALSE)&lt;=$AI$18</f>
        <v>1</v>
      </c>
      <c r="AJ29" s="744" t="str">
        <f>J165</f>
        <v>×</v>
      </c>
      <c r="AK29" s="885">
        <v>3</v>
      </c>
      <c r="AL29" s="887">
        <f>AL28</f>
        <v>44988</v>
      </c>
    </row>
    <row r="30" spans="1:38" ht="15" customHeight="1">
      <c r="A30" s="586" t="s">
        <v>24</v>
      </c>
      <c r="B30" s="740"/>
      <c r="C30" s="740"/>
      <c r="D30" s="742"/>
      <c r="E30" s="742"/>
      <c r="F30" s="742"/>
      <c r="G30" s="742"/>
      <c r="H30" s="742"/>
      <c r="I30" s="742"/>
      <c r="J30" s="742"/>
      <c r="K30" s="742"/>
      <c r="L30" s="742"/>
      <c r="M30" s="742"/>
      <c r="N30" s="742"/>
      <c r="O30" s="742"/>
      <c r="P30" s="742"/>
      <c r="Q30" s="742"/>
      <c r="R30" s="742"/>
      <c r="S30" s="742"/>
      <c r="T30" s="742"/>
      <c r="U30" s="742"/>
      <c r="V30" s="747"/>
      <c r="W30" s="747"/>
      <c r="X30" s="747"/>
      <c r="Y30" s="747"/>
      <c r="Z30" s="747"/>
      <c r="AA30" s="747"/>
      <c r="AB30" s="747"/>
      <c r="AC30" s="747"/>
      <c r="AD30" s="747"/>
      <c r="AE30" s="575"/>
      <c r="AF30" s="591"/>
      <c r="AG30" s="578"/>
    </row>
    <row r="31" spans="1:38" ht="15" customHeight="1">
      <c r="A31" s="588">
        <v>11</v>
      </c>
      <c r="B31" s="1013" t="str">
        <f>IFERROR(IF(AI31,AJ31,"適用月エラー"),"－")</f>
        <v>適用月エラー</v>
      </c>
      <c r="C31" s="1014"/>
      <c r="D31" s="1014"/>
      <c r="E31" s="1015"/>
      <c r="F31" s="1016" t="s">
        <v>25</v>
      </c>
      <c r="G31" s="1017"/>
      <c r="H31" s="1017"/>
      <c r="I31" s="1017"/>
      <c r="J31" s="1017"/>
      <c r="K31" s="1017"/>
      <c r="L31" s="1017"/>
      <c r="M31" s="1017"/>
      <c r="N31" s="1017"/>
      <c r="O31" s="1017"/>
      <c r="P31" s="1017"/>
      <c r="Q31" s="1017"/>
      <c r="R31" s="1017"/>
      <c r="S31" s="1017"/>
      <c r="T31" s="1017"/>
      <c r="U31" s="1018"/>
      <c r="V31" s="1006">
        <v>4</v>
      </c>
      <c r="W31" s="1007"/>
      <c r="X31" s="1007"/>
      <c r="Y31" s="1008"/>
      <c r="Z31" s="1009"/>
      <c r="AA31" s="1009"/>
      <c r="AB31" s="1009"/>
      <c r="AC31" s="1009"/>
      <c r="AD31" s="1009"/>
      <c r="AE31" s="1009"/>
      <c r="AF31" s="1009"/>
      <c r="AG31" s="578"/>
      <c r="AI31" s="744" t="b">
        <f>VLOOKUP(V31,$AK$3:$AL$15,2,FALSE)&lt;=$AI$18</f>
        <v>0</v>
      </c>
      <c r="AJ31" s="744" t="str">
        <f>J174</f>
        <v>×</v>
      </c>
    </row>
    <row r="32" spans="1:38" ht="15" customHeight="1">
      <c r="A32" s="588">
        <v>12</v>
      </c>
      <c r="B32" s="1013" t="str">
        <f>IFERROR(IF(AI32,AJ32,"適用月エラー"),"－")</f>
        <v>適用月エラー</v>
      </c>
      <c r="C32" s="1014"/>
      <c r="D32" s="1014"/>
      <c r="E32" s="1015"/>
      <c r="F32" s="1016" t="s">
        <v>710</v>
      </c>
      <c r="G32" s="1017"/>
      <c r="H32" s="1017"/>
      <c r="I32" s="1017"/>
      <c r="J32" s="1017"/>
      <c r="K32" s="1017"/>
      <c r="L32" s="1017"/>
      <c r="M32" s="1017"/>
      <c r="N32" s="1017"/>
      <c r="O32" s="1017"/>
      <c r="P32" s="1017"/>
      <c r="Q32" s="1017"/>
      <c r="R32" s="1017"/>
      <c r="S32" s="1017"/>
      <c r="T32" s="1017"/>
      <c r="U32" s="1018"/>
      <c r="V32" s="1006">
        <v>4</v>
      </c>
      <c r="W32" s="1007"/>
      <c r="X32" s="1007"/>
      <c r="Y32" s="1008"/>
      <c r="Z32" s="1009"/>
      <c r="AA32" s="1009"/>
      <c r="AB32" s="1009"/>
      <c r="AC32" s="1009"/>
      <c r="AD32" s="1009"/>
      <c r="AE32" s="1009"/>
      <c r="AF32" s="1009"/>
      <c r="AG32" s="578"/>
      <c r="AI32" s="880" t="b">
        <f>VLOOKUP(V32,$AK$3:$AL$15,2,FALSE)&lt;=$AI$18</f>
        <v>0</v>
      </c>
      <c r="AJ32" s="880" t="str">
        <f>J178</f>
        <v>×</v>
      </c>
    </row>
    <row r="33" spans="1:36" ht="15" customHeight="1">
      <c r="A33" s="588">
        <v>13</v>
      </c>
      <c r="B33" s="1013" t="str">
        <f>IFERROR(IF(AI33,AJ33,"適用月エラー"),"－")</f>
        <v>適用月エラー</v>
      </c>
      <c r="C33" s="1014"/>
      <c r="D33" s="1014"/>
      <c r="E33" s="1015"/>
      <c r="F33" s="1016" t="s">
        <v>30</v>
      </c>
      <c r="G33" s="1017"/>
      <c r="H33" s="1017"/>
      <c r="I33" s="1017"/>
      <c r="J33" s="1017"/>
      <c r="K33" s="1017"/>
      <c r="L33" s="1017"/>
      <c r="M33" s="1017"/>
      <c r="N33" s="1017"/>
      <c r="O33" s="1017"/>
      <c r="P33" s="1017"/>
      <c r="Q33" s="1017"/>
      <c r="R33" s="1017"/>
      <c r="S33" s="1017"/>
      <c r="T33" s="1017"/>
      <c r="U33" s="1018"/>
      <c r="V33" s="1006">
        <v>4</v>
      </c>
      <c r="W33" s="1007"/>
      <c r="X33" s="1007"/>
      <c r="Y33" s="1008"/>
      <c r="Z33" s="1009"/>
      <c r="AA33" s="1009"/>
      <c r="AB33" s="1009"/>
      <c r="AC33" s="1009"/>
      <c r="AD33" s="1009"/>
      <c r="AE33" s="1009"/>
      <c r="AF33" s="1009"/>
      <c r="AG33" s="578"/>
      <c r="AH33" s="92"/>
      <c r="AI33" s="744" t="b">
        <f>VLOOKUP(V33,$AK$3:$AL$15,2,FALSE)&lt;=$AI$18</f>
        <v>0</v>
      </c>
      <c r="AJ33" s="744" t="str">
        <f>J182</f>
        <v>×</v>
      </c>
    </row>
    <row r="34" spans="1:36" ht="15" customHeight="1">
      <c r="A34" s="588">
        <v>14</v>
      </c>
      <c r="B34" s="1013" t="s">
        <v>35</v>
      </c>
      <c r="C34" s="1014"/>
      <c r="D34" s="1014"/>
      <c r="E34" s="1015"/>
      <c r="F34" s="1016" t="s">
        <v>26</v>
      </c>
      <c r="G34" s="1017"/>
      <c r="H34" s="1017"/>
      <c r="I34" s="1017"/>
      <c r="J34" s="1017"/>
      <c r="K34" s="1017"/>
      <c r="L34" s="1017"/>
      <c r="M34" s="1017"/>
      <c r="N34" s="1017"/>
      <c r="O34" s="1017"/>
      <c r="P34" s="1017"/>
      <c r="Q34" s="1017"/>
      <c r="R34" s="1017"/>
      <c r="S34" s="1017"/>
      <c r="T34" s="1017"/>
      <c r="U34" s="1018"/>
      <c r="V34" s="1022">
        <v>4</v>
      </c>
      <c r="W34" s="1023"/>
      <c r="X34" s="1023"/>
      <c r="Y34" s="1024"/>
      <c r="Z34" s="1025" t="s">
        <v>42</v>
      </c>
      <c r="AA34" s="1025"/>
      <c r="AB34" s="1025"/>
      <c r="AC34" s="1025"/>
      <c r="AD34" s="1025"/>
      <c r="AE34" s="1025"/>
      <c r="AF34" s="1025"/>
      <c r="AG34" s="578"/>
    </row>
    <row r="35" spans="1:36" ht="15" customHeight="1">
      <c r="A35" s="589" t="s">
        <v>41</v>
      </c>
      <c r="B35" s="741"/>
      <c r="C35" s="740"/>
      <c r="D35" s="746"/>
      <c r="E35" s="746"/>
      <c r="F35" s="746"/>
      <c r="G35" s="746"/>
      <c r="H35" s="746"/>
      <c r="I35" s="746"/>
      <c r="J35" s="746"/>
      <c r="K35" s="746"/>
      <c r="L35" s="746"/>
      <c r="M35" s="746"/>
      <c r="N35" s="746"/>
      <c r="O35" s="746"/>
      <c r="P35" s="746"/>
      <c r="Q35" s="746"/>
      <c r="R35" s="746"/>
      <c r="S35" s="746"/>
      <c r="T35" s="746"/>
      <c r="U35" s="746"/>
      <c r="V35" s="754"/>
      <c r="W35" s="754"/>
      <c r="X35" s="754"/>
      <c r="Y35" s="754"/>
      <c r="Z35" s="754"/>
      <c r="AA35" s="754"/>
      <c r="AB35" s="754"/>
      <c r="AC35" s="754"/>
      <c r="AD35" s="754"/>
      <c r="AE35" s="754"/>
      <c r="AF35" s="755"/>
      <c r="AG35" s="578"/>
    </row>
    <row r="36" spans="1:36" ht="15" customHeight="1">
      <c r="A36" s="588">
        <v>15</v>
      </c>
      <c r="B36" s="1010"/>
      <c r="C36" s="1011"/>
      <c r="D36" s="1011"/>
      <c r="E36" s="1012"/>
      <c r="F36" s="1016" t="s">
        <v>29</v>
      </c>
      <c r="G36" s="1017"/>
      <c r="H36" s="1017"/>
      <c r="I36" s="1017"/>
      <c r="J36" s="1017"/>
      <c r="K36" s="1017"/>
      <c r="L36" s="1017"/>
      <c r="M36" s="1017"/>
      <c r="N36" s="1017"/>
      <c r="O36" s="1017"/>
      <c r="P36" s="1017"/>
      <c r="Q36" s="1017"/>
      <c r="R36" s="1017"/>
      <c r="S36" s="1017"/>
      <c r="T36" s="1017"/>
      <c r="U36" s="1018"/>
      <c r="V36" s="1053" t="s">
        <v>104</v>
      </c>
      <c r="W36" s="1054"/>
      <c r="X36" s="1054"/>
      <c r="Y36" s="1054"/>
      <c r="Z36" s="1054"/>
      <c r="AA36" s="1054"/>
      <c r="AB36" s="1054"/>
      <c r="AC36" s="1054"/>
      <c r="AD36" s="1054"/>
      <c r="AE36" s="1054"/>
      <c r="AF36" s="1055"/>
      <c r="AG36" s="578"/>
    </row>
    <row r="37" spans="1:36" ht="15" customHeight="1">
      <c r="A37" s="588">
        <v>16</v>
      </c>
      <c r="B37" s="1010"/>
      <c r="C37" s="1011"/>
      <c r="D37" s="1011"/>
      <c r="E37" s="1012"/>
      <c r="F37" s="1016" t="s">
        <v>31</v>
      </c>
      <c r="G37" s="1017"/>
      <c r="H37" s="1017"/>
      <c r="I37" s="1017"/>
      <c r="J37" s="1017"/>
      <c r="K37" s="1017"/>
      <c r="L37" s="1017"/>
      <c r="M37" s="1017"/>
      <c r="N37" s="1017"/>
      <c r="O37" s="1017"/>
      <c r="P37" s="1017"/>
      <c r="Q37" s="1017"/>
      <c r="R37" s="1017"/>
      <c r="S37" s="1017"/>
      <c r="T37" s="1017"/>
      <c r="U37" s="1018"/>
      <c r="V37" s="1056"/>
      <c r="W37" s="1057"/>
      <c r="X37" s="1057"/>
      <c r="Y37" s="1057"/>
      <c r="Z37" s="1057"/>
      <c r="AA37" s="1057"/>
      <c r="AB37" s="1057"/>
      <c r="AC37" s="1057"/>
      <c r="AD37" s="1057"/>
      <c r="AE37" s="1057"/>
      <c r="AF37" s="1058"/>
      <c r="AG37" s="578"/>
    </row>
    <row r="38" spans="1:36" ht="15" customHeight="1">
      <c r="A38" s="588">
        <v>17</v>
      </c>
      <c r="B38" s="1010"/>
      <c r="C38" s="1011"/>
      <c r="D38" s="1011"/>
      <c r="E38" s="1012"/>
      <c r="F38" s="1016" t="s">
        <v>27</v>
      </c>
      <c r="G38" s="1017"/>
      <c r="H38" s="1017"/>
      <c r="I38" s="1017"/>
      <c r="J38" s="1017"/>
      <c r="K38" s="1017"/>
      <c r="L38" s="1017"/>
      <c r="M38" s="1017"/>
      <c r="N38" s="1017"/>
      <c r="O38" s="1017"/>
      <c r="P38" s="1017"/>
      <c r="Q38" s="1017"/>
      <c r="R38" s="1017"/>
      <c r="S38" s="1017"/>
      <c r="T38" s="1017"/>
      <c r="U38" s="1018"/>
      <c r="V38" s="1079" t="s">
        <v>44</v>
      </c>
      <c r="W38" s="1080"/>
      <c r="X38" s="1080"/>
      <c r="Y38" s="1080"/>
      <c r="Z38" s="1080"/>
      <c r="AA38" s="1080"/>
      <c r="AB38" s="1080"/>
      <c r="AC38" s="1080"/>
      <c r="AD38" s="1080"/>
      <c r="AE38" s="1080"/>
      <c r="AF38" s="1081"/>
      <c r="AG38" s="578"/>
    </row>
    <row r="39" spans="1:36" ht="15" customHeight="1">
      <c r="A39" s="588">
        <v>18</v>
      </c>
      <c r="B39" s="1010"/>
      <c r="C39" s="1011"/>
      <c r="D39" s="1011"/>
      <c r="E39" s="1012"/>
      <c r="F39" s="1016" t="s">
        <v>28</v>
      </c>
      <c r="G39" s="1017"/>
      <c r="H39" s="1017"/>
      <c r="I39" s="1017"/>
      <c r="J39" s="1017"/>
      <c r="K39" s="1017"/>
      <c r="L39" s="1017"/>
      <c r="M39" s="1017"/>
      <c r="N39" s="1017"/>
      <c r="O39" s="1017"/>
      <c r="P39" s="1017"/>
      <c r="Q39" s="1017"/>
      <c r="R39" s="1017"/>
      <c r="S39" s="1017"/>
      <c r="T39" s="1017"/>
      <c r="U39" s="1018"/>
      <c r="V39" s="1082"/>
      <c r="W39" s="1083"/>
      <c r="X39" s="1083"/>
      <c r="Y39" s="1083"/>
      <c r="Z39" s="1083"/>
      <c r="AA39" s="1083"/>
      <c r="AB39" s="1083"/>
      <c r="AC39" s="1083"/>
      <c r="AD39" s="1083"/>
      <c r="AE39" s="1083"/>
      <c r="AF39" s="1084"/>
      <c r="AG39" s="578"/>
    </row>
    <row r="40" spans="1:36" ht="15" customHeight="1">
      <c r="A40" s="1033" t="s">
        <v>364</v>
      </c>
      <c r="B40" s="1034"/>
      <c r="C40" s="1034"/>
      <c r="D40" s="1034"/>
      <c r="E40" s="1034"/>
      <c r="F40" s="1034"/>
      <c r="G40" s="1034"/>
      <c r="H40" s="1034"/>
      <c r="I40" s="1034"/>
      <c r="J40" s="1034"/>
      <c r="K40" s="1034"/>
      <c r="L40" s="1034"/>
      <c r="M40" s="1034"/>
      <c r="N40" s="1034"/>
      <c r="O40" s="1034"/>
      <c r="P40" s="1034"/>
      <c r="Q40" s="1034"/>
      <c r="R40" s="1034"/>
      <c r="S40" s="1034"/>
      <c r="T40" s="1034"/>
      <c r="U40" s="1034"/>
      <c r="V40" s="1034"/>
      <c r="W40" s="1034"/>
      <c r="X40" s="1034"/>
      <c r="Y40" s="1034"/>
      <c r="Z40" s="1034"/>
      <c r="AA40" s="1034"/>
      <c r="AB40" s="1034"/>
      <c r="AC40" s="1034"/>
      <c r="AD40" s="1034"/>
      <c r="AE40" s="1034"/>
      <c r="AF40" s="1034"/>
      <c r="AG40" s="578"/>
    </row>
    <row r="41" spans="1:36" ht="15" customHeight="1" thickBot="1">
      <c r="A41" s="1035"/>
      <c r="B41" s="1036"/>
      <c r="C41" s="1036"/>
      <c r="D41" s="1036"/>
      <c r="E41" s="1036"/>
      <c r="F41" s="1036"/>
      <c r="G41" s="1036"/>
      <c r="H41" s="1036"/>
      <c r="I41" s="1036"/>
      <c r="J41" s="1036"/>
      <c r="K41" s="1036"/>
      <c r="L41" s="1036"/>
      <c r="M41" s="1036"/>
      <c r="N41" s="1036"/>
      <c r="O41" s="1036"/>
      <c r="P41" s="1036"/>
      <c r="Q41" s="1036"/>
      <c r="R41" s="1036"/>
      <c r="S41" s="1036"/>
      <c r="T41" s="1036"/>
      <c r="U41" s="1036"/>
      <c r="V41" s="1036"/>
      <c r="W41" s="1036"/>
      <c r="X41" s="1036"/>
      <c r="Y41" s="1036"/>
      <c r="Z41" s="1036"/>
      <c r="AA41" s="1036"/>
      <c r="AB41" s="1036"/>
      <c r="AC41" s="1036"/>
      <c r="AD41" s="1036"/>
      <c r="AE41" s="1036"/>
      <c r="AF41" s="1036"/>
      <c r="AG41" s="587"/>
    </row>
    <row r="42" spans="1:36" ht="15" customHeight="1">
      <c r="A42" s="1037" t="s">
        <v>32</v>
      </c>
      <c r="B42" s="1037"/>
      <c r="C42" s="1037"/>
      <c r="D42" s="1037"/>
      <c r="E42" s="1037"/>
      <c r="F42" s="1037"/>
      <c r="G42" s="1037"/>
      <c r="H42" s="1037"/>
      <c r="I42" s="1037"/>
      <c r="J42" s="1037"/>
      <c r="K42" s="1037"/>
      <c r="L42" s="1037"/>
      <c r="M42" s="1037"/>
      <c r="N42" s="1037"/>
      <c r="O42" s="1037"/>
      <c r="P42" s="1037"/>
      <c r="Q42" s="1037"/>
      <c r="R42" s="1037"/>
      <c r="S42" s="1037"/>
      <c r="T42" s="1037"/>
      <c r="U42" s="1037"/>
      <c r="V42" s="1037"/>
      <c r="W42" s="1037"/>
      <c r="X42" s="1037"/>
      <c r="Y42" s="1037"/>
      <c r="Z42" s="1037"/>
      <c r="AA42" s="1037"/>
      <c r="AB42" s="1037"/>
      <c r="AC42" s="1037"/>
      <c r="AD42" s="1037"/>
      <c r="AE42" s="1037"/>
      <c r="AF42" s="1037"/>
      <c r="AG42" s="1037"/>
    </row>
    <row r="43" spans="1:36" ht="15" customHeight="1">
      <c r="A43" s="1070" t="s">
        <v>205</v>
      </c>
      <c r="B43" s="1070"/>
      <c r="C43" s="1070"/>
      <c r="D43" s="1070"/>
      <c r="E43" s="1070"/>
      <c r="F43" s="1070"/>
      <c r="G43" s="1070"/>
      <c r="H43" s="1070"/>
      <c r="I43" s="1070"/>
      <c r="J43" s="1070"/>
      <c r="K43" s="1070"/>
      <c r="L43" s="1070"/>
      <c r="M43" s="1070"/>
      <c r="N43" s="1070"/>
      <c r="O43" s="1070"/>
      <c r="P43" s="1070"/>
      <c r="Q43" s="1070"/>
      <c r="R43" s="1070"/>
      <c r="S43" s="1070"/>
      <c r="T43" s="1070"/>
      <c r="U43" s="1070"/>
      <c r="V43" s="1070"/>
      <c r="W43" s="1070"/>
      <c r="X43" s="1070"/>
      <c r="Y43" s="1070"/>
      <c r="Z43" s="1070"/>
      <c r="AA43" s="1070"/>
      <c r="AB43" s="1070"/>
      <c r="AC43" s="1070"/>
      <c r="AD43" s="1070"/>
      <c r="AE43" s="1070"/>
      <c r="AF43" s="1070"/>
      <c r="AG43" s="1070"/>
    </row>
    <row r="44" spans="1:36" ht="24.95" customHeight="1" thickBot="1">
      <c r="A44" s="1070" t="s">
        <v>206</v>
      </c>
      <c r="B44" s="1070"/>
      <c r="C44" s="1070"/>
      <c r="D44" s="1070"/>
      <c r="E44" s="1070"/>
      <c r="F44" s="1070"/>
      <c r="G44" s="1070"/>
      <c r="H44" s="1070"/>
      <c r="I44" s="1070"/>
      <c r="J44" s="1070"/>
      <c r="K44" s="1070"/>
      <c r="L44" s="1070"/>
      <c r="M44" s="1070"/>
      <c r="N44" s="1070"/>
      <c r="O44" s="1070"/>
      <c r="P44" s="1070"/>
      <c r="Q44" s="1070"/>
      <c r="R44" s="1070"/>
      <c r="S44" s="1070"/>
      <c r="T44" s="1070"/>
      <c r="U44" s="1070"/>
      <c r="V44" s="1070"/>
      <c r="W44" s="1070"/>
      <c r="X44" s="1070"/>
      <c r="Y44" s="1070"/>
      <c r="Z44" s="1070"/>
      <c r="AA44" s="1070"/>
      <c r="AB44" s="1070"/>
      <c r="AC44" s="1070"/>
      <c r="AD44" s="1070"/>
      <c r="AE44" s="1070"/>
      <c r="AF44" s="1070"/>
      <c r="AG44" s="1070"/>
    </row>
    <row r="45" spans="1:36" ht="15" customHeight="1" thickBot="1">
      <c r="A45" s="1047" t="s">
        <v>207</v>
      </c>
      <c r="B45" s="1047"/>
      <c r="C45" s="1047"/>
      <c r="D45" s="1047"/>
      <c r="E45" s="1047"/>
      <c r="F45" s="1047"/>
      <c r="G45" s="1047"/>
      <c r="H45" s="1047"/>
      <c r="I45" s="1047"/>
      <c r="J45" s="981" t="str">
        <f>IF(AND(AI47,AI54,AI57,AJ47,AJ54),"○","×")</f>
        <v>×</v>
      </c>
      <c r="K45" s="982"/>
      <c r="L45" s="982"/>
      <c r="M45" s="982"/>
      <c r="N45" s="983"/>
      <c r="O45" s="969" t="s">
        <v>208</v>
      </c>
      <c r="P45" s="970"/>
      <c r="Q45" s="970"/>
      <c r="R45" s="214"/>
      <c r="S45" s="214"/>
      <c r="T45" s="214"/>
      <c r="U45" s="214"/>
      <c r="V45" s="214"/>
      <c r="W45" s="214"/>
      <c r="X45" s="214"/>
      <c r="Y45" s="214"/>
      <c r="Z45" s="214"/>
      <c r="AA45" s="214"/>
      <c r="AB45" s="214"/>
      <c r="AC45" s="214"/>
      <c r="AD45" s="214"/>
      <c r="AE45" s="214"/>
      <c r="AF45" s="214"/>
      <c r="AG45" s="214"/>
    </row>
    <row r="46" spans="1:36" ht="15" customHeight="1">
      <c r="A46" s="986" t="s">
        <v>209</v>
      </c>
      <c r="B46" s="987"/>
      <c r="C46" s="987"/>
      <c r="D46" s="987"/>
      <c r="E46" s="987"/>
      <c r="F46" s="965" t="s">
        <v>61</v>
      </c>
      <c r="G46" s="971"/>
      <c r="H46" s="971"/>
      <c r="I46" s="971"/>
      <c r="J46" s="1123"/>
      <c r="K46" s="1123"/>
      <c r="L46" s="971"/>
      <c r="M46" s="971"/>
      <c r="N46" s="971"/>
      <c r="O46" s="971"/>
      <c r="P46" s="971"/>
      <c r="Q46" s="971"/>
      <c r="R46" s="971"/>
      <c r="S46" s="971"/>
      <c r="T46" s="971"/>
      <c r="U46" s="971"/>
      <c r="V46" s="971"/>
      <c r="W46" s="971"/>
      <c r="X46" s="971"/>
      <c r="Y46" s="971"/>
      <c r="Z46" s="971"/>
      <c r="AA46" s="971" t="s">
        <v>210</v>
      </c>
      <c r="AB46" s="971"/>
      <c r="AC46" s="971"/>
      <c r="AD46" s="971"/>
      <c r="AE46" s="1026" t="s">
        <v>406</v>
      </c>
      <c r="AF46" s="1026"/>
      <c r="AG46" s="1026"/>
    </row>
    <row r="47" spans="1:36" ht="15" customHeight="1">
      <c r="A47" s="988"/>
      <c r="B47" s="989"/>
      <c r="C47" s="989"/>
      <c r="D47" s="989"/>
      <c r="E47" s="989"/>
      <c r="F47" s="738">
        <v>1</v>
      </c>
      <c r="G47" s="1075" t="s">
        <v>362</v>
      </c>
      <c r="H47" s="1075"/>
      <c r="I47" s="1075"/>
      <c r="J47" s="1075"/>
      <c r="K47" s="1075"/>
      <c r="L47" s="1075"/>
      <c r="M47" s="1075"/>
      <c r="N47" s="1075"/>
      <c r="O47" s="1075"/>
      <c r="P47" s="1075"/>
      <c r="Q47" s="1075"/>
      <c r="R47" s="1075"/>
      <c r="S47" s="1075"/>
      <c r="T47" s="1075"/>
      <c r="U47" s="1075"/>
      <c r="V47" s="1075"/>
      <c r="W47" s="1075"/>
      <c r="X47" s="1075"/>
      <c r="Y47" s="1075"/>
      <c r="Z47" s="1075"/>
      <c r="AA47" s="986" t="str">
        <f>IF(COUNTIF(AI48:AI53,TRUE)=1,"○","×")</f>
        <v>×</v>
      </c>
      <c r="AB47" s="987"/>
      <c r="AC47" s="987"/>
      <c r="AD47" s="1027"/>
      <c r="AE47" s="1026" t="str">
        <f>【様式５】職員数算出表!O31</f>
        <v>×</v>
      </c>
      <c r="AF47" s="1026"/>
      <c r="AG47" s="1026"/>
      <c r="AI47" s="744" t="b">
        <f>AA47="○"</f>
        <v>0</v>
      </c>
      <c r="AJ47" s="1236" t="b">
        <f>AE47="○"</f>
        <v>0</v>
      </c>
    </row>
    <row r="48" spans="1:36" ht="15" customHeight="1">
      <c r="A48" s="988"/>
      <c r="B48" s="989"/>
      <c r="C48" s="989"/>
      <c r="D48" s="989"/>
      <c r="E48" s="989"/>
      <c r="F48" s="1029" t="s">
        <v>91</v>
      </c>
      <c r="G48" s="1030"/>
      <c r="H48" s="1048" t="s">
        <v>331</v>
      </c>
      <c r="I48" s="1048"/>
      <c r="J48" s="1048"/>
      <c r="K48" s="1048"/>
      <c r="L48" s="1048"/>
      <c r="M48" s="1048"/>
      <c r="N48" s="1048"/>
      <c r="O48" s="1048"/>
      <c r="P48" s="1048"/>
      <c r="Q48" s="1048"/>
      <c r="R48" s="1048"/>
      <c r="S48" s="1048"/>
      <c r="T48" s="1048"/>
      <c r="U48" s="1048"/>
      <c r="V48" s="1048"/>
      <c r="W48" s="1048"/>
      <c r="X48" s="1048"/>
      <c r="Y48" s="1048"/>
      <c r="Z48" s="1048"/>
      <c r="AA48" s="1029" t="str">
        <f>IF(AND(AA49="○",AA50="○"),"○","×")</f>
        <v>×</v>
      </c>
      <c r="AB48" s="1030"/>
      <c r="AC48" s="1030"/>
      <c r="AD48" s="1031"/>
      <c r="AE48" s="1026"/>
      <c r="AF48" s="1026"/>
      <c r="AG48" s="1026"/>
      <c r="AI48" s="1120" t="b">
        <f>AA48="○"</f>
        <v>0</v>
      </c>
      <c r="AJ48" s="1236"/>
    </row>
    <row r="49" spans="1:36" ht="15" customHeight="1">
      <c r="A49" s="988"/>
      <c r="B49" s="989"/>
      <c r="C49" s="989"/>
      <c r="D49" s="989"/>
      <c r="E49" s="989"/>
      <c r="F49" s="984" t="s">
        <v>217</v>
      </c>
      <c r="G49" s="985"/>
      <c r="H49" s="985"/>
      <c r="I49" s="1049" t="s">
        <v>219</v>
      </c>
      <c r="J49" s="1049"/>
      <c r="K49" s="1049"/>
      <c r="L49" s="1049"/>
      <c r="M49" s="1049"/>
      <c r="N49" s="1049"/>
      <c r="O49" s="1049"/>
      <c r="P49" s="1049"/>
      <c r="Q49" s="1049"/>
      <c r="R49" s="1049"/>
      <c r="S49" s="1049"/>
      <c r="T49" s="1049"/>
      <c r="U49" s="1049"/>
      <c r="V49" s="1049"/>
      <c r="W49" s="1049"/>
      <c r="X49" s="1049"/>
      <c r="Y49" s="1049"/>
      <c r="Z49" s="1050"/>
      <c r="AA49" s="984" t="str">
        <f>IF(【様式５】職員数算出表!M12&lt;=3,"○","×")</f>
        <v>○</v>
      </c>
      <c r="AB49" s="985"/>
      <c r="AC49" s="985"/>
      <c r="AD49" s="1032"/>
      <c r="AE49" s="1026"/>
      <c r="AF49" s="1026"/>
      <c r="AG49" s="1026"/>
      <c r="AI49" s="1121"/>
      <c r="AJ49" s="1236"/>
    </row>
    <row r="50" spans="1:36" ht="15" customHeight="1">
      <c r="A50" s="988"/>
      <c r="B50" s="989"/>
      <c r="C50" s="989"/>
      <c r="D50" s="989"/>
      <c r="E50" s="989"/>
      <c r="F50" s="1038" t="s">
        <v>218</v>
      </c>
      <c r="G50" s="1039"/>
      <c r="H50" s="1039"/>
      <c r="I50" s="1051" t="s">
        <v>220</v>
      </c>
      <c r="J50" s="1051"/>
      <c r="K50" s="1051"/>
      <c r="L50" s="1051"/>
      <c r="M50" s="1051"/>
      <c r="N50" s="1051"/>
      <c r="O50" s="1051"/>
      <c r="P50" s="1051"/>
      <c r="Q50" s="1051"/>
      <c r="R50" s="1051"/>
      <c r="S50" s="1051"/>
      <c r="T50" s="1051"/>
      <c r="U50" s="1051"/>
      <c r="V50" s="1051"/>
      <c r="W50" s="1051"/>
      <c r="X50" s="1051"/>
      <c r="Y50" s="1051"/>
      <c r="Z50" s="1052"/>
      <c r="AA50" s="1038" t="str">
        <f>IF(J74="○","○","×")</f>
        <v>×</v>
      </c>
      <c r="AB50" s="1039"/>
      <c r="AC50" s="1039"/>
      <c r="AD50" s="1040"/>
      <c r="AE50" s="1026"/>
      <c r="AF50" s="1026"/>
      <c r="AG50" s="1026"/>
      <c r="AI50" s="1122"/>
      <c r="AJ50" s="1236"/>
    </row>
    <row r="51" spans="1:36" ht="15" customHeight="1">
      <c r="A51" s="988"/>
      <c r="B51" s="989"/>
      <c r="C51" s="989"/>
      <c r="D51" s="989"/>
      <c r="E51" s="989"/>
      <c r="F51" s="1068" t="s">
        <v>50</v>
      </c>
      <c r="G51" s="1069"/>
      <c r="H51" s="1071" t="s">
        <v>211</v>
      </c>
      <c r="I51" s="1071"/>
      <c r="J51" s="1071"/>
      <c r="K51" s="1071"/>
      <c r="L51" s="1071"/>
      <c r="M51" s="1071"/>
      <c r="N51" s="1071"/>
      <c r="O51" s="1071"/>
      <c r="P51" s="1071"/>
      <c r="Q51" s="1071"/>
      <c r="R51" s="1071"/>
      <c r="S51" s="1071"/>
      <c r="T51" s="1071"/>
      <c r="U51" s="1071"/>
      <c r="V51" s="1071"/>
      <c r="W51" s="1071"/>
      <c r="X51" s="1071"/>
      <c r="Y51" s="1071"/>
      <c r="Z51" s="1071"/>
      <c r="AA51" s="1124"/>
      <c r="AB51" s="1125"/>
      <c r="AC51" s="1125"/>
      <c r="AD51" s="1126"/>
      <c r="AE51" s="1026"/>
      <c r="AF51" s="1026"/>
      <c r="AG51" s="1026"/>
      <c r="AI51" s="744" t="b">
        <f>AA51="○"</f>
        <v>0</v>
      </c>
      <c r="AJ51" s="1236"/>
    </row>
    <row r="52" spans="1:36" ht="24.95" customHeight="1">
      <c r="A52" s="988"/>
      <c r="B52" s="989"/>
      <c r="C52" s="989"/>
      <c r="D52" s="989"/>
      <c r="E52" s="989"/>
      <c r="F52" s="1068" t="s">
        <v>216</v>
      </c>
      <c r="G52" s="1069"/>
      <c r="H52" s="1071" t="s">
        <v>618</v>
      </c>
      <c r="I52" s="1071"/>
      <c r="J52" s="1071"/>
      <c r="K52" s="1071"/>
      <c r="L52" s="1071"/>
      <c r="M52" s="1071"/>
      <c r="N52" s="1071"/>
      <c r="O52" s="1071"/>
      <c r="P52" s="1071"/>
      <c r="Q52" s="1071"/>
      <c r="R52" s="1071"/>
      <c r="S52" s="1071"/>
      <c r="T52" s="1071"/>
      <c r="U52" s="1071"/>
      <c r="V52" s="1071"/>
      <c r="W52" s="1071"/>
      <c r="X52" s="1071"/>
      <c r="Y52" s="1071"/>
      <c r="Z52" s="1071"/>
      <c r="AA52" s="1124"/>
      <c r="AB52" s="1125"/>
      <c r="AC52" s="1125"/>
      <c r="AD52" s="1126"/>
      <c r="AE52" s="1026"/>
      <c r="AF52" s="1026"/>
      <c r="AG52" s="1026"/>
      <c r="AI52" s="744" t="b">
        <f>AA52="○"</f>
        <v>0</v>
      </c>
      <c r="AJ52" s="1236"/>
    </row>
    <row r="53" spans="1:36" ht="15" customHeight="1">
      <c r="A53" s="988"/>
      <c r="B53" s="989"/>
      <c r="C53" s="989"/>
      <c r="D53" s="989"/>
      <c r="E53" s="989"/>
      <c r="F53" s="1127" t="s">
        <v>52</v>
      </c>
      <c r="G53" s="1128"/>
      <c r="H53" s="1129" t="s">
        <v>212</v>
      </c>
      <c r="I53" s="1129"/>
      <c r="J53" s="1129"/>
      <c r="K53" s="1129"/>
      <c r="L53" s="1129"/>
      <c r="M53" s="1129"/>
      <c r="N53" s="1129"/>
      <c r="O53" s="1129"/>
      <c r="P53" s="1129"/>
      <c r="Q53" s="1129"/>
      <c r="R53" s="1129"/>
      <c r="S53" s="1129"/>
      <c r="T53" s="1129"/>
      <c r="U53" s="1129"/>
      <c r="V53" s="1129"/>
      <c r="W53" s="1129"/>
      <c r="X53" s="1129"/>
      <c r="Y53" s="1129"/>
      <c r="Z53" s="1129"/>
      <c r="AA53" s="1072"/>
      <c r="AB53" s="1073"/>
      <c r="AC53" s="1073"/>
      <c r="AD53" s="1074"/>
      <c r="AE53" s="1026"/>
      <c r="AF53" s="1026"/>
      <c r="AG53" s="1026"/>
      <c r="AI53" s="744" t="b">
        <f>AA53="○"</f>
        <v>0</v>
      </c>
      <c r="AJ53" s="1236"/>
    </row>
    <row r="54" spans="1:36" ht="15" customHeight="1">
      <c r="A54" s="988"/>
      <c r="B54" s="989"/>
      <c r="C54" s="989"/>
      <c r="D54" s="989"/>
      <c r="E54" s="989"/>
      <c r="F54" s="738">
        <v>2</v>
      </c>
      <c r="G54" s="1075" t="s">
        <v>418</v>
      </c>
      <c r="H54" s="1075"/>
      <c r="I54" s="1075"/>
      <c r="J54" s="1075"/>
      <c r="K54" s="1075"/>
      <c r="L54" s="1075"/>
      <c r="M54" s="1075"/>
      <c r="N54" s="1075"/>
      <c r="O54" s="1075"/>
      <c r="P54" s="1075"/>
      <c r="Q54" s="1075"/>
      <c r="R54" s="1075"/>
      <c r="S54" s="1075"/>
      <c r="T54" s="1075"/>
      <c r="U54" s="1075"/>
      <c r="V54" s="1075"/>
      <c r="W54" s="1075"/>
      <c r="X54" s="1075"/>
      <c r="Y54" s="1075"/>
      <c r="Z54" s="1075"/>
      <c r="AA54" s="986" t="str">
        <f>IF(COUNTIF(AI55:AI56,TRUE)=1,"○","×")</f>
        <v>×</v>
      </c>
      <c r="AB54" s="987"/>
      <c r="AC54" s="987"/>
      <c r="AD54" s="1027"/>
      <c r="AE54" s="1026" t="str">
        <f>【様式５】職員数算出表!O28</f>
        <v>×</v>
      </c>
      <c r="AF54" s="1026"/>
      <c r="AG54" s="1026"/>
      <c r="AI54" s="744" t="b">
        <f>AA54="○"</f>
        <v>0</v>
      </c>
      <c r="AJ54" s="1236" t="b">
        <f>AE54="○"</f>
        <v>0</v>
      </c>
    </row>
    <row r="55" spans="1:36" ht="15" customHeight="1">
      <c r="A55" s="988"/>
      <c r="B55" s="989"/>
      <c r="C55" s="989"/>
      <c r="D55" s="989"/>
      <c r="E55" s="989"/>
      <c r="F55" s="1068" t="s">
        <v>91</v>
      </c>
      <c r="G55" s="1069"/>
      <c r="H55" s="1071" t="s">
        <v>213</v>
      </c>
      <c r="I55" s="1071"/>
      <c r="J55" s="1071"/>
      <c r="K55" s="1071"/>
      <c r="L55" s="1071"/>
      <c r="M55" s="1071"/>
      <c r="N55" s="1071"/>
      <c r="O55" s="1071"/>
      <c r="P55" s="1071"/>
      <c r="Q55" s="1071"/>
      <c r="R55" s="1071"/>
      <c r="S55" s="1071"/>
      <c r="T55" s="1071"/>
      <c r="U55" s="1071"/>
      <c r="V55" s="1071"/>
      <c r="W55" s="1071"/>
      <c r="X55" s="1071"/>
      <c r="Y55" s="1071"/>
      <c r="Z55" s="1071"/>
      <c r="AA55" s="1124"/>
      <c r="AB55" s="1125"/>
      <c r="AC55" s="1125"/>
      <c r="AD55" s="1126"/>
      <c r="AE55" s="1026"/>
      <c r="AF55" s="1026"/>
      <c r="AG55" s="1026"/>
      <c r="AI55" s="744" t="b">
        <f>AA55="○"</f>
        <v>0</v>
      </c>
      <c r="AJ55" s="1236"/>
    </row>
    <row r="56" spans="1:36" ht="24.95" customHeight="1">
      <c r="A56" s="988"/>
      <c r="B56" s="989"/>
      <c r="C56" s="989"/>
      <c r="D56" s="989"/>
      <c r="E56" s="989"/>
      <c r="F56" s="1029" t="s">
        <v>50</v>
      </c>
      <c r="G56" s="1030"/>
      <c r="H56" s="1048" t="s">
        <v>221</v>
      </c>
      <c r="I56" s="1048"/>
      <c r="J56" s="1048"/>
      <c r="K56" s="1048"/>
      <c r="L56" s="1048"/>
      <c r="M56" s="1048"/>
      <c r="N56" s="1048"/>
      <c r="O56" s="1048"/>
      <c r="P56" s="1048"/>
      <c r="Q56" s="1048"/>
      <c r="R56" s="1048"/>
      <c r="S56" s="1048"/>
      <c r="T56" s="1048"/>
      <c r="U56" s="1048"/>
      <c r="V56" s="1048"/>
      <c r="W56" s="1048"/>
      <c r="X56" s="1048"/>
      <c r="Y56" s="1048"/>
      <c r="Z56" s="1048"/>
      <c r="AA56" s="1076"/>
      <c r="AB56" s="1077"/>
      <c r="AC56" s="1077"/>
      <c r="AD56" s="1078"/>
      <c r="AE56" s="1026"/>
      <c r="AF56" s="1026"/>
      <c r="AG56" s="1026"/>
      <c r="AI56" s="744" t="b">
        <f t="shared" ref="AI56:AI58" si="3">AA56="○"</f>
        <v>0</v>
      </c>
      <c r="AJ56" s="1236"/>
    </row>
    <row r="57" spans="1:36" ht="15" customHeight="1">
      <c r="A57" s="988"/>
      <c r="B57" s="989"/>
      <c r="C57" s="989"/>
      <c r="D57" s="989"/>
      <c r="E57" s="989"/>
      <c r="F57" s="738">
        <v>3</v>
      </c>
      <c r="G57" s="1075" t="s">
        <v>214</v>
      </c>
      <c r="H57" s="1075"/>
      <c r="I57" s="1075"/>
      <c r="J57" s="1075"/>
      <c r="K57" s="1075"/>
      <c r="L57" s="1075"/>
      <c r="M57" s="1075"/>
      <c r="N57" s="1075"/>
      <c r="O57" s="1075"/>
      <c r="P57" s="1075"/>
      <c r="Q57" s="1075"/>
      <c r="R57" s="1075"/>
      <c r="S57" s="1075"/>
      <c r="T57" s="1075"/>
      <c r="U57" s="1075"/>
      <c r="V57" s="1075"/>
      <c r="W57" s="1075"/>
      <c r="X57" s="1075"/>
      <c r="Y57" s="1075"/>
      <c r="Z57" s="1075"/>
      <c r="AA57" s="986" t="str">
        <f>IF(COUNTIF(AI58,TRUE)=1,"○","×")</f>
        <v>×</v>
      </c>
      <c r="AB57" s="987"/>
      <c r="AC57" s="987"/>
      <c r="AD57" s="1027"/>
      <c r="AE57" s="986" t="str">
        <f>【様式５】職員数算出表!O35</f>
        <v>×</v>
      </c>
      <c r="AF57" s="987"/>
      <c r="AG57" s="1027"/>
      <c r="AI57" s="744" t="b">
        <f t="shared" si="3"/>
        <v>0</v>
      </c>
      <c r="AJ57" s="1236"/>
    </row>
    <row r="58" spans="1:36" ht="15" customHeight="1">
      <c r="A58" s="990"/>
      <c r="B58" s="991"/>
      <c r="C58" s="991"/>
      <c r="D58" s="991"/>
      <c r="E58" s="991"/>
      <c r="F58" s="1127" t="s">
        <v>91</v>
      </c>
      <c r="G58" s="1128"/>
      <c r="H58" s="1129" t="s">
        <v>215</v>
      </c>
      <c r="I58" s="1129"/>
      <c r="J58" s="1129"/>
      <c r="K58" s="1129"/>
      <c r="L58" s="1129"/>
      <c r="M58" s="1129"/>
      <c r="N58" s="1129"/>
      <c r="O58" s="1129"/>
      <c r="P58" s="1129"/>
      <c r="Q58" s="1129"/>
      <c r="R58" s="1129"/>
      <c r="S58" s="1129"/>
      <c r="T58" s="1129"/>
      <c r="U58" s="1129"/>
      <c r="V58" s="1129"/>
      <c r="W58" s="1129"/>
      <c r="X58" s="1129"/>
      <c r="Y58" s="1129"/>
      <c r="Z58" s="1129"/>
      <c r="AA58" s="1072"/>
      <c r="AB58" s="1073"/>
      <c r="AC58" s="1073"/>
      <c r="AD58" s="1074"/>
      <c r="AE58" s="990"/>
      <c r="AF58" s="991"/>
      <c r="AG58" s="1028"/>
      <c r="AI58" s="744" t="b">
        <f t="shared" si="3"/>
        <v>0</v>
      </c>
      <c r="AJ58" s="1236"/>
    </row>
    <row r="59" spans="1:36" ht="15" customHeight="1">
      <c r="A59" s="1041" t="s">
        <v>34</v>
      </c>
      <c r="B59" s="1042"/>
      <c r="C59" s="1042"/>
      <c r="D59" s="1042"/>
      <c r="E59" s="1043"/>
      <c r="F59" s="1044" t="s">
        <v>358</v>
      </c>
      <c r="G59" s="1044"/>
      <c r="H59" s="1044"/>
      <c r="I59" s="1044"/>
      <c r="J59" s="1044"/>
      <c r="K59" s="1044"/>
      <c r="L59" s="1044"/>
      <c r="M59" s="1044"/>
      <c r="N59" s="1044"/>
      <c r="O59" s="1044"/>
      <c r="P59" s="1044"/>
      <c r="Q59" s="1044"/>
      <c r="R59" s="1044"/>
      <c r="S59" s="1044"/>
      <c r="T59" s="1044"/>
      <c r="U59" s="1044"/>
      <c r="V59" s="1044"/>
      <c r="W59" s="1044"/>
      <c r="X59" s="1044"/>
      <c r="Y59" s="1044"/>
      <c r="Z59" s="1044"/>
      <c r="AA59" s="1044"/>
      <c r="AB59" s="1044"/>
      <c r="AC59" s="1044"/>
      <c r="AD59" s="1044"/>
      <c r="AE59" s="1044"/>
      <c r="AF59" s="1044"/>
      <c r="AG59" s="1044"/>
      <c r="AI59" s="138"/>
      <c r="AJ59" s="138"/>
    </row>
    <row r="60" spans="1:36" ht="15" customHeight="1">
      <c r="A60" s="1045" t="s">
        <v>271</v>
      </c>
      <c r="B60" s="1045"/>
      <c r="C60" s="1045"/>
      <c r="D60" s="1045"/>
      <c r="E60" s="1045"/>
      <c r="F60" s="1045"/>
      <c r="G60" s="1045"/>
      <c r="H60" s="1045"/>
      <c r="I60" s="1045"/>
      <c r="J60" s="1045"/>
      <c r="K60" s="1045"/>
      <c r="L60" s="1045"/>
      <c r="M60" s="1045"/>
      <c r="N60" s="1045"/>
      <c r="O60" s="1045"/>
      <c r="P60" s="1045"/>
      <c r="Q60" s="1045"/>
      <c r="R60" s="1045"/>
      <c r="S60" s="1045"/>
      <c r="T60" s="1045"/>
      <c r="U60" s="1045"/>
      <c r="V60" s="1045"/>
      <c r="W60" s="1045"/>
      <c r="X60" s="1045"/>
      <c r="Y60" s="1045"/>
      <c r="Z60" s="1045"/>
      <c r="AA60" s="1045"/>
      <c r="AB60" s="1045"/>
      <c r="AC60" s="1045"/>
      <c r="AD60" s="1045"/>
      <c r="AE60" s="1045"/>
      <c r="AF60" s="1045"/>
      <c r="AG60" s="1045"/>
      <c r="AH60" s="92"/>
    </row>
    <row r="61" spans="1:36" ht="15" customHeight="1" thickBot="1">
      <c r="A61" s="214"/>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row>
    <row r="62" spans="1:36" ht="15" customHeight="1" thickBot="1">
      <c r="A62" s="966" t="s">
        <v>33</v>
      </c>
      <c r="B62" s="966"/>
      <c r="C62" s="966"/>
      <c r="D62" s="966"/>
      <c r="E62" s="966"/>
      <c r="F62" s="966"/>
      <c r="G62" s="966"/>
      <c r="H62" s="966"/>
      <c r="I62" s="1046"/>
      <c r="J62" s="981" t="str">
        <f>IF(AI63,"○","×")</f>
        <v>×</v>
      </c>
      <c r="K62" s="982"/>
      <c r="L62" s="982"/>
      <c r="M62" s="982"/>
      <c r="N62" s="983"/>
      <c r="O62" s="969" t="s">
        <v>208</v>
      </c>
      <c r="P62" s="970"/>
      <c r="Q62" s="970"/>
      <c r="R62" s="318"/>
      <c r="S62" s="318"/>
      <c r="T62" s="318"/>
      <c r="U62" s="318"/>
      <c r="V62" s="575"/>
      <c r="W62" s="575"/>
      <c r="X62" s="575"/>
      <c r="Y62" s="575"/>
      <c r="Z62" s="575"/>
      <c r="AA62" s="575"/>
      <c r="AB62" s="575"/>
      <c r="AC62" s="575"/>
      <c r="AD62" s="575"/>
      <c r="AE62" s="575"/>
      <c r="AF62" s="318"/>
      <c r="AG62" s="318"/>
    </row>
    <row r="63" spans="1:36" ht="15" customHeight="1">
      <c r="A63" s="963" t="s">
        <v>78</v>
      </c>
      <c r="B63" s="964"/>
      <c r="C63" s="964"/>
      <c r="D63" s="964"/>
      <c r="E63" s="965"/>
      <c r="F63" s="972"/>
      <c r="G63" s="973"/>
      <c r="H63" s="973"/>
      <c r="I63" s="973"/>
      <c r="J63" s="973"/>
      <c r="K63" s="974"/>
      <c r="L63" s="318"/>
      <c r="M63" s="318"/>
      <c r="N63" s="318"/>
      <c r="O63" s="318"/>
      <c r="P63" s="318"/>
      <c r="Q63" s="318"/>
      <c r="R63" s="318"/>
      <c r="S63" s="318"/>
      <c r="T63" s="318"/>
      <c r="U63" s="318"/>
      <c r="V63" s="736"/>
      <c r="W63" s="736"/>
      <c r="X63" s="736"/>
      <c r="Y63" s="736"/>
      <c r="Z63" s="736"/>
      <c r="AA63" s="736"/>
      <c r="AB63" s="736"/>
      <c r="AC63" s="736"/>
      <c r="AD63" s="736"/>
      <c r="AE63" s="575"/>
      <c r="AF63" s="318"/>
      <c r="AG63" s="318"/>
      <c r="AH63" s="92"/>
      <c r="AI63" s="744" t="b">
        <f>F63="申請する"</f>
        <v>0</v>
      </c>
    </row>
    <row r="64" spans="1:36" ht="15" customHeight="1">
      <c r="A64" s="1034" t="s">
        <v>40</v>
      </c>
      <c r="B64" s="1034"/>
      <c r="C64" s="1034"/>
      <c r="D64" s="1034"/>
      <c r="E64" s="1034"/>
      <c r="F64" s="1034"/>
      <c r="G64" s="1034"/>
      <c r="H64" s="1034"/>
      <c r="I64" s="1034"/>
      <c r="J64" s="1034"/>
      <c r="K64" s="1034"/>
      <c r="L64" s="1034"/>
      <c r="M64" s="1034"/>
      <c r="N64" s="1034"/>
      <c r="O64" s="1034"/>
      <c r="P64" s="1034"/>
      <c r="Q64" s="1034"/>
      <c r="R64" s="1034"/>
      <c r="S64" s="1034"/>
      <c r="T64" s="1034"/>
      <c r="U64" s="1034"/>
      <c r="V64" s="1034"/>
      <c r="W64" s="1034"/>
      <c r="X64" s="1034"/>
      <c r="Y64" s="1034"/>
      <c r="Z64" s="1034"/>
      <c r="AA64" s="1034"/>
      <c r="AB64" s="1034"/>
      <c r="AC64" s="1034"/>
      <c r="AD64" s="1034"/>
      <c r="AE64" s="1034"/>
      <c r="AF64" s="1034"/>
      <c r="AG64" s="1034"/>
    </row>
    <row r="65" spans="1:42" s="80" customFormat="1" ht="15" customHeight="1" thickBot="1">
      <c r="A65" s="751"/>
      <c r="B65" s="751"/>
      <c r="C65" s="751"/>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83"/>
      <c r="AI65" s="83"/>
      <c r="AJ65" s="83"/>
      <c r="AK65" s="83"/>
      <c r="AL65" s="83"/>
      <c r="AP65" s="83"/>
    </row>
    <row r="66" spans="1:42" s="80" customFormat="1" ht="15" customHeight="1" thickBot="1">
      <c r="A66" s="966" t="s">
        <v>117</v>
      </c>
      <c r="B66" s="966"/>
      <c r="C66" s="966"/>
      <c r="D66" s="966"/>
      <c r="E66" s="966"/>
      <c r="F66" s="966"/>
      <c r="G66" s="966"/>
      <c r="H66" s="966"/>
      <c r="I66" s="966"/>
      <c r="J66" s="981" t="str">
        <f>IF(AND(AI67,AI69),"○","×")</f>
        <v>×</v>
      </c>
      <c r="K66" s="982"/>
      <c r="L66" s="982"/>
      <c r="M66" s="982"/>
      <c r="N66" s="983"/>
      <c r="O66" s="969" t="s">
        <v>208</v>
      </c>
      <c r="P66" s="970"/>
      <c r="Q66" s="970"/>
      <c r="R66" s="318"/>
      <c r="S66" s="318"/>
      <c r="T66" s="318"/>
      <c r="U66" s="318"/>
      <c r="V66" s="575"/>
      <c r="W66" s="575"/>
      <c r="X66" s="575"/>
      <c r="Y66" s="575"/>
      <c r="Z66" s="575"/>
      <c r="AA66" s="575"/>
      <c r="AB66" s="575"/>
      <c r="AC66" s="575"/>
      <c r="AD66" s="575"/>
      <c r="AE66" s="575"/>
      <c r="AF66" s="318"/>
      <c r="AG66" s="318"/>
      <c r="AP66" s="83"/>
    </row>
    <row r="67" spans="1:42" s="80" customFormat="1" ht="15" customHeight="1">
      <c r="A67" s="963" t="s">
        <v>78</v>
      </c>
      <c r="B67" s="964"/>
      <c r="C67" s="964"/>
      <c r="D67" s="964"/>
      <c r="E67" s="965"/>
      <c r="F67" s="972"/>
      <c r="G67" s="973"/>
      <c r="H67" s="973"/>
      <c r="I67" s="973"/>
      <c r="J67" s="973"/>
      <c r="K67" s="974"/>
      <c r="L67" s="318"/>
      <c r="M67" s="318"/>
      <c r="N67" s="318"/>
      <c r="O67" s="318"/>
      <c r="P67" s="318"/>
      <c r="Q67" s="318"/>
      <c r="R67" s="318"/>
      <c r="S67" s="318"/>
      <c r="T67" s="318"/>
      <c r="U67" s="318"/>
      <c r="V67" s="736"/>
      <c r="W67" s="736"/>
      <c r="X67" s="736"/>
      <c r="Y67" s="736"/>
      <c r="Z67" s="736"/>
      <c r="AA67" s="736"/>
      <c r="AB67" s="736"/>
      <c r="AC67" s="736"/>
      <c r="AD67" s="736"/>
      <c r="AE67" s="575"/>
      <c r="AF67" s="318"/>
      <c r="AG67" s="318"/>
      <c r="AH67" s="92"/>
      <c r="AI67" s="744" t="b">
        <f>F67="申請する"</f>
        <v>0</v>
      </c>
      <c r="AP67" s="83"/>
    </row>
    <row r="68" spans="1:42" s="80" customFormat="1" ht="15" customHeight="1">
      <c r="A68" s="1130" t="s">
        <v>229</v>
      </c>
      <c r="B68" s="1063"/>
      <c r="C68" s="1063"/>
      <c r="D68" s="1063"/>
      <c r="E68" s="1063"/>
      <c r="F68" s="964" t="s">
        <v>61</v>
      </c>
      <c r="G68" s="964"/>
      <c r="H68" s="964"/>
      <c r="I68" s="964"/>
      <c r="J68" s="964"/>
      <c r="K68" s="964"/>
      <c r="L68" s="964"/>
      <c r="M68" s="964"/>
      <c r="N68" s="964"/>
      <c r="O68" s="964"/>
      <c r="P68" s="964"/>
      <c r="Q68" s="964"/>
      <c r="R68" s="964"/>
      <c r="S68" s="964"/>
      <c r="T68" s="964"/>
      <c r="U68" s="964"/>
      <c r="V68" s="964"/>
      <c r="W68" s="964"/>
      <c r="X68" s="964"/>
      <c r="Y68" s="964"/>
      <c r="Z68" s="965"/>
      <c r="AA68" s="963" t="s">
        <v>210</v>
      </c>
      <c r="AB68" s="964"/>
      <c r="AC68" s="964"/>
      <c r="AD68" s="965"/>
      <c r="AE68" s="575"/>
      <c r="AF68" s="318"/>
      <c r="AG68" s="318"/>
      <c r="AH68" s="92"/>
      <c r="AI68" s="138"/>
      <c r="AP68" s="83"/>
    </row>
    <row r="69" spans="1:42" s="80" customFormat="1" ht="15" customHeight="1">
      <c r="A69" s="1066"/>
      <c r="B69" s="1067"/>
      <c r="C69" s="1067"/>
      <c r="D69" s="1067"/>
      <c r="E69" s="1067"/>
      <c r="F69" s="1131" t="s">
        <v>620</v>
      </c>
      <c r="G69" s="1132"/>
      <c r="H69" s="1132"/>
      <c r="I69" s="1132"/>
      <c r="J69" s="1132"/>
      <c r="K69" s="1132"/>
      <c r="L69" s="1132"/>
      <c r="M69" s="1132"/>
      <c r="N69" s="1132"/>
      <c r="O69" s="1132"/>
      <c r="P69" s="1132"/>
      <c r="Q69" s="1132"/>
      <c r="R69" s="1132"/>
      <c r="S69" s="1132"/>
      <c r="T69" s="1132"/>
      <c r="U69" s="1132"/>
      <c r="V69" s="1132"/>
      <c r="W69" s="1132"/>
      <c r="X69" s="1132"/>
      <c r="Y69" s="1132"/>
      <c r="Z69" s="1133"/>
      <c r="AA69" s="1041" t="str">
        <f>IF(AND(【様式５】職員数算出表!I71&gt;0,【様式５】職員数算出表!O81&gt;=0),"○","×")</f>
        <v>×</v>
      </c>
      <c r="AB69" s="1042"/>
      <c r="AC69" s="1042"/>
      <c r="AD69" s="1043"/>
      <c r="AE69" s="575"/>
      <c r="AF69" s="318"/>
      <c r="AG69" s="318"/>
      <c r="AH69" s="92"/>
      <c r="AI69" s="744" t="b">
        <f>AA69="○"</f>
        <v>0</v>
      </c>
      <c r="AP69" s="83"/>
    </row>
    <row r="70" spans="1:42" s="80" customFormat="1" ht="15" customHeight="1">
      <c r="A70" s="992" t="s">
        <v>34</v>
      </c>
      <c r="B70" s="993"/>
      <c r="C70" s="993"/>
      <c r="D70" s="993"/>
      <c r="E70" s="994"/>
      <c r="F70" s="1134" t="s">
        <v>361</v>
      </c>
      <c r="G70" s="1135"/>
      <c r="H70" s="1135"/>
      <c r="I70" s="1135"/>
      <c r="J70" s="1135"/>
      <c r="K70" s="1135"/>
      <c r="L70" s="1135"/>
      <c r="M70" s="1135"/>
      <c r="N70" s="1135"/>
      <c r="O70" s="1135"/>
      <c r="P70" s="1135"/>
      <c r="Q70" s="1135"/>
      <c r="R70" s="1135"/>
      <c r="S70" s="1135"/>
      <c r="T70" s="1135"/>
      <c r="U70" s="1135"/>
      <c r="V70" s="1135"/>
      <c r="W70" s="1135"/>
      <c r="X70" s="1135"/>
      <c r="Y70" s="1135"/>
      <c r="Z70" s="1135"/>
      <c r="AA70" s="1135"/>
      <c r="AB70" s="1135"/>
      <c r="AC70" s="1135"/>
      <c r="AD70" s="1136"/>
      <c r="AE70" s="575"/>
      <c r="AF70" s="318"/>
      <c r="AG70" s="318"/>
      <c r="AH70" s="92"/>
      <c r="AI70" s="138"/>
      <c r="AP70" s="83"/>
    </row>
    <row r="71" spans="1:42" s="80" customFormat="1" ht="15" customHeight="1">
      <c r="A71" s="997"/>
      <c r="B71" s="998"/>
      <c r="C71" s="998"/>
      <c r="D71" s="998"/>
      <c r="E71" s="999"/>
      <c r="F71" s="1003" t="s">
        <v>230</v>
      </c>
      <c r="G71" s="1004"/>
      <c r="H71" s="1004"/>
      <c r="I71" s="1004"/>
      <c r="J71" s="1004"/>
      <c r="K71" s="1004"/>
      <c r="L71" s="1004"/>
      <c r="M71" s="1004"/>
      <c r="N71" s="1004"/>
      <c r="O71" s="1004"/>
      <c r="P71" s="1004"/>
      <c r="Q71" s="1004"/>
      <c r="R71" s="1004"/>
      <c r="S71" s="1004"/>
      <c r="T71" s="1004"/>
      <c r="U71" s="1004"/>
      <c r="V71" s="1004"/>
      <c r="W71" s="1004"/>
      <c r="X71" s="1004"/>
      <c r="Y71" s="1004"/>
      <c r="Z71" s="1004"/>
      <c r="AA71" s="1004"/>
      <c r="AB71" s="1004"/>
      <c r="AC71" s="1004"/>
      <c r="AD71" s="1005"/>
      <c r="AE71" s="318"/>
      <c r="AF71" s="318"/>
      <c r="AG71" s="318"/>
      <c r="AP71" s="83"/>
    </row>
    <row r="72" spans="1:42" s="80" customFormat="1" ht="24.95" customHeight="1">
      <c r="A72" s="1137" t="s">
        <v>228</v>
      </c>
      <c r="B72" s="1137"/>
      <c r="C72" s="1137"/>
      <c r="D72" s="1137"/>
      <c r="E72" s="1137"/>
      <c r="F72" s="1137"/>
      <c r="G72" s="1137"/>
      <c r="H72" s="1137"/>
      <c r="I72" s="1137"/>
      <c r="J72" s="1137"/>
      <c r="K72" s="1137"/>
      <c r="L72" s="1137"/>
      <c r="M72" s="1137"/>
      <c r="N72" s="1137"/>
      <c r="O72" s="1137"/>
      <c r="P72" s="1137"/>
      <c r="Q72" s="1137"/>
      <c r="R72" s="1137"/>
      <c r="S72" s="1137"/>
      <c r="T72" s="1137"/>
      <c r="U72" s="1137"/>
      <c r="V72" s="1137"/>
      <c r="W72" s="1137"/>
      <c r="X72" s="1137"/>
      <c r="Y72" s="1137"/>
      <c r="Z72" s="1137"/>
      <c r="AA72" s="1137"/>
      <c r="AB72" s="1137"/>
      <c r="AC72" s="1137"/>
      <c r="AD72" s="1137"/>
      <c r="AE72" s="318"/>
      <c r="AF72" s="318"/>
      <c r="AG72" s="318"/>
      <c r="AP72" s="83"/>
    </row>
    <row r="73" spans="1:42" s="80" customFormat="1" ht="15" customHeight="1" thickBot="1">
      <c r="A73" s="318"/>
      <c r="B73" s="318"/>
      <c r="C73" s="318"/>
      <c r="D73" s="318"/>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318"/>
      <c r="AE73" s="318"/>
      <c r="AF73" s="318"/>
      <c r="AG73" s="318"/>
      <c r="AP73" s="83"/>
    </row>
    <row r="74" spans="1:42" s="80" customFormat="1" ht="15" customHeight="1" thickBot="1">
      <c r="A74" s="592" t="s">
        <v>118</v>
      </c>
      <c r="B74" s="318"/>
      <c r="C74" s="318"/>
      <c r="D74" s="318"/>
      <c r="E74" s="318"/>
      <c r="F74" s="593"/>
      <c r="G74" s="593"/>
      <c r="H74" s="593"/>
      <c r="I74" s="594"/>
      <c r="J74" s="981" t="str">
        <f>IF(AND(AI75,AI77),"○","×")</f>
        <v>×</v>
      </c>
      <c r="K74" s="982"/>
      <c r="L74" s="982"/>
      <c r="M74" s="982"/>
      <c r="N74" s="983"/>
      <c r="O74" s="969" t="s">
        <v>208</v>
      </c>
      <c r="P74" s="970"/>
      <c r="Q74" s="970"/>
      <c r="R74" s="318"/>
      <c r="S74" s="318"/>
      <c r="T74" s="318"/>
      <c r="U74" s="318"/>
      <c r="V74" s="575"/>
      <c r="W74" s="575"/>
      <c r="X74" s="575"/>
      <c r="Y74" s="575"/>
      <c r="Z74" s="575"/>
      <c r="AA74" s="575"/>
      <c r="AB74" s="575"/>
      <c r="AC74" s="575"/>
      <c r="AD74" s="575"/>
      <c r="AE74" s="318"/>
      <c r="AF74" s="318"/>
      <c r="AG74" s="318"/>
      <c r="AP74" s="83"/>
    </row>
    <row r="75" spans="1:42" s="80" customFormat="1" ht="15" customHeight="1">
      <c r="A75" s="963" t="s">
        <v>78</v>
      </c>
      <c r="B75" s="964"/>
      <c r="C75" s="964"/>
      <c r="D75" s="964"/>
      <c r="E75" s="965"/>
      <c r="F75" s="972"/>
      <c r="G75" s="973"/>
      <c r="H75" s="973"/>
      <c r="I75" s="973"/>
      <c r="J75" s="973"/>
      <c r="K75" s="974"/>
      <c r="L75" s="318"/>
      <c r="M75" s="318"/>
      <c r="N75" s="318"/>
      <c r="O75" s="318"/>
      <c r="P75" s="318"/>
      <c r="Q75" s="318"/>
      <c r="R75" s="318"/>
      <c r="S75" s="318"/>
      <c r="T75" s="318"/>
      <c r="U75" s="318"/>
      <c r="V75" s="736"/>
      <c r="W75" s="736"/>
      <c r="X75" s="736"/>
      <c r="Y75" s="736"/>
      <c r="Z75" s="736"/>
      <c r="AA75" s="736"/>
      <c r="AB75" s="736"/>
      <c r="AC75" s="736"/>
      <c r="AD75" s="736"/>
      <c r="AE75" s="575"/>
      <c r="AF75" s="318"/>
      <c r="AG75" s="318"/>
      <c r="AH75" s="92"/>
      <c r="AI75" s="744" t="b">
        <f>F75="申請する"</f>
        <v>0</v>
      </c>
      <c r="AP75" s="83"/>
    </row>
    <row r="76" spans="1:42" s="92" customFormat="1" ht="15" customHeight="1">
      <c r="A76" s="1130" t="s">
        <v>229</v>
      </c>
      <c r="B76" s="1063"/>
      <c r="C76" s="1063"/>
      <c r="D76" s="1063"/>
      <c r="E76" s="1063"/>
      <c r="F76" s="964" t="s">
        <v>61</v>
      </c>
      <c r="G76" s="964"/>
      <c r="H76" s="964"/>
      <c r="I76" s="964"/>
      <c r="J76" s="964"/>
      <c r="K76" s="964"/>
      <c r="L76" s="964"/>
      <c r="M76" s="964"/>
      <c r="N76" s="964"/>
      <c r="O76" s="964"/>
      <c r="P76" s="964"/>
      <c r="Q76" s="964"/>
      <c r="R76" s="964"/>
      <c r="S76" s="964"/>
      <c r="T76" s="964"/>
      <c r="U76" s="964"/>
      <c r="V76" s="964"/>
      <c r="W76" s="964"/>
      <c r="X76" s="964"/>
      <c r="Y76" s="964"/>
      <c r="Z76" s="965"/>
      <c r="AA76" s="963" t="s">
        <v>210</v>
      </c>
      <c r="AB76" s="964"/>
      <c r="AC76" s="964"/>
      <c r="AD76" s="965"/>
      <c r="AE76" s="595"/>
      <c r="AF76" s="595"/>
      <c r="AG76" s="595"/>
    </row>
    <row r="77" spans="1:42" s="92" customFormat="1" ht="15" customHeight="1">
      <c r="A77" s="1066"/>
      <c r="B77" s="1067"/>
      <c r="C77" s="1067"/>
      <c r="D77" s="1067"/>
      <c r="E77" s="1067"/>
      <c r="F77" s="1131" t="s">
        <v>359</v>
      </c>
      <c r="G77" s="1132"/>
      <c r="H77" s="1132"/>
      <c r="I77" s="1132"/>
      <c r="J77" s="1132"/>
      <c r="K77" s="1132"/>
      <c r="L77" s="1132"/>
      <c r="M77" s="1132"/>
      <c r="N77" s="1132"/>
      <c r="O77" s="1132"/>
      <c r="P77" s="1132"/>
      <c r="Q77" s="1132"/>
      <c r="R77" s="1132"/>
      <c r="S77" s="1132"/>
      <c r="T77" s="1132"/>
      <c r="U77" s="1132"/>
      <c r="V77" s="1132"/>
      <c r="W77" s="1132"/>
      <c r="X77" s="1132"/>
      <c r="Y77" s="1132"/>
      <c r="Z77" s="1133"/>
      <c r="AA77" s="1041" t="str">
        <f>【様式５】職員数算出表!O36</f>
        <v>-</v>
      </c>
      <c r="AB77" s="1042"/>
      <c r="AC77" s="1042"/>
      <c r="AD77" s="1043"/>
      <c r="AE77" s="595"/>
      <c r="AF77" s="595"/>
      <c r="AG77" s="595"/>
      <c r="AI77" s="744" t="b">
        <f>AA77="○"</f>
        <v>0</v>
      </c>
    </row>
    <row r="78" spans="1:42" s="80" customFormat="1" ht="15" customHeight="1">
      <c r="A78" s="971" t="s">
        <v>34</v>
      </c>
      <c r="B78" s="971"/>
      <c r="C78" s="971"/>
      <c r="D78" s="971"/>
      <c r="E78" s="971"/>
      <c r="F78" s="978" t="s">
        <v>358</v>
      </c>
      <c r="G78" s="979"/>
      <c r="H78" s="979"/>
      <c r="I78" s="979"/>
      <c r="J78" s="979"/>
      <c r="K78" s="979"/>
      <c r="L78" s="979"/>
      <c r="M78" s="979"/>
      <c r="N78" s="979"/>
      <c r="O78" s="979"/>
      <c r="P78" s="979"/>
      <c r="Q78" s="979"/>
      <c r="R78" s="979"/>
      <c r="S78" s="979"/>
      <c r="T78" s="979"/>
      <c r="U78" s="979"/>
      <c r="V78" s="979"/>
      <c r="W78" s="979"/>
      <c r="X78" s="979"/>
      <c r="Y78" s="979"/>
      <c r="Z78" s="979"/>
      <c r="AA78" s="979"/>
      <c r="AB78" s="979"/>
      <c r="AC78" s="979"/>
      <c r="AD78" s="980"/>
      <c r="AE78" s="318"/>
      <c r="AF78" s="318"/>
      <c r="AG78" s="318"/>
      <c r="AP78" s="83"/>
    </row>
    <row r="79" spans="1:42" s="80" customFormat="1" ht="15" customHeight="1">
      <c r="A79" s="1034" t="s">
        <v>651</v>
      </c>
      <c r="B79" s="1034"/>
      <c r="C79" s="1034"/>
      <c r="D79" s="1034"/>
      <c r="E79" s="1034"/>
      <c r="F79" s="1034"/>
      <c r="G79" s="1034"/>
      <c r="H79" s="1034"/>
      <c r="I79" s="1034"/>
      <c r="J79" s="1034"/>
      <c r="K79" s="1034"/>
      <c r="L79" s="1034"/>
      <c r="M79" s="1034"/>
      <c r="N79" s="1034"/>
      <c r="O79" s="1034"/>
      <c r="P79" s="1034"/>
      <c r="Q79" s="1034"/>
      <c r="R79" s="1034"/>
      <c r="S79" s="1034"/>
      <c r="T79" s="1034"/>
      <c r="U79" s="1034"/>
      <c r="V79" s="1034"/>
      <c r="W79" s="1034"/>
      <c r="X79" s="1034"/>
      <c r="Y79" s="1034"/>
      <c r="Z79" s="1034"/>
      <c r="AA79" s="1034"/>
      <c r="AB79" s="1034"/>
      <c r="AC79" s="1034"/>
      <c r="AD79" s="1034"/>
      <c r="AE79" s="1034"/>
      <c r="AF79" s="1034"/>
      <c r="AG79" s="1034"/>
      <c r="AP79" s="83"/>
    </row>
    <row r="80" spans="1:42" s="80" customFormat="1" ht="15" customHeight="1">
      <c r="A80" s="1034"/>
      <c r="B80" s="1034"/>
      <c r="C80" s="1034"/>
      <c r="D80" s="1034"/>
      <c r="E80" s="1034"/>
      <c r="F80" s="1034"/>
      <c r="G80" s="1034"/>
      <c r="H80" s="1034"/>
      <c r="I80" s="1034"/>
      <c r="J80" s="1034"/>
      <c r="K80" s="1034"/>
      <c r="L80" s="1034"/>
      <c r="M80" s="1034"/>
      <c r="N80" s="1034"/>
      <c r="O80" s="1034"/>
      <c r="P80" s="1034"/>
      <c r="Q80" s="1034"/>
      <c r="R80" s="1034"/>
      <c r="S80" s="1034"/>
      <c r="T80" s="1034"/>
      <c r="U80" s="1034"/>
      <c r="V80" s="1034"/>
      <c r="W80" s="1034"/>
      <c r="X80" s="1034"/>
      <c r="Y80" s="1034"/>
      <c r="Z80" s="1034"/>
      <c r="AA80" s="1034"/>
      <c r="AB80" s="1034"/>
      <c r="AC80" s="1034"/>
      <c r="AD80" s="1034"/>
      <c r="AE80" s="1034"/>
      <c r="AF80" s="1034"/>
      <c r="AG80" s="1034"/>
      <c r="AP80" s="83"/>
    </row>
    <row r="81" spans="1:42" s="80" customFormat="1" ht="15" customHeight="1" thickBot="1">
      <c r="A81" s="318"/>
      <c r="B81" s="318"/>
      <c r="C81" s="318"/>
      <c r="D81" s="318"/>
      <c r="E81" s="318"/>
      <c r="F81" s="318"/>
      <c r="G81" s="318"/>
      <c r="H81" s="318"/>
      <c r="I81" s="318"/>
      <c r="J81" s="318"/>
      <c r="K81" s="318"/>
      <c r="L81" s="318"/>
      <c r="M81" s="318"/>
      <c r="N81" s="318"/>
      <c r="O81" s="318"/>
      <c r="P81" s="318"/>
      <c r="Q81" s="318"/>
      <c r="R81" s="318"/>
      <c r="S81" s="318"/>
      <c r="T81" s="318"/>
      <c r="U81" s="318"/>
      <c r="V81" s="318"/>
      <c r="W81" s="318"/>
      <c r="X81" s="318"/>
      <c r="Y81" s="318"/>
      <c r="Z81" s="318"/>
      <c r="AA81" s="318"/>
      <c r="AB81" s="318"/>
      <c r="AC81" s="318"/>
      <c r="AD81" s="318"/>
      <c r="AE81" s="318"/>
      <c r="AF81" s="318"/>
      <c r="AG81" s="318"/>
      <c r="AP81" s="83"/>
    </row>
    <row r="82" spans="1:42" s="80" customFormat="1" ht="15" customHeight="1" thickBot="1">
      <c r="A82" s="592" t="s">
        <v>119</v>
      </c>
      <c r="B82" s="318"/>
      <c r="C82" s="318"/>
      <c r="D82" s="318"/>
      <c r="E82" s="318"/>
      <c r="F82" s="593"/>
      <c r="G82" s="593"/>
      <c r="H82" s="593"/>
      <c r="I82" s="594"/>
      <c r="J82" s="981" t="str">
        <f>IF(AND(AI83,AI85,AI97),"○","×")</f>
        <v>×</v>
      </c>
      <c r="K82" s="982"/>
      <c r="L82" s="982"/>
      <c r="M82" s="982"/>
      <c r="N82" s="983"/>
      <c r="O82" s="969" t="s">
        <v>208</v>
      </c>
      <c r="P82" s="970"/>
      <c r="Q82" s="970"/>
      <c r="R82" s="318"/>
      <c r="S82" s="318"/>
      <c r="T82" s="318"/>
      <c r="U82" s="318"/>
      <c r="V82" s="575"/>
      <c r="W82" s="575"/>
      <c r="X82" s="575"/>
      <c r="Y82" s="575"/>
      <c r="Z82" s="575"/>
      <c r="AA82" s="575"/>
      <c r="AB82" s="575"/>
      <c r="AC82" s="575"/>
      <c r="AD82" s="575"/>
      <c r="AE82" s="575"/>
      <c r="AF82" s="318"/>
      <c r="AG82" s="318"/>
      <c r="AP82" s="83"/>
    </row>
    <row r="83" spans="1:42" s="80" customFormat="1" ht="15" customHeight="1">
      <c r="A83" s="975" t="s">
        <v>78</v>
      </c>
      <c r="B83" s="976"/>
      <c r="C83" s="976"/>
      <c r="D83" s="976"/>
      <c r="E83" s="977"/>
      <c r="F83" s="972"/>
      <c r="G83" s="973"/>
      <c r="H83" s="973"/>
      <c r="I83" s="973"/>
      <c r="J83" s="973"/>
      <c r="K83" s="974"/>
      <c r="L83" s="318"/>
      <c r="M83" s="318"/>
      <c r="N83" s="318"/>
      <c r="O83" s="318"/>
      <c r="P83" s="318"/>
      <c r="Q83" s="318"/>
      <c r="R83" s="318"/>
      <c r="S83" s="318"/>
      <c r="T83" s="318"/>
      <c r="U83" s="318"/>
      <c r="V83" s="736"/>
      <c r="W83" s="736"/>
      <c r="X83" s="736"/>
      <c r="Y83" s="736"/>
      <c r="Z83" s="736"/>
      <c r="AA83" s="736"/>
      <c r="AB83" s="736"/>
      <c r="AC83" s="736"/>
      <c r="AD83" s="736"/>
      <c r="AE83" s="575"/>
      <c r="AF83" s="318"/>
      <c r="AG83" s="318"/>
      <c r="AH83" s="92"/>
      <c r="AI83" s="744" t="b">
        <f>F83="申請する"</f>
        <v>0</v>
      </c>
      <c r="AP83" s="83"/>
    </row>
    <row r="84" spans="1:42" ht="15" customHeight="1">
      <c r="A84" s="1062" t="s">
        <v>255</v>
      </c>
      <c r="B84" s="1063"/>
      <c r="C84" s="1063"/>
      <c r="D84" s="1063"/>
      <c r="E84" s="1063"/>
      <c r="F84" s="964" t="s">
        <v>61</v>
      </c>
      <c r="G84" s="964"/>
      <c r="H84" s="964"/>
      <c r="I84" s="964"/>
      <c r="J84" s="964"/>
      <c r="K84" s="964"/>
      <c r="L84" s="964"/>
      <c r="M84" s="964"/>
      <c r="N84" s="964"/>
      <c r="O84" s="964"/>
      <c r="P84" s="964"/>
      <c r="Q84" s="964"/>
      <c r="R84" s="964"/>
      <c r="S84" s="964"/>
      <c r="T84" s="964"/>
      <c r="U84" s="964"/>
      <c r="V84" s="964"/>
      <c r="W84" s="964"/>
      <c r="X84" s="964"/>
      <c r="Y84" s="964"/>
      <c r="Z84" s="965"/>
      <c r="AA84" s="963" t="s">
        <v>210</v>
      </c>
      <c r="AB84" s="964"/>
      <c r="AC84" s="964"/>
      <c r="AD84" s="965"/>
      <c r="AE84" s="595"/>
      <c r="AF84" s="595"/>
      <c r="AG84" s="595"/>
      <c r="AH84" s="92"/>
      <c r="AI84" s="92"/>
      <c r="AJ84" s="80"/>
      <c r="AK84" s="80"/>
      <c r="AL84" s="80"/>
    </row>
    <row r="85" spans="1:42" s="80" customFormat="1" ht="15" customHeight="1">
      <c r="A85" s="1064"/>
      <c r="B85" s="1065"/>
      <c r="C85" s="1065"/>
      <c r="D85" s="1065"/>
      <c r="E85" s="1065"/>
      <c r="F85" s="731">
        <v>1</v>
      </c>
      <c r="G85" s="1135" t="s">
        <v>248</v>
      </c>
      <c r="H85" s="1135"/>
      <c r="I85" s="1135"/>
      <c r="J85" s="1135"/>
      <c r="K85" s="1135"/>
      <c r="L85" s="1135"/>
      <c r="M85" s="1135"/>
      <c r="N85" s="1135"/>
      <c r="O85" s="1135"/>
      <c r="P85" s="1135"/>
      <c r="Q85" s="1135"/>
      <c r="R85" s="1135"/>
      <c r="S85" s="1135"/>
      <c r="T85" s="1135"/>
      <c r="U85" s="1135"/>
      <c r="V85" s="1135"/>
      <c r="W85" s="1135"/>
      <c r="X85" s="1135"/>
      <c r="Y85" s="1135"/>
      <c r="Z85" s="1136"/>
      <c r="AA85" s="1130" t="str">
        <f>IF(OR(AI86,AI93),"○","×")</f>
        <v>×</v>
      </c>
      <c r="AB85" s="1063"/>
      <c r="AC85" s="1063"/>
      <c r="AD85" s="1147"/>
      <c r="AE85" s="595"/>
      <c r="AF85" s="595"/>
      <c r="AG85" s="595"/>
      <c r="AH85" s="92"/>
      <c r="AI85" s="744" t="b">
        <f t="shared" ref="AI85:AI102" si="4">AA85="○"</f>
        <v>0</v>
      </c>
      <c r="AJ85" s="92"/>
      <c r="AK85" s="92"/>
      <c r="AL85" s="92"/>
      <c r="AP85" s="83"/>
    </row>
    <row r="86" spans="1:42" s="80" customFormat="1" ht="15" customHeight="1">
      <c r="A86" s="1064"/>
      <c r="B86" s="1065"/>
      <c r="C86" s="1065"/>
      <c r="D86" s="1065"/>
      <c r="E86" s="1065"/>
      <c r="F86" s="1148" t="s">
        <v>231</v>
      </c>
      <c r="G86" s="1149"/>
      <c r="H86" s="1150" t="s">
        <v>245</v>
      </c>
      <c r="I86" s="1150"/>
      <c r="J86" s="1150"/>
      <c r="K86" s="1150"/>
      <c r="L86" s="1150"/>
      <c r="M86" s="1150"/>
      <c r="N86" s="1150"/>
      <c r="O86" s="1150"/>
      <c r="P86" s="1150"/>
      <c r="Q86" s="1150"/>
      <c r="R86" s="1150"/>
      <c r="S86" s="1150"/>
      <c r="T86" s="1150"/>
      <c r="U86" s="1150"/>
      <c r="V86" s="1150"/>
      <c r="W86" s="1150"/>
      <c r="X86" s="1150"/>
      <c r="Y86" s="1150"/>
      <c r="Z86" s="1150"/>
      <c r="AA86" s="1148" t="str">
        <f>IF(AND(AI87,AI88,AI89,AI90,AI91,AI92),"○","×")</f>
        <v>×</v>
      </c>
      <c r="AB86" s="1149"/>
      <c r="AC86" s="1149"/>
      <c r="AD86" s="1155"/>
      <c r="AE86" s="595"/>
      <c r="AF86" s="595"/>
      <c r="AG86" s="595"/>
      <c r="AH86" s="92"/>
      <c r="AI86" s="744" t="b">
        <f t="shared" si="4"/>
        <v>0</v>
      </c>
      <c r="AJ86" s="92"/>
      <c r="AK86" s="92"/>
      <c r="AL86" s="92"/>
      <c r="AP86" s="83"/>
    </row>
    <row r="87" spans="1:42" s="80" customFormat="1" ht="24.95" customHeight="1">
      <c r="A87" s="1064"/>
      <c r="B87" s="1065"/>
      <c r="C87" s="1065"/>
      <c r="D87" s="1065"/>
      <c r="E87" s="1065"/>
      <c r="F87" s="1151" t="s">
        <v>232</v>
      </c>
      <c r="G87" s="1152"/>
      <c r="H87" s="1152"/>
      <c r="I87" s="1153" t="s">
        <v>366</v>
      </c>
      <c r="J87" s="1153"/>
      <c r="K87" s="1153"/>
      <c r="L87" s="1153"/>
      <c r="M87" s="1153"/>
      <c r="N87" s="1153"/>
      <c r="O87" s="1153"/>
      <c r="P87" s="1153"/>
      <c r="Q87" s="1153"/>
      <c r="R87" s="1153"/>
      <c r="S87" s="1153"/>
      <c r="T87" s="1153"/>
      <c r="U87" s="1153"/>
      <c r="V87" s="1153"/>
      <c r="W87" s="1153"/>
      <c r="X87" s="1153"/>
      <c r="Y87" s="1153"/>
      <c r="Z87" s="1154"/>
      <c r="AA87" s="1156"/>
      <c r="AB87" s="1157"/>
      <c r="AC87" s="1157"/>
      <c r="AD87" s="1158"/>
      <c r="AE87" s="595"/>
      <c r="AF87" s="595"/>
      <c r="AG87" s="595"/>
      <c r="AH87" s="92"/>
      <c r="AI87" s="744" t="b">
        <f t="shared" si="4"/>
        <v>0</v>
      </c>
      <c r="AJ87" s="92"/>
      <c r="AK87" s="92"/>
      <c r="AL87" s="92"/>
      <c r="AP87" s="83"/>
    </row>
    <row r="88" spans="1:42" s="80" customFormat="1" ht="15" customHeight="1">
      <c r="A88" s="1064"/>
      <c r="B88" s="1065"/>
      <c r="C88" s="1065"/>
      <c r="D88" s="1065"/>
      <c r="E88" s="1065"/>
      <c r="F88" s="1139" t="s">
        <v>233</v>
      </c>
      <c r="G88" s="1140"/>
      <c r="H88" s="1140"/>
      <c r="I88" s="1141" t="s">
        <v>234</v>
      </c>
      <c r="J88" s="1141"/>
      <c r="K88" s="1141"/>
      <c r="L88" s="1141"/>
      <c r="M88" s="1141"/>
      <c r="N88" s="1141"/>
      <c r="O88" s="1141"/>
      <c r="P88" s="1141"/>
      <c r="Q88" s="1141"/>
      <c r="R88" s="1141"/>
      <c r="S88" s="1141"/>
      <c r="T88" s="1141"/>
      <c r="U88" s="1141"/>
      <c r="V88" s="1141"/>
      <c r="W88" s="1141"/>
      <c r="X88" s="1141"/>
      <c r="Y88" s="1141"/>
      <c r="Z88" s="1142"/>
      <c r="AA88" s="1059"/>
      <c r="AB88" s="1060"/>
      <c r="AC88" s="1060"/>
      <c r="AD88" s="1061"/>
      <c r="AE88" s="595"/>
      <c r="AF88" s="595"/>
      <c r="AG88" s="595"/>
      <c r="AH88" s="92"/>
      <c r="AI88" s="744" t="b">
        <f t="shared" si="4"/>
        <v>0</v>
      </c>
      <c r="AJ88" s="92"/>
      <c r="AK88" s="92"/>
      <c r="AL88" s="92"/>
      <c r="AP88" s="83"/>
    </row>
    <row r="89" spans="1:42" s="80" customFormat="1" ht="24.95" customHeight="1">
      <c r="A89" s="1064"/>
      <c r="B89" s="1065"/>
      <c r="C89" s="1065"/>
      <c r="D89" s="1065"/>
      <c r="E89" s="1065"/>
      <c r="F89" s="1139" t="s">
        <v>235</v>
      </c>
      <c r="G89" s="1140"/>
      <c r="H89" s="1140"/>
      <c r="I89" s="1141" t="s">
        <v>236</v>
      </c>
      <c r="J89" s="1141"/>
      <c r="K89" s="1141"/>
      <c r="L89" s="1141"/>
      <c r="M89" s="1141"/>
      <c r="N89" s="1141"/>
      <c r="O89" s="1141"/>
      <c r="P89" s="1141"/>
      <c r="Q89" s="1141"/>
      <c r="R89" s="1141"/>
      <c r="S89" s="1141"/>
      <c r="T89" s="1141"/>
      <c r="U89" s="1141"/>
      <c r="V89" s="1141"/>
      <c r="W89" s="1141"/>
      <c r="X89" s="1141"/>
      <c r="Y89" s="1141"/>
      <c r="Z89" s="1142"/>
      <c r="AA89" s="1059"/>
      <c r="AB89" s="1060"/>
      <c r="AC89" s="1060"/>
      <c r="AD89" s="1061"/>
      <c r="AE89" s="595"/>
      <c r="AF89" s="595"/>
      <c r="AG89" s="595"/>
      <c r="AH89" s="92"/>
      <c r="AI89" s="744" t="b">
        <f t="shared" si="4"/>
        <v>0</v>
      </c>
      <c r="AJ89" s="92"/>
      <c r="AK89" s="92"/>
      <c r="AL89" s="92"/>
      <c r="AP89" s="83"/>
    </row>
    <row r="90" spans="1:42" s="80" customFormat="1" ht="24.95" customHeight="1">
      <c r="A90" s="1064"/>
      <c r="B90" s="1065"/>
      <c r="C90" s="1065"/>
      <c r="D90" s="1065"/>
      <c r="E90" s="1065"/>
      <c r="F90" s="1139" t="s">
        <v>237</v>
      </c>
      <c r="G90" s="1140"/>
      <c r="H90" s="1140"/>
      <c r="I90" s="1141" t="s">
        <v>238</v>
      </c>
      <c r="J90" s="1141"/>
      <c r="K90" s="1141"/>
      <c r="L90" s="1141"/>
      <c r="M90" s="1141"/>
      <c r="N90" s="1141"/>
      <c r="O90" s="1141"/>
      <c r="P90" s="1141"/>
      <c r="Q90" s="1141"/>
      <c r="R90" s="1141"/>
      <c r="S90" s="1141"/>
      <c r="T90" s="1141"/>
      <c r="U90" s="1141"/>
      <c r="V90" s="1141"/>
      <c r="W90" s="1141"/>
      <c r="X90" s="1141"/>
      <c r="Y90" s="1141"/>
      <c r="Z90" s="1142"/>
      <c r="AA90" s="1059"/>
      <c r="AB90" s="1060"/>
      <c r="AC90" s="1060"/>
      <c r="AD90" s="1061"/>
      <c r="AE90" s="595"/>
      <c r="AF90" s="595"/>
      <c r="AG90" s="595"/>
      <c r="AH90" s="92"/>
      <c r="AI90" s="744" t="b">
        <f t="shared" si="4"/>
        <v>0</v>
      </c>
      <c r="AJ90" s="92"/>
      <c r="AK90" s="92"/>
      <c r="AL90" s="92"/>
      <c r="AP90" s="83"/>
    </row>
    <row r="91" spans="1:42" s="80" customFormat="1" ht="39.950000000000003" customHeight="1">
      <c r="A91" s="1064"/>
      <c r="B91" s="1065"/>
      <c r="C91" s="1065"/>
      <c r="D91" s="1065"/>
      <c r="E91" s="1065"/>
      <c r="F91" s="1139" t="s">
        <v>240</v>
      </c>
      <c r="G91" s="1140"/>
      <c r="H91" s="1140"/>
      <c r="I91" s="1141" t="s">
        <v>241</v>
      </c>
      <c r="J91" s="1141"/>
      <c r="K91" s="1141"/>
      <c r="L91" s="1141"/>
      <c r="M91" s="1141"/>
      <c r="N91" s="1141"/>
      <c r="O91" s="1141"/>
      <c r="P91" s="1141"/>
      <c r="Q91" s="1141"/>
      <c r="R91" s="1141"/>
      <c r="S91" s="1141"/>
      <c r="T91" s="1141"/>
      <c r="U91" s="1141"/>
      <c r="V91" s="1141"/>
      <c r="W91" s="1141"/>
      <c r="X91" s="1141"/>
      <c r="Y91" s="1141"/>
      <c r="Z91" s="1142"/>
      <c r="AA91" s="1059"/>
      <c r="AB91" s="1060"/>
      <c r="AC91" s="1060"/>
      <c r="AD91" s="1061"/>
      <c r="AE91" s="595"/>
      <c r="AF91" s="595"/>
      <c r="AG91" s="595"/>
      <c r="AH91" s="92"/>
      <c r="AI91" s="744" t="b">
        <f t="shared" si="4"/>
        <v>0</v>
      </c>
      <c r="AJ91" s="92"/>
      <c r="AK91" s="92"/>
      <c r="AL91" s="92"/>
      <c r="AP91" s="83"/>
    </row>
    <row r="92" spans="1:42" s="80" customFormat="1" ht="15" customHeight="1">
      <c r="A92" s="1064"/>
      <c r="B92" s="1065"/>
      <c r="C92" s="1065"/>
      <c r="D92" s="1065"/>
      <c r="E92" s="1065"/>
      <c r="F92" s="1143" t="s">
        <v>242</v>
      </c>
      <c r="G92" s="1144"/>
      <c r="H92" s="1144"/>
      <c r="I92" s="1145" t="s">
        <v>243</v>
      </c>
      <c r="J92" s="1145"/>
      <c r="K92" s="1145"/>
      <c r="L92" s="1145"/>
      <c r="M92" s="1145"/>
      <c r="N92" s="1145"/>
      <c r="O92" s="1145"/>
      <c r="P92" s="1145"/>
      <c r="Q92" s="1145"/>
      <c r="R92" s="1145"/>
      <c r="S92" s="1145"/>
      <c r="T92" s="1145"/>
      <c r="U92" s="1145"/>
      <c r="V92" s="1145"/>
      <c r="W92" s="1145"/>
      <c r="X92" s="1145"/>
      <c r="Y92" s="1145"/>
      <c r="Z92" s="1146"/>
      <c r="AA92" s="1237"/>
      <c r="AB92" s="1238"/>
      <c r="AC92" s="1238"/>
      <c r="AD92" s="1239"/>
      <c r="AE92" s="595"/>
      <c r="AF92" s="595"/>
      <c r="AG92" s="595"/>
      <c r="AH92" s="92"/>
      <c r="AI92" s="744" t="b">
        <f t="shared" si="4"/>
        <v>0</v>
      </c>
      <c r="AJ92" s="92"/>
      <c r="AK92" s="92"/>
      <c r="AL92" s="92"/>
      <c r="AP92" s="83"/>
    </row>
    <row r="93" spans="1:42" s="80" customFormat="1" ht="15" customHeight="1">
      <c r="A93" s="1064"/>
      <c r="B93" s="1065"/>
      <c r="C93" s="1065"/>
      <c r="D93" s="1065"/>
      <c r="E93" s="1065"/>
      <c r="F93" s="1215" t="s">
        <v>50</v>
      </c>
      <c r="G93" s="1216"/>
      <c r="H93" s="1217" t="s">
        <v>244</v>
      </c>
      <c r="I93" s="1217"/>
      <c r="J93" s="1217"/>
      <c r="K93" s="1217"/>
      <c r="L93" s="1217"/>
      <c r="M93" s="1217"/>
      <c r="N93" s="1217"/>
      <c r="O93" s="1217"/>
      <c r="P93" s="1217"/>
      <c r="Q93" s="1217"/>
      <c r="R93" s="1217"/>
      <c r="S93" s="1217"/>
      <c r="T93" s="1217"/>
      <c r="U93" s="1217"/>
      <c r="V93" s="1217"/>
      <c r="W93" s="1217"/>
      <c r="X93" s="1217"/>
      <c r="Y93" s="1217"/>
      <c r="Z93" s="1217"/>
      <c r="AA93" s="1215" t="str">
        <f>IF(AND(AI94,AI95,AI96),"○","×")</f>
        <v>×</v>
      </c>
      <c r="AB93" s="1216"/>
      <c r="AC93" s="1216"/>
      <c r="AD93" s="1240"/>
      <c r="AE93" s="595"/>
      <c r="AF93" s="595"/>
      <c r="AG93" s="595"/>
      <c r="AH93" s="92"/>
      <c r="AI93" s="744" t="b">
        <f t="shared" si="4"/>
        <v>0</v>
      </c>
      <c r="AJ93" s="92"/>
      <c r="AK93" s="92"/>
      <c r="AL93" s="92"/>
      <c r="AP93" s="83"/>
    </row>
    <row r="94" spans="1:42" s="80" customFormat="1" ht="24.95" customHeight="1">
      <c r="A94" s="1064"/>
      <c r="B94" s="1065"/>
      <c r="C94" s="1065"/>
      <c r="D94" s="1065"/>
      <c r="E94" s="1065"/>
      <c r="F94" s="1139" t="s">
        <v>232</v>
      </c>
      <c r="G94" s="1140"/>
      <c r="H94" s="1140"/>
      <c r="I94" s="1141" t="s">
        <v>246</v>
      </c>
      <c r="J94" s="1141"/>
      <c r="K94" s="1141"/>
      <c r="L94" s="1141"/>
      <c r="M94" s="1141"/>
      <c r="N94" s="1141"/>
      <c r="O94" s="1141"/>
      <c r="P94" s="1141"/>
      <c r="Q94" s="1141"/>
      <c r="R94" s="1141"/>
      <c r="S94" s="1141"/>
      <c r="T94" s="1141"/>
      <c r="U94" s="1141"/>
      <c r="V94" s="1141"/>
      <c r="W94" s="1141"/>
      <c r="X94" s="1141"/>
      <c r="Y94" s="1141"/>
      <c r="Z94" s="1141"/>
      <c r="AA94" s="1059"/>
      <c r="AB94" s="1060"/>
      <c r="AC94" s="1060"/>
      <c r="AD94" s="1061"/>
      <c r="AE94" s="595"/>
      <c r="AF94" s="595"/>
      <c r="AG94" s="595"/>
      <c r="AH94" s="92"/>
      <c r="AI94" s="744" t="b">
        <f t="shared" si="4"/>
        <v>0</v>
      </c>
      <c r="AJ94" s="92"/>
      <c r="AK94" s="92"/>
      <c r="AL94" s="92"/>
      <c r="AP94" s="83"/>
    </row>
    <row r="95" spans="1:42" s="80" customFormat="1" ht="39.950000000000003" customHeight="1">
      <c r="A95" s="1064"/>
      <c r="B95" s="1065"/>
      <c r="C95" s="1065"/>
      <c r="D95" s="1065"/>
      <c r="E95" s="1065"/>
      <c r="F95" s="1139" t="s">
        <v>233</v>
      </c>
      <c r="G95" s="1140"/>
      <c r="H95" s="1140"/>
      <c r="I95" s="1141" t="s">
        <v>253</v>
      </c>
      <c r="J95" s="1141"/>
      <c r="K95" s="1141"/>
      <c r="L95" s="1141"/>
      <c r="M95" s="1141"/>
      <c r="N95" s="1141"/>
      <c r="O95" s="1141"/>
      <c r="P95" s="1141"/>
      <c r="Q95" s="1141"/>
      <c r="R95" s="1141"/>
      <c r="S95" s="1141"/>
      <c r="T95" s="1141"/>
      <c r="U95" s="1141"/>
      <c r="V95" s="1141"/>
      <c r="W95" s="1141"/>
      <c r="X95" s="1141"/>
      <c r="Y95" s="1141"/>
      <c r="Z95" s="1141"/>
      <c r="AA95" s="1059"/>
      <c r="AB95" s="1060"/>
      <c r="AC95" s="1060"/>
      <c r="AD95" s="1061"/>
      <c r="AE95" s="595"/>
      <c r="AF95" s="595"/>
      <c r="AG95" s="595"/>
      <c r="AH95" s="92"/>
      <c r="AI95" s="744" t="b">
        <f t="shared" si="4"/>
        <v>0</v>
      </c>
      <c r="AJ95" s="92"/>
      <c r="AK95" s="92"/>
      <c r="AL95" s="92"/>
      <c r="AP95" s="83"/>
    </row>
    <row r="96" spans="1:42" s="80" customFormat="1" ht="24.95" customHeight="1">
      <c r="A96" s="1064"/>
      <c r="B96" s="1065"/>
      <c r="C96" s="1065"/>
      <c r="D96" s="1065"/>
      <c r="E96" s="1065"/>
      <c r="F96" s="1221" t="s">
        <v>247</v>
      </c>
      <c r="G96" s="1222"/>
      <c r="H96" s="1222"/>
      <c r="I96" s="1223" t="s">
        <v>254</v>
      </c>
      <c r="J96" s="1223"/>
      <c r="K96" s="1223"/>
      <c r="L96" s="1223"/>
      <c r="M96" s="1223"/>
      <c r="N96" s="1223"/>
      <c r="O96" s="1223"/>
      <c r="P96" s="1223"/>
      <c r="Q96" s="1223"/>
      <c r="R96" s="1223"/>
      <c r="S96" s="1223"/>
      <c r="T96" s="1223"/>
      <c r="U96" s="1223"/>
      <c r="V96" s="1223"/>
      <c r="W96" s="1223"/>
      <c r="X96" s="1223"/>
      <c r="Y96" s="1223"/>
      <c r="Z96" s="1223"/>
      <c r="AA96" s="1218"/>
      <c r="AB96" s="1219"/>
      <c r="AC96" s="1219"/>
      <c r="AD96" s="1220"/>
      <c r="AE96" s="595"/>
      <c r="AF96" s="595"/>
      <c r="AG96" s="595"/>
      <c r="AH96" s="92"/>
      <c r="AI96" s="744" t="b">
        <f t="shared" si="4"/>
        <v>0</v>
      </c>
      <c r="AJ96" s="92"/>
      <c r="AK96" s="92"/>
      <c r="AL96" s="92"/>
      <c r="AP96" s="83"/>
    </row>
    <row r="97" spans="1:42" s="80" customFormat="1" ht="15" customHeight="1">
      <c r="A97" s="1064"/>
      <c r="B97" s="1065"/>
      <c r="C97" s="1065"/>
      <c r="D97" s="1065"/>
      <c r="E97" s="1065"/>
      <c r="F97" s="731">
        <v>2</v>
      </c>
      <c r="G97" s="1135" t="s">
        <v>250</v>
      </c>
      <c r="H97" s="1135"/>
      <c r="I97" s="1135"/>
      <c r="J97" s="1135"/>
      <c r="K97" s="1135"/>
      <c r="L97" s="1135"/>
      <c r="M97" s="1135"/>
      <c r="N97" s="1135"/>
      <c r="O97" s="1135"/>
      <c r="P97" s="1135"/>
      <c r="Q97" s="1135"/>
      <c r="R97" s="1135"/>
      <c r="S97" s="1135"/>
      <c r="T97" s="1135"/>
      <c r="U97" s="1135"/>
      <c r="V97" s="1135"/>
      <c r="W97" s="1135"/>
      <c r="X97" s="1135"/>
      <c r="Y97" s="1135"/>
      <c r="Z97" s="1136"/>
      <c r="AA97" s="1063" t="str">
        <f>IF(AND(AI98,AI99,AI100,AI101,AI102),"○","×")</f>
        <v>×</v>
      </c>
      <c r="AB97" s="1063"/>
      <c r="AC97" s="1063"/>
      <c r="AD97" s="1147"/>
      <c r="AE97" s="595"/>
      <c r="AF97" s="595"/>
      <c r="AG97" s="595"/>
      <c r="AH97" s="92"/>
      <c r="AI97" s="744" t="b">
        <f t="shared" si="4"/>
        <v>0</v>
      </c>
      <c r="AJ97" s="92"/>
      <c r="AK97" s="92"/>
      <c r="AL97" s="92"/>
      <c r="AP97" s="83"/>
    </row>
    <row r="98" spans="1:42" s="80" customFormat="1" ht="24.95" customHeight="1">
      <c r="A98" s="1064"/>
      <c r="B98" s="1065"/>
      <c r="C98" s="1065"/>
      <c r="D98" s="1065"/>
      <c r="E98" s="1065"/>
      <c r="F98" s="1188" t="s">
        <v>91</v>
      </c>
      <c r="G98" s="1189"/>
      <c r="H98" s="1190" t="s">
        <v>249</v>
      </c>
      <c r="I98" s="1190"/>
      <c r="J98" s="1190"/>
      <c r="K98" s="1190"/>
      <c r="L98" s="1190"/>
      <c r="M98" s="1190"/>
      <c r="N98" s="1190"/>
      <c r="O98" s="1190"/>
      <c r="P98" s="1190"/>
      <c r="Q98" s="1190"/>
      <c r="R98" s="1190"/>
      <c r="S98" s="1190"/>
      <c r="T98" s="1190"/>
      <c r="U98" s="1190"/>
      <c r="V98" s="1190"/>
      <c r="W98" s="1190"/>
      <c r="X98" s="1190"/>
      <c r="Y98" s="1190"/>
      <c r="Z98" s="1190"/>
      <c r="AA98" s="1124"/>
      <c r="AB98" s="1125"/>
      <c r="AC98" s="1125"/>
      <c r="AD98" s="1126"/>
      <c r="AE98" s="595"/>
      <c r="AF98" s="595"/>
      <c r="AG98" s="595"/>
      <c r="AH98" s="92"/>
      <c r="AI98" s="744" t="b">
        <f t="shared" si="4"/>
        <v>0</v>
      </c>
      <c r="AJ98" s="92"/>
      <c r="AK98" s="92"/>
      <c r="AL98" s="92"/>
      <c r="AP98" s="83"/>
    </row>
    <row r="99" spans="1:42" s="80" customFormat="1" ht="65.099999999999994" customHeight="1">
      <c r="A99" s="1064"/>
      <c r="B99" s="1065"/>
      <c r="C99" s="1065"/>
      <c r="D99" s="1065"/>
      <c r="E99" s="1065"/>
      <c r="F99" s="1188" t="s">
        <v>50</v>
      </c>
      <c r="G99" s="1189"/>
      <c r="H99" s="1190" t="s">
        <v>367</v>
      </c>
      <c r="I99" s="1190"/>
      <c r="J99" s="1190"/>
      <c r="K99" s="1190"/>
      <c r="L99" s="1190"/>
      <c r="M99" s="1190"/>
      <c r="N99" s="1190"/>
      <c r="O99" s="1190"/>
      <c r="P99" s="1190"/>
      <c r="Q99" s="1190"/>
      <c r="R99" s="1190"/>
      <c r="S99" s="1190"/>
      <c r="T99" s="1190"/>
      <c r="U99" s="1190"/>
      <c r="V99" s="1190"/>
      <c r="W99" s="1190"/>
      <c r="X99" s="1190"/>
      <c r="Y99" s="1190"/>
      <c r="Z99" s="1190"/>
      <c r="AA99" s="1124"/>
      <c r="AB99" s="1125"/>
      <c r="AC99" s="1125"/>
      <c r="AD99" s="1126"/>
      <c r="AE99" s="595"/>
      <c r="AF99" s="595"/>
      <c r="AG99" s="595"/>
      <c r="AH99" s="92"/>
      <c r="AI99" s="744" t="b">
        <f t="shared" si="4"/>
        <v>0</v>
      </c>
      <c r="AJ99" s="92"/>
      <c r="AK99" s="92"/>
      <c r="AL99" s="92"/>
      <c r="AP99" s="83"/>
    </row>
    <row r="100" spans="1:42" s="80" customFormat="1" ht="39.950000000000003" customHeight="1">
      <c r="A100" s="1064"/>
      <c r="B100" s="1065"/>
      <c r="C100" s="1065"/>
      <c r="D100" s="1065"/>
      <c r="E100" s="1065"/>
      <c r="F100" s="1188" t="s">
        <v>51</v>
      </c>
      <c r="G100" s="1189"/>
      <c r="H100" s="1190" t="s">
        <v>368</v>
      </c>
      <c r="I100" s="1190"/>
      <c r="J100" s="1190"/>
      <c r="K100" s="1190"/>
      <c r="L100" s="1190"/>
      <c r="M100" s="1190"/>
      <c r="N100" s="1190"/>
      <c r="O100" s="1190"/>
      <c r="P100" s="1190"/>
      <c r="Q100" s="1190"/>
      <c r="R100" s="1190"/>
      <c r="S100" s="1190"/>
      <c r="T100" s="1190"/>
      <c r="U100" s="1190"/>
      <c r="V100" s="1190"/>
      <c r="W100" s="1190"/>
      <c r="X100" s="1190"/>
      <c r="Y100" s="1190"/>
      <c r="Z100" s="1190"/>
      <c r="AA100" s="1124"/>
      <c r="AB100" s="1125"/>
      <c r="AC100" s="1125"/>
      <c r="AD100" s="1126"/>
      <c r="AE100" s="595"/>
      <c r="AF100" s="595"/>
      <c r="AG100" s="595"/>
      <c r="AH100" s="92"/>
      <c r="AI100" s="744" t="b">
        <f t="shared" si="4"/>
        <v>0</v>
      </c>
      <c r="AJ100" s="92"/>
      <c r="AK100" s="92"/>
      <c r="AL100" s="92"/>
      <c r="AP100" s="83"/>
    </row>
    <row r="101" spans="1:42" s="80" customFormat="1" ht="65.099999999999994" customHeight="1">
      <c r="A101" s="1064"/>
      <c r="B101" s="1065"/>
      <c r="C101" s="1065"/>
      <c r="D101" s="1065"/>
      <c r="E101" s="1065"/>
      <c r="F101" s="1188" t="s">
        <v>52</v>
      </c>
      <c r="G101" s="1189"/>
      <c r="H101" s="1190" t="s">
        <v>251</v>
      </c>
      <c r="I101" s="1190"/>
      <c r="J101" s="1190"/>
      <c r="K101" s="1190"/>
      <c r="L101" s="1190"/>
      <c r="M101" s="1190"/>
      <c r="N101" s="1190"/>
      <c r="O101" s="1190"/>
      <c r="P101" s="1190"/>
      <c r="Q101" s="1190"/>
      <c r="R101" s="1190"/>
      <c r="S101" s="1190"/>
      <c r="T101" s="1190"/>
      <c r="U101" s="1190"/>
      <c r="V101" s="1190"/>
      <c r="W101" s="1190"/>
      <c r="X101" s="1190"/>
      <c r="Y101" s="1190"/>
      <c r="Z101" s="1190"/>
      <c r="AA101" s="1124"/>
      <c r="AB101" s="1125"/>
      <c r="AC101" s="1125"/>
      <c r="AD101" s="1126"/>
      <c r="AE101" s="595"/>
      <c r="AF101" s="595"/>
      <c r="AG101" s="595"/>
      <c r="AH101" s="92"/>
      <c r="AI101" s="744" t="b">
        <f t="shared" si="4"/>
        <v>0</v>
      </c>
      <c r="AJ101" s="92"/>
      <c r="AK101" s="92"/>
      <c r="AL101" s="92"/>
      <c r="AP101" s="83"/>
    </row>
    <row r="102" spans="1:42" s="80" customFormat="1" ht="65.099999999999994" customHeight="1">
      <c r="A102" s="1066"/>
      <c r="B102" s="1067"/>
      <c r="C102" s="1067"/>
      <c r="D102" s="1067"/>
      <c r="E102" s="1067"/>
      <c r="F102" s="1191" t="s">
        <v>53</v>
      </c>
      <c r="G102" s="1192"/>
      <c r="H102" s="1193" t="s">
        <v>252</v>
      </c>
      <c r="I102" s="1193"/>
      <c r="J102" s="1193"/>
      <c r="K102" s="1193"/>
      <c r="L102" s="1193"/>
      <c r="M102" s="1193"/>
      <c r="N102" s="1193"/>
      <c r="O102" s="1193"/>
      <c r="P102" s="1193"/>
      <c r="Q102" s="1193"/>
      <c r="R102" s="1193"/>
      <c r="S102" s="1193"/>
      <c r="T102" s="1193"/>
      <c r="U102" s="1193"/>
      <c r="V102" s="1193"/>
      <c r="W102" s="1193"/>
      <c r="X102" s="1193"/>
      <c r="Y102" s="1193"/>
      <c r="Z102" s="1193"/>
      <c r="AA102" s="1072"/>
      <c r="AB102" s="1073"/>
      <c r="AC102" s="1073"/>
      <c r="AD102" s="1074"/>
      <c r="AE102" s="595"/>
      <c r="AF102" s="595"/>
      <c r="AG102" s="595"/>
      <c r="AH102" s="92"/>
      <c r="AI102" s="744" t="b">
        <f t="shared" si="4"/>
        <v>0</v>
      </c>
      <c r="AJ102" s="92"/>
      <c r="AK102" s="92"/>
      <c r="AL102" s="92"/>
      <c r="AP102" s="83"/>
    </row>
    <row r="103" spans="1:42" s="80" customFormat="1" ht="15" customHeight="1">
      <c r="A103" s="971" t="s">
        <v>34</v>
      </c>
      <c r="B103" s="971"/>
      <c r="C103" s="971"/>
      <c r="D103" s="971"/>
      <c r="E103" s="971"/>
      <c r="F103" s="978" t="s">
        <v>239</v>
      </c>
      <c r="G103" s="979"/>
      <c r="H103" s="979"/>
      <c r="I103" s="979"/>
      <c r="J103" s="979"/>
      <c r="K103" s="979"/>
      <c r="L103" s="979"/>
      <c r="M103" s="979"/>
      <c r="N103" s="979"/>
      <c r="O103" s="979"/>
      <c r="P103" s="979"/>
      <c r="Q103" s="979"/>
      <c r="R103" s="979"/>
      <c r="S103" s="979"/>
      <c r="T103" s="979"/>
      <c r="U103" s="979"/>
      <c r="V103" s="979"/>
      <c r="W103" s="979"/>
      <c r="X103" s="979"/>
      <c r="Y103" s="979"/>
      <c r="Z103" s="979"/>
      <c r="AA103" s="979"/>
      <c r="AB103" s="979"/>
      <c r="AC103" s="979"/>
      <c r="AD103" s="980"/>
      <c r="AE103" s="318"/>
      <c r="AF103" s="318"/>
      <c r="AG103" s="318"/>
      <c r="AP103" s="83"/>
    </row>
    <row r="104" spans="1:42" s="80" customFormat="1" ht="15" customHeight="1">
      <c r="A104" s="596" t="s">
        <v>652</v>
      </c>
      <c r="B104" s="318"/>
      <c r="C104" s="318"/>
      <c r="D104" s="318"/>
      <c r="E104" s="318"/>
      <c r="F104" s="318"/>
      <c r="G104" s="318"/>
      <c r="H104" s="318"/>
      <c r="I104" s="318"/>
      <c r="J104" s="318"/>
      <c r="K104" s="318"/>
      <c r="L104" s="318"/>
      <c r="M104" s="318"/>
      <c r="N104" s="318"/>
      <c r="O104" s="318"/>
      <c r="P104" s="318"/>
      <c r="Q104" s="318"/>
      <c r="R104" s="318"/>
      <c r="S104" s="318"/>
      <c r="T104" s="318"/>
      <c r="U104" s="318"/>
      <c r="V104" s="318"/>
      <c r="W104" s="318"/>
      <c r="X104" s="318"/>
      <c r="Y104" s="318"/>
      <c r="Z104" s="318"/>
      <c r="AA104" s="318"/>
      <c r="AB104" s="318"/>
      <c r="AC104" s="318"/>
      <c r="AD104" s="318"/>
      <c r="AE104" s="318"/>
      <c r="AF104" s="318"/>
      <c r="AG104" s="318"/>
      <c r="AP104" s="83"/>
    </row>
    <row r="105" spans="1:42" s="80" customFormat="1" ht="15" customHeight="1" thickBot="1">
      <c r="A105" s="595"/>
      <c r="B105" s="595"/>
      <c r="C105" s="595"/>
      <c r="D105" s="595"/>
      <c r="E105" s="595"/>
      <c r="F105" s="595"/>
      <c r="G105" s="595"/>
      <c r="H105" s="595"/>
      <c r="I105" s="595"/>
      <c r="J105" s="595"/>
      <c r="K105" s="595"/>
      <c r="L105" s="595"/>
      <c r="M105" s="595"/>
      <c r="N105" s="595"/>
      <c r="O105" s="595"/>
      <c r="P105" s="595"/>
      <c r="Q105" s="595"/>
      <c r="R105" s="595"/>
      <c r="S105" s="595"/>
      <c r="T105" s="595"/>
      <c r="U105" s="595"/>
      <c r="V105" s="595"/>
      <c r="W105" s="595"/>
      <c r="X105" s="595"/>
      <c r="Y105" s="595"/>
      <c r="Z105" s="595"/>
      <c r="AA105" s="595"/>
      <c r="AB105" s="595"/>
      <c r="AC105" s="595"/>
      <c r="AD105" s="595"/>
      <c r="AE105" s="595"/>
      <c r="AF105" s="595"/>
      <c r="AG105" s="595"/>
      <c r="AH105" s="92"/>
      <c r="AI105" s="92"/>
      <c r="AP105" s="83"/>
    </row>
    <row r="106" spans="1:42" s="80" customFormat="1" ht="15" customHeight="1" thickBot="1">
      <c r="A106" s="966" t="s">
        <v>120</v>
      </c>
      <c r="B106" s="966"/>
      <c r="C106" s="966"/>
      <c r="D106" s="966"/>
      <c r="E106" s="966"/>
      <c r="F106" s="966"/>
      <c r="G106" s="966"/>
      <c r="H106" s="966"/>
      <c r="I106" s="1046"/>
      <c r="J106" s="981" t="str">
        <f>IF(AND(AI107,AI109,AI110,AI117&gt;0),$AE$117,"×")</f>
        <v>×</v>
      </c>
      <c r="K106" s="982"/>
      <c r="L106" s="982"/>
      <c r="M106" s="982"/>
      <c r="N106" s="983"/>
      <c r="O106" s="969" t="s">
        <v>208</v>
      </c>
      <c r="P106" s="970"/>
      <c r="Q106" s="970"/>
      <c r="R106" s="318"/>
      <c r="S106" s="318"/>
      <c r="T106" s="318"/>
      <c r="U106" s="318"/>
      <c r="V106" s="1138" t="s">
        <v>39</v>
      </c>
      <c r="W106" s="1138"/>
      <c r="X106" s="1138"/>
      <c r="Y106" s="1138"/>
      <c r="Z106" s="1138"/>
      <c r="AA106" s="1138"/>
      <c r="AB106" s="1138"/>
      <c r="AC106" s="1138"/>
      <c r="AD106" s="1138"/>
      <c r="AE106" s="318"/>
      <c r="AF106" s="318"/>
      <c r="AG106" s="318"/>
      <c r="AP106" s="83"/>
    </row>
    <row r="107" spans="1:42" ht="15" customHeight="1">
      <c r="A107" s="997" t="s">
        <v>78</v>
      </c>
      <c r="B107" s="998"/>
      <c r="C107" s="998"/>
      <c r="D107" s="998"/>
      <c r="E107" s="999"/>
      <c r="F107" s="972"/>
      <c r="G107" s="973"/>
      <c r="H107" s="973"/>
      <c r="I107" s="973"/>
      <c r="J107" s="973"/>
      <c r="K107" s="974"/>
      <c r="L107" s="318"/>
      <c r="M107" s="318"/>
      <c r="N107" s="318"/>
      <c r="O107" s="318"/>
      <c r="P107" s="318"/>
      <c r="Q107" s="318"/>
      <c r="R107" s="318"/>
      <c r="S107" s="318"/>
      <c r="T107" s="318"/>
      <c r="U107" s="318"/>
      <c r="V107" s="736"/>
      <c r="W107" s="736"/>
      <c r="X107" s="736"/>
      <c r="Y107" s="736"/>
      <c r="Z107" s="736"/>
      <c r="AA107" s="736"/>
      <c r="AB107" s="736"/>
      <c r="AC107" s="736"/>
      <c r="AD107" s="736"/>
      <c r="AE107" s="575"/>
      <c r="AF107" s="318"/>
      <c r="AG107" s="318"/>
      <c r="AH107" s="92"/>
      <c r="AI107" s="744" t="b">
        <f>F107="申請する"</f>
        <v>0</v>
      </c>
      <c r="AJ107" s="80"/>
      <c r="AK107" s="80"/>
      <c r="AL107" s="80"/>
    </row>
    <row r="108" spans="1:42" s="92" customFormat="1" ht="15" customHeight="1">
      <c r="A108" s="1227" t="s">
        <v>422</v>
      </c>
      <c r="B108" s="1228"/>
      <c r="C108" s="1228"/>
      <c r="D108" s="1228"/>
      <c r="E108" s="1228"/>
      <c r="F108" s="964" t="s">
        <v>61</v>
      </c>
      <c r="G108" s="964"/>
      <c r="H108" s="964"/>
      <c r="I108" s="964"/>
      <c r="J108" s="964"/>
      <c r="K108" s="964"/>
      <c r="L108" s="964"/>
      <c r="M108" s="964"/>
      <c r="N108" s="964"/>
      <c r="O108" s="964"/>
      <c r="P108" s="964"/>
      <c r="Q108" s="964"/>
      <c r="R108" s="964"/>
      <c r="S108" s="964"/>
      <c r="T108" s="964"/>
      <c r="U108" s="964"/>
      <c r="V108" s="964"/>
      <c r="W108" s="964"/>
      <c r="X108" s="964"/>
      <c r="Y108" s="964"/>
      <c r="Z108" s="965"/>
      <c r="AA108" s="963" t="s">
        <v>210</v>
      </c>
      <c r="AB108" s="964"/>
      <c r="AC108" s="964"/>
      <c r="AD108" s="965"/>
      <c r="AE108" s="595"/>
      <c r="AF108" s="595"/>
      <c r="AG108" s="595"/>
    </row>
    <row r="109" spans="1:42" s="92" customFormat="1" ht="24.95" customHeight="1">
      <c r="A109" s="1229"/>
      <c r="B109" s="1230"/>
      <c r="C109" s="1230"/>
      <c r="D109" s="1230"/>
      <c r="E109" s="1230"/>
      <c r="F109" s="597">
        <v>1</v>
      </c>
      <c r="G109" s="1132" t="s">
        <v>421</v>
      </c>
      <c r="H109" s="1132"/>
      <c r="I109" s="1132"/>
      <c r="J109" s="1132"/>
      <c r="K109" s="1132"/>
      <c r="L109" s="1132"/>
      <c r="M109" s="1132"/>
      <c r="N109" s="1132"/>
      <c r="O109" s="1132"/>
      <c r="P109" s="1132"/>
      <c r="Q109" s="1132"/>
      <c r="R109" s="1132"/>
      <c r="S109" s="1132"/>
      <c r="T109" s="1132"/>
      <c r="U109" s="1132"/>
      <c r="V109" s="1132"/>
      <c r="W109" s="1132"/>
      <c r="X109" s="1132"/>
      <c r="Y109" s="1132"/>
      <c r="Z109" s="1133"/>
      <c r="AA109" s="1041" t="str">
        <f>J74</f>
        <v>×</v>
      </c>
      <c r="AB109" s="1042"/>
      <c r="AC109" s="1042"/>
      <c r="AD109" s="1043"/>
      <c r="AE109" s="595"/>
      <c r="AF109" s="595"/>
      <c r="AG109" s="595"/>
      <c r="AI109" s="744" t="b">
        <f>AA109="○"</f>
        <v>0</v>
      </c>
    </row>
    <row r="110" spans="1:42" s="92" customFormat="1" ht="24.95" customHeight="1">
      <c r="A110" s="1231"/>
      <c r="B110" s="1232"/>
      <c r="C110" s="1232"/>
      <c r="D110" s="1232"/>
      <c r="E110" s="1232"/>
      <c r="F110" s="597">
        <v>2</v>
      </c>
      <c r="G110" s="1132" t="s">
        <v>359</v>
      </c>
      <c r="H110" s="1132"/>
      <c r="I110" s="1132"/>
      <c r="J110" s="1132"/>
      <c r="K110" s="1132"/>
      <c r="L110" s="1132"/>
      <c r="M110" s="1132"/>
      <c r="N110" s="1132"/>
      <c r="O110" s="1132"/>
      <c r="P110" s="1132"/>
      <c r="Q110" s="1132"/>
      <c r="R110" s="1132"/>
      <c r="S110" s="1132"/>
      <c r="T110" s="1132"/>
      <c r="U110" s="1132"/>
      <c r="V110" s="1132"/>
      <c r="W110" s="1132"/>
      <c r="X110" s="1132"/>
      <c r="Y110" s="1132"/>
      <c r="Z110" s="1133"/>
      <c r="AA110" s="1041" t="str">
        <f>【様式５】職員数算出表!O37</f>
        <v>-</v>
      </c>
      <c r="AB110" s="1042"/>
      <c r="AC110" s="1042"/>
      <c r="AD110" s="1043"/>
      <c r="AE110" s="595"/>
      <c r="AF110" s="595"/>
      <c r="AG110" s="595"/>
      <c r="AI110" s="744" t="b">
        <f>AA110="○"</f>
        <v>0</v>
      </c>
    </row>
    <row r="111" spans="1:42" ht="15" customHeight="1">
      <c r="A111" s="1201" t="s">
        <v>256</v>
      </c>
      <c r="B111" s="1202"/>
      <c r="C111" s="1170" t="s">
        <v>105</v>
      </c>
      <c r="D111" s="1171"/>
      <c r="E111" s="1171"/>
      <c r="F111" s="1171"/>
      <c r="G111" s="1171"/>
      <c r="H111" s="1171"/>
      <c r="I111" s="1224" t="s">
        <v>106</v>
      </c>
      <c r="J111" s="1224"/>
      <c r="K111" s="1224"/>
      <c r="L111" s="1224"/>
      <c r="M111" s="1224"/>
      <c r="N111" s="1224"/>
      <c r="O111" s="1224" t="s">
        <v>107</v>
      </c>
      <c r="P111" s="1224"/>
      <c r="Q111" s="1224"/>
      <c r="R111" s="1224"/>
      <c r="S111" s="1224"/>
      <c r="T111" s="1224"/>
      <c r="U111" s="1224" t="s">
        <v>108</v>
      </c>
      <c r="V111" s="1224"/>
      <c r="W111" s="1224"/>
      <c r="X111" s="1224"/>
      <c r="Y111" s="1224"/>
      <c r="Z111" s="1225"/>
      <c r="AA111" s="1226" t="s">
        <v>109</v>
      </c>
      <c r="AB111" s="1226"/>
      <c r="AC111" s="1226"/>
      <c r="AD111" s="1226"/>
      <c r="AE111" s="1214" t="s">
        <v>348</v>
      </c>
      <c r="AF111" s="1214"/>
      <c r="AG111" s="1214"/>
      <c r="AH111" s="80"/>
      <c r="AI111" s="89" t="s">
        <v>106</v>
      </c>
      <c r="AJ111" s="159" t="s">
        <v>116</v>
      </c>
      <c r="AK111" s="159" t="s">
        <v>93</v>
      </c>
      <c r="AL111" s="159" t="s">
        <v>347</v>
      </c>
    </row>
    <row r="112" spans="1:42" ht="15" customHeight="1">
      <c r="A112" s="1203"/>
      <c r="B112" s="1204"/>
      <c r="C112" s="1172"/>
      <c r="D112" s="1173"/>
      <c r="E112" s="1173"/>
      <c r="F112" s="1173"/>
      <c r="G112" s="1173"/>
      <c r="H112" s="1173"/>
      <c r="I112" s="1020"/>
      <c r="J112" s="1020"/>
      <c r="K112" s="1020"/>
      <c r="L112" s="1020"/>
      <c r="M112" s="1020"/>
      <c r="N112" s="1020"/>
      <c r="O112" s="1020"/>
      <c r="P112" s="1020"/>
      <c r="Q112" s="1020"/>
      <c r="R112" s="1020"/>
      <c r="S112" s="1020"/>
      <c r="T112" s="1020"/>
      <c r="U112" s="1020"/>
      <c r="V112" s="1020"/>
      <c r="W112" s="1020"/>
      <c r="X112" s="1020"/>
      <c r="Y112" s="1020"/>
      <c r="Z112" s="1021"/>
      <c r="AA112" s="1006"/>
      <c r="AB112" s="1007"/>
      <c r="AC112" s="1007"/>
      <c r="AD112" s="1008"/>
      <c r="AE112" s="1013" t="str">
        <f>IF(COUNTA(C112:AD112)=0,"",IF(AND(AI112,AJ112,AK112,AL112),"○","入力誤り"))</f>
        <v/>
      </c>
      <c r="AF112" s="1014"/>
      <c r="AG112" s="1015"/>
      <c r="AH112" s="80"/>
      <c r="AI112" s="89" t="b">
        <f>AND(I112&lt;&gt;"",I112&lt;&gt;0)</f>
        <v>0</v>
      </c>
      <c r="AJ112" s="89" t="b">
        <f>AND(O112&lt;&gt;"",O112&lt;&gt;0,O112&gt;=I112,O112&lt;=DATE(IF(AND(AA112&gt;=4,AA112&lt;=12),$AJ$2,$AJ$2+1),AA112,1))</f>
        <v>0</v>
      </c>
      <c r="AK112" s="89" t="b">
        <f>AND(U112&lt;&gt;"",U112&lt;&gt;0,U112&gt;=I112,U112&lt;=DATE(IF(AND(AA112&gt;=4,AA112&lt;=12),$AJ$2,$AJ$2+1),AA112,1))</f>
        <v>0</v>
      </c>
      <c r="AL112" s="744" t="b">
        <f>AND(AA112&lt;&gt;"",AA112&lt;&gt;0,VLOOKUP(AA112,$AK$3:$AL$15,2,FALSE)&lt;=$AI$18)</f>
        <v>0</v>
      </c>
    </row>
    <row r="113" spans="1:42" ht="15" customHeight="1">
      <c r="A113" s="1203"/>
      <c r="B113" s="1204"/>
      <c r="C113" s="1172"/>
      <c r="D113" s="1173"/>
      <c r="E113" s="1173"/>
      <c r="F113" s="1173"/>
      <c r="G113" s="1173"/>
      <c r="H113" s="1173"/>
      <c r="I113" s="1020"/>
      <c r="J113" s="1020"/>
      <c r="K113" s="1020"/>
      <c r="L113" s="1020"/>
      <c r="M113" s="1020"/>
      <c r="N113" s="1020"/>
      <c r="O113" s="1020"/>
      <c r="P113" s="1020"/>
      <c r="Q113" s="1020"/>
      <c r="R113" s="1020"/>
      <c r="S113" s="1020"/>
      <c r="T113" s="1020"/>
      <c r="U113" s="1020"/>
      <c r="V113" s="1020"/>
      <c r="W113" s="1020"/>
      <c r="X113" s="1020"/>
      <c r="Y113" s="1020"/>
      <c r="Z113" s="1021"/>
      <c r="AA113" s="1006"/>
      <c r="AB113" s="1007"/>
      <c r="AC113" s="1007"/>
      <c r="AD113" s="1008"/>
      <c r="AE113" s="1013" t="str">
        <f>IF(COUNTA(C113:AD113)=0,"",IF(AND(AI113,AJ113,AK113,AL113),"○","入力誤り"))</f>
        <v/>
      </c>
      <c r="AF113" s="1014"/>
      <c r="AG113" s="1015"/>
      <c r="AH113" s="80"/>
      <c r="AI113" s="89" t="b">
        <f>AND(I113&lt;&gt;"",I113&lt;&gt;0)</f>
        <v>0</v>
      </c>
      <c r="AJ113" s="89" t="b">
        <f>AND(O113&lt;&gt;"",O113&lt;&gt;0,O113&gt;=I113,O113&lt;=DATE(IF(AND(AA113&gt;=4,AA113&lt;=12),$AJ$2,$AJ$2+1),AA113,1))</f>
        <v>0</v>
      </c>
      <c r="AK113" s="89" t="b">
        <f>AND(U113&lt;&gt;"",U113&lt;&gt;0,U113&gt;=I113,U113&lt;=DATE(IF(AND(AA113&gt;=4,AA113&lt;=12),$AJ$2,$AJ$2+1),AA113,1))</f>
        <v>0</v>
      </c>
      <c r="AL113" s="744" t="b">
        <f>AND(AA113&lt;&gt;"",AA113&lt;&gt;0,VLOOKUP(AA113,$AK$3:$AL$15,2,FALSE)&lt;=$AI$18)</f>
        <v>0</v>
      </c>
    </row>
    <row r="114" spans="1:42" ht="15" customHeight="1">
      <c r="A114" s="1203"/>
      <c r="B114" s="1204"/>
      <c r="C114" s="1172"/>
      <c r="D114" s="1173"/>
      <c r="E114" s="1173"/>
      <c r="F114" s="1173"/>
      <c r="G114" s="1173"/>
      <c r="H114" s="1173"/>
      <c r="I114" s="1020"/>
      <c r="J114" s="1020"/>
      <c r="K114" s="1020"/>
      <c r="L114" s="1020"/>
      <c r="M114" s="1020"/>
      <c r="N114" s="1020"/>
      <c r="O114" s="1020"/>
      <c r="P114" s="1020"/>
      <c r="Q114" s="1020"/>
      <c r="R114" s="1020"/>
      <c r="S114" s="1020"/>
      <c r="T114" s="1020"/>
      <c r="U114" s="1020"/>
      <c r="V114" s="1020"/>
      <c r="W114" s="1020"/>
      <c r="X114" s="1020"/>
      <c r="Y114" s="1020"/>
      <c r="Z114" s="1021"/>
      <c r="AA114" s="1006"/>
      <c r="AB114" s="1007"/>
      <c r="AC114" s="1007"/>
      <c r="AD114" s="1008"/>
      <c r="AE114" s="1013" t="str">
        <f t="shared" ref="AE114:AE116" si="5">IF(COUNTA(C114:AD114)=0,"",IF(AND(AI114,AJ114,AK114,AL114),"○","入力誤り"))</f>
        <v/>
      </c>
      <c r="AF114" s="1014"/>
      <c r="AG114" s="1015"/>
      <c r="AH114" s="80"/>
      <c r="AI114" s="89" t="b">
        <f>AND(I114&lt;&gt;"",I114&lt;&gt;0)</f>
        <v>0</v>
      </c>
      <c r="AJ114" s="89" t="b">
        <f>AND(O114&lt;&gt;"",O114&lt;&gt;0,O114&gt;=I114,O114&lt;=DATE(IF(AND(AA114&gt;=4,AA114&lt;=12),$AJ$2,$AJ$2+1),AA114,1))</f>
        <v>0</v>
      </c>
      <c r="AK114" s="89" t="b">
        <f>AND(U114&lt;&gt;"",U114&lt;&gt;0,U114&gt;=I114,U114&lt;=DATE(IF(AND(AA114&gt;=4,AA114&lt;=12),$AJ$2,$AJ$2+1),AA114,1))</f>
        <v>0</v>
      </c>
      <c r="AL114" s="744" t="b">
        <f>AND(AA114&lt;&gt;"",AA114&lt;&gt;0,VLOOKUP(AA114,$AK$3:$AL$15,2,FALSE)&lt;=$AI$18)</f>
        <v>0</v>
      </c>
    </row>
    <row r="115" spans="1:42" ht="15" customHeight="1">
      <c r="A115" s="1203"/>
      <c r="B115" s="1204"/>
      <c r="C115" s="1172"/>
      <c r="D115" s="1173"/>
      <c r="E115" s="1173"/>
      <c r="F115" s="1173"/>
      <c r="G115" s="1173"/>
      <c r="H115" s="1173"/>
      <c r="I115" s="1020"/>
      <c r="J115" s="1020"/>
      <c r="K115" s="1020"/>
      <c r="L115" s="1020"/>
      <c r="M115" s="1020"/>
      <c r="N115" s="1020"/>
      <c r="O115" s="1020"/>
      <c r="P115" s="1020"/>
      <c r="Q115" s="1020"/>
      <c r="R115" s="1020"/>
      <c r="S115" s="1020"/>
      <c r="T115" s="1020"/>
      <c r="U115" s="1020"/>
      <c r="V115" s="1020"/>
      <c r="W115" s="1020"/>
      <c r="X115" s="1020"/>
      <c r="Y115" s="1020"/>
      <c r="Z115" s="1021"/>
      <c r="AA115" s="1006"/>
      <c r="AB115" s="1007"/>
      <c r="AC115" s="1007"/>
      <c r="AD115" s="1008"/>
      <c r="AE115" s="1013" t="str">
        <f t="shared" si="5"/>
        <v/>
      </c>
      <c r="AF115" s="1014"/>
      <c r="AG115" s="1015"/>
      <c r="AH115" s="80"/>
      <c r="AI115" s="89" t="b">
        <f>AND(I115&lt;&gt;"",I115&lt;&gt;0)</f>
        <v>0</v>
      </c>
      <c r="AJ115" s="89" t="b">
        <f>AND(O115&lt;&gt;"",O115&lt;&gt;0,O115&gt;=I115,O115&lt;=DATE(IF(AND(AA115&gt;=4,AA115&lt;=12),$AJ$2,$AJ$2+1),AA115,1))</f>
        <v>0</v>
      </c>
      <c r="AK115" s="89" t="b">
        <f>AND(U115&lt;&gt;"",U115&lt;&gt;0,U115&gt;=I115,U115&lt;=DATE(IF(AND(AA115&gt;=4,AA115&lt;=12),$AJ$2,$AJ$2+1),AA115,1))</f>
        <v>0</v>
      </c>
      <c r="AL115" s="744" t="b">
        <f>AND(AA115&lt;&gt;"",AA115&lt;&gt;0,VLOOKUP(AA115,$AK$3:$AL$15,2,FALSE)&lt;=$AI$18)</f>
        <v>0</v>
      </c>
    </row>
    <row r="116" spans="1:42" ht="15" customHeight="1">
      <c r="A116" s="1205"/>
      <c r="B116" s="1206"/>
      <c r="C116" s="1172"/>
      <c r="D116" s="1173"/>
      <c r="E116" s="1173"/>
      <c r="F116" s="1173"/>
      <c r="G116" s="1173"/>
      <c r="H116" s="1173"/>
      <c r="I116" s="1020"/>
      <c r="J116" s="1020"/>
      <c r="K116" s="1020"/>
      <c r="L116" s="1020"/>
      <c r="M116" s="1020"/>
      <c r="N116" s="1020"/>
      <c r="O116" s="1020"/>
      <c r="P116" s="1020"/>
      <c r="Q116" s="1020"/>
      <c r="R116" s="1020"/>
      <c r="S116" s="1020"/>
      <c r="T116" s="1020"/>
      <c r="U116" s="1020"/>
      <c r="V116" s="1020"/>
      <c r="W116" s="1020"/>
      <c r="X116" s="1020"/>
      <c r="Y116" s="1020"/>
      <c r="Z116" s="1021"/>
      <c r="AA116" s="1006"/>
      <c r="AB116" s="1007"/>
      <c r="AC116" s="1007"/>
      <c r="AD116" s="1008"/>
      <c r="AE116" s="1013" t="str">
        <f t="shared" si="5"/>
        <v/>
      </c>
      <c r="AF116" s="1014"/>
      <c r="AG116" s="1015"/>
      <c r="AH116" s="80"/>
      <c r="AI116" s="89" t="b">
        <f>AND(I116&lt;&gt;"",I116&lt;&gt;0)</f>
        <v>0</v>
      </c>
      <c r="AJ116" s="89" t="b">
        <f>AND(O116&lt;&gt;"",O116&lt;&gt;0,O116&gt;=I116,O116&lt;=DATE(IF(AND(AA116&gt;=4,AA116&lt;=12),$AJ$2,$AJ$2+1),AA116,1))</f>
        <v>0</v>
      </c>
      <c r="AK116" s="89" t="b">
        <f>AND(U116&lt;&gt;"",U116&lt;&gt;0,U116&gt;=I116,U116&lt;=DATE(IF(AND(AA116&gt;=4,AA116&lt;=12),$AJ$2,$AJ$2+1),AA116,1))</f>
        <v>0</v>
      </c>
      <c r="AL116" s="744" t="b">
        <f>AND(AA116&lt;&gt;"",AA116&lt;&gt;0,VLOOKUP(AA116,$AK$3:$AL$15,2,FALSE)&lt;=$AI$18)</f>
        <v>0</v>
      </c>
      <c r="AP116" s="82"/>
    </row>
    <row r="117" spans="1:42" ht="46.5" customHeight="1">
      <c r="A117" s="992" t="s">
        <v>34</v>
      </c>
      <c r="B117" s="993"/>
      <c r="C117" s="993"/>
      <c r="D117" s="993"/>
      <c r="E117" s="994"/>
      <c r="F117" s="1019" t="s">
        <v>622</v>
      </c>
      <c r="G117" s="1019"/>
      <c r="H117" s="1019"/>
      <c r="I117" s="1019"/>
      <c r="J117" s="1019"/>
      <c r="K117" s="1019"/>
      <c r="L117" s="1019"/>
      <c r="M117" s="1019"/>
      <c r="N117" s="1019"/>
      <c r="O117" s="1019"/>
      <c r="P117" s="1019"/>
      <c r="Q117" s="1019"/>
      <c r="R117" s="1019"/>
      <c r="S117" s="1019"/>
      <c r="T117" s="1019"/>
      <c r="U117" s="1019"/>
      <c r="V117" s="1019"/>
      <c r="W117" s="1019"/>
      <c r="X117" s="1019"/>
      <c r="Y117" s="1019"/>
      <c r="Z117" s="1019"/>
      <c r="AA117" s="1019"/>
      <c r="AB117" s="1019"/>
      <c r="AC117" s="1019"/>
      <c r="AD117" s="1019"/>
      <c r="AE117" s="1164" t="str">
        <f>IF(AI117=0,"",IF(AI117=【様式５】職員数算出表!M9,AI117&amp;"人","様式5と不一致"))</f>
        <v/>
      </c>
      <c r="AF117" s="1165"/>
      <c r="AG117" s="1166"/>
      <c r="AI117" s="744">
        <f>COUNTIF(AE112:AG116,"○")</f>
        <v>0</v>
      </c>
      <c r="AP117" s="82"/>
    </row>
    <row r="118" spans="1:42" ht="15" customHeight="1">
      <c r="A118" s="997"/>
      <c r="B118" s="998"/>
      <c r="C118" s="998"/>
      <c r="D118" s="998"/>
      <c r="E118" s="999"/>
      <c r="F118" s="1196" t="s">
        <v>360</v>
      </c>
      <c r="G118" s="1196"/>
      <c r="H118" s="1196"/>
      <c r="I118" s="1196"/>
      <c r="J118" s="1196"/>
      <c r="K118" s="1196"/>
      <c r="L118" s="1196"/>
      <c r="M118" s="1196"/>
      <c r="N118" s="1196"/>
      <c r="O118" s="1196"/>
      <c r="P118" s="1196"/>
      <c r="Q118" s="1196"/>
      <c r="R118" s="1196"/>
      <c r="S118" s="1196"/>
      <c r="T118" s="1196"/>
      <c r="U118" s="1196"/>
      <c r="V118" s="1196"/>
      <c r="W118" s="1196"/>
      <c r="X118" s="1196"/>
      <c r="Y118" s="1196"/>
      <c r="Z118" s="1196"/>
      <c r="AA118" s="1196"/>
      <c r="AB118" s="1196"/>
      <c r="AC118" s="1196"/>
      <c r="AD118" s="1196"/>
      <c r="AE118" s="1167"/>
      <c r="AF118" s="1168"/>
      <c r="AG118" s="1169"/>
      <c r="AP118" s="82"/>
    </row>
    <row r="119" spans="1:42" ht="15" customHeight="1" thickBot="1">
      <c r="A119" s="751"/>
      <c r="B119" s="751"/>
      <c r="C119" s="751"/>
      <c r="D119" s="751"/>
      <c r="E119" s="751"/>
      <c r="F119" s="751"/>
      <c r="G119" s="751"/>
      <c r="H119" s="751"/>
      <c r="I119" s="751"/>
      <c r="J119" s="751"/>
      <c r="K119" s="751"/>
      <c r="L119" s="751"/>
      <c r="M119" s="751"/>
      <c r="N119" s="751"/>
      <c r="O119" s="751"/>
      <c r="P119" s="751"/>
      <c r="Q119" s="751"/>
      <c r="R119" s="751"/>
      <c r="S119" s="751"/>
      <c r="T119" s="751"/>
      <c r="U119" s="751"/>
      <c r="V119" s="751"/>
      <c r="W119" s="751"/>
      <c r="X119" s="751"/>
      <c r="Y119" s="751"/>
      <c r="Z119" s="751"/>
      <c r="AA119" s="751"/>
      <c r="AB119" s="751"/>
      <c r="AC119" s="751"/>
      <c r="AD119" s="751"/>
      <c r="AE119" s="751"/>
      <c r="AF119" s="318"/>
      <c r="AG119" s="318"/>
      <c r="AP119" s="82"/>
    </row>
    <row r="120" spans="1:42" ht="15" customHeight="1" thickBot="1">
      <c r="A120" s="966" t="s">
        <v>121</v>
      </c>
      <c r="B120" s="966"/>
      <c r="C120" s="966"/>
      <c r="D120" s="966"/>
      <c r="E120" s="966"/>
      <c r="F120" s="966"/>
      <c r="G120" s="966"/>
      <c r="H120" s="966"/>
      <c r="I120" s="966"/>
      <c r="J120" s="981" t="str">
        <f>IF(AND(AI121,AI123,AI124,OR(AI125,AI126),AI130),"○","×")</f>
        <v>×</v>
      </c>
      <c r="K120" s="982"/>
      <c r="L120" s="982"/>
      <c r="M120" s="982"/>
      <c r="N120" s="983"/>
      <c r="O120" s="969" t="s">
        <v>208</v>
      </c>
      <c r="P120" s="970"/>
      <c r="Q120" s="970"/>
      <c r="R120" s="318"/>
      <c r="S120" s="318"/>
      <c r="T120" s="318"/>
      <c r="U120" s="318"/>
      <c r="V120" s="575"/>
      <c r="W120" s="575"/>
      <c r="X120" s="575"/>
      <c r="Y120" s="575"/>
      <c r="Z120" s="575"/>
      <c r="AA120" s="575"/>
      <c r="AB120" s="575"/>
      <c r="AC120" s="575"/>
      <c r="AD120" s="575"/>
      <c r="AE120" s="318"/>
      <c r="AF120" s="318"/>
      <c r="AG120" s="318"/>
      <c r="AH120" s="92"/>
      <c r="AP120" s="82"/>
    </row>
    <row r="121" spans="1:42" ht="15" customHeight="1">
      <c r="A121" s="971" t="s">
        <v>78</v>
      </c>
      <c r="B121" s="971"/>
      <c r="C121" s="971"/>
      <c r="D121" s="971"/>
      <c r="E121" s="971"/>
      <c r="F121" s="972"/>
      <c r="G121" s="973"/>
      <c r="H121" s="973"/>
      <c r="I121" s="973"/>
      <c r="J121" s="973"/>
      <c r="K121" s="974"/>
      <c r="L121" s="318"/>
      <c r="M121" s="318"/>
      <c r="N121" s="318"/>
      <c r="O121" s="318"/>
      <c r="P121" s="318"/>
      <c r="Q121" s="318"/>
      <c r="R121" s="318"/>
      <c r="S121" s="318"/>
      <c r="T121" s="318"/>
      <c r="U121" s="318"/>
      <c r="V121" s="318"/>
      <c r="W121" s="318"/>
      <c r="X121" s="318"/>
      <c r="Y121" s="318"/>
      <c r="Z121" s="318"/>
      <c r="AA121" s="318"/>
      <c r="AB121" s="318"/>
      <c r="AC121" s="318"/>
      <c r="AD121" s="318"/>
      <c r="AE121" s="318"/>
      <c r="AF121" s="318"/>
      <c r="AG121" s="318"/>
      <c r="AI121" s="744" t="b">
        <f>F121="申請する"</f>
        <v>0</v>
      </c>
      <c r="AP121" s="82"/>
    </row>
    <row r="122" spans="1:42" ht="15" customHeight="1">
      <c r="A122" s="986" t="s">
        <v>257</v>
      </c>
      <c r="B122" s="987"/>
      <c r="C122" s="987"/>
      <c r="D122" s="987"/>
      <c r="E122" s="987"/>
      <c r="F122" s="964" t="s">
        <v>61</v>
      </c>
      <c r="G122" s="964"/>
      <c r="H122" s="964"/>
      <c r="I122" s="964"/>
      <c r="J122" s="964"/>
      <c r="K122" s="964"/>
      <c r="L122" s="964"/>
      <c r="M122" s="964"/>
      <c r="N122" s="964"/>
      <c r="O122" s="964"/>
      <c r="P122" s="964"/>
      <c r="Q122" s="964"/>
      <c r="R122" s="964"/>
      <c r="S122" s="964"/>
      <c r="T122" s="964"/>
      <c r="U122" s="964"/>
      <c r="V122" s="964"/>
      <c r="W122" s="964"/>
      <c r="X122" s="964"/>
      <c r="Y122" s="964"/>
      <c r="Z122" s="965"/>
      <c r="AA122" s="963" t="s">
        <v>210</v>
      </c>
      <c r="AB122" s="964"/>
      <c r="AC122" s="964"/>
      <c r="AD122" s="965"/>
      <c r="AE122" s="318"/>
      <c r="AF122" s="318"/>
      <c r="AG122" s="318"/>
      <c r="AH122" s="92"/>
      <c r="AP122" s="82"/>
    </row>
    <row r="123" spans="1:42" ht="39.950000000000003" customHeight="1">
      <c r="A123" s="988"/>
      <c r="B123" s="989"/>
      <c r="C123" s="989"/>
      <c r="D123" s="989"/>
      <c r="E123" s="989"/>
      <c r="F123" s="738">
        <v>1</v>
      </c>
      <c r="G123" s="1075" t="s">
        <v>402</v>
      </c>
      <c r="H123" s="1075"/>
      <c r="I123" s="1075"/>
      <c r="J123" s="1075"/>
      <c r="K123" s="1075"/>
      <c r="L123" s="1075"/>
      <c r="M123" s="1075"/>
      <c r="N123" s="1075"/>
      <c r="O123" s="1075"/>
      <c r="P123" s="1075"/>
      <c r="Q123" s="1075"/>
      <c r="R123" s="1075"/>
      <c r="S123" s="1075"/>
      <c r="T123" s="1075"/>
      <c r="U123" s="1075"/>
      <c r="V123" s="1075"/>
      <c r="W123" s="1075"/>
      <c r="X123" s="1075"/>
      <c r="Y123" s="1075"/>
      <c r="Z123" s="1177"/>
      <c r="AA123" s="972"/>
      <c r="AB123" s="973"/>
      <c r="AC123" s="973"/>
      <c r="AD123" s="974"/>
      <c r="AE123" s="575"/>
      <c r="AF123" s="575"/>
      <c r="AG123" s="575"/>
      <c r="AH123" s="92"/>
      <c r="AI123" s="744" t="b">
        <f t="shared" ref="AI123:AI130" si="6">AA123="○"</f>
        <v>0</v>
      </c>
      <c r="AP123" s="82"/>
    </row>
    <row r="124" spans="1:42" ht="24.95" customHeight="1">
      <c r="A124" s="988"/>
      <c r="B124" s="989"/>
      <c r="C124" s="989"/>
      <c r="D124" s="989"/>
      <c r="E124" s="989"/>
      <c r="F124" s="738">
        <v>2</v>
      </c>
      <c r="G124" s="1075" t="s">
        <v>369</v>
      </c>
      <c r="H124" s="1075"/>
      <c r="I124" s="1075"/>
      <c r="J124" s="1075"/>
      <c r="K124" s="1075"/>
      <c r="L124" s="1075"/>
      <c r="M124" s="1075"/>
      <c r="N124" s="1075"/>
      <c r="O124" s="1075"/>
      <c r="P124" s="1075"/>
      <c r="Q124" s="1075"/>
      <c r="R124" s="1075"/>
      <c r="S124" s="1075"/>
      <c r="T124" s="1075"/>
      <c r="U124" s="1075"/>
      <c r="V124" s="1075"/>
      <c r="W124" s="1075"/>
      <c r="X124" s="1075"/>
      <c r="Y124" s="1075"/>
      <c r="Z124" s="1177"/>
      <c r="AA124" s="972"/>
      <c r="AB124" s="973"/>
      <c r="AC124" s="973"/>
      <c r="AD124" s="974"/>
      <c r="AE124" s="575"/>
      <c r="AF124" s="575"/>
      <c r="AG124" s="575"/>
      <c r="AH124" s="92"/>
      <c r="AI124" s="744" t="b">
        <f t="shared" si="6"/>
        <v>0</v>
      </c>
      <c r="AP124" s="82"/>
    </row>
    <row r="125" spans="1:42" ht="24.95" customHeight="1">
      <c r="A125" s="988"/>
      <c r="B125" s="989"/>
      <c r="C125" s="989"/>
      <c r="D125" s="989"/>
      <c r="E125" s="989"/>
      <c r="F125" s="733">
        <v>3</v>
      </c>
      <c r="G125" s="1075" t="s">
        <v>370</v>
      </c>
      <c r="H125" s="1075"/>
      <c r="I125" s="1075"/>
      <c r="J125" s="1178"/>
      <c r="K125" s="1178"/>
      <c r="L125" s="1178"/>
      <c r="M125" s="1178"/>
      <c r="N125" s="1178"/>
      <c r="O125" s="1178"/>
      <c r="P125" s="1178"/>
      <c r="Q125" s="1178"/>
      <c r="R125" s="1178"/>
      <c r="S125" s="1178"/>
      <c r="T125" s="1178"/>
      <c r="U125" s="1178"/>
      <c r="V125" s="1178"/>
      <c r="W125" s="1178"/>
      <c r="X125" s="1178"/>
      <c r="Y125" s="1178"/>
      <c r="Z125" s="1179"/>
      <c r="AA125" s="1180"/>
      <c r="AB125" s="1181"/>
      <c r="AC125" s="1181"/>
      <c r="AD125" s="1182"/>
      <c r="AE125" s="575"/>
      <c r="AF125" s="575"/>
      <c r="AG125" s="575"/>
      <c r="AH125" s="92"/>
      <c r="AI125" s="744" t="b">
        <f t="shared" si="6"/>
        <v>0</v>
      </c>
      <c r="AP125" s="82"/>
    </row>
    <row r="126" spans="1:42" ht="62.25" customHeight="1">
      <c r="A126" s="988"/>
      <c r="B126" s="989"/>
      <c r="C126" s="989"/>
      <c r="D126" s="989"/>
      <c r="E126" s="989"/>
      <c r="F126" s="1197" t="s">
        <v>90</v>
      </c>
      <c r="G126" s="1048"/>
      <c r="H126" s="1048"/>
      <c r="I126" s="1048"/>
      <c r="J126" s="1183" t="s">
        <v>621</v>
      </c>
      <c r="K126" s="1071"/>
      <c r="L126" s="1071"/>
      <c r="M126" s="1071"/>
      <c r="N126" s="1071"/>
      <c r="O126" s="1071"/>
      <c r="P126" s="1071"/>
      <c r="Q126" s="1071"/>
      <c r="R126" s="1071"/>
      <c r="S126" s="1071"/>
      <c r="T126" s="1071"/>
      <c r="U126" s="1071"/>
      <c r="V126" s="1071"/>
      <c r="W126" s="1071"/>
      <c r="X126" s="1071"/>
      <c r="Y126" s="1071"/>
      <c r="Z126" s="1184"/>
      <c r="AA126" s="1185" t="str">
        <f>IF(AA125="×",IF(AND(AI127,AI128,AI129),"○","×"),"")</f>
        <v/>
      </c>
      <c r="AB126" s="1186"/>
      <c r="AC126" s="1186"/>
      <c r="AD126" s="1187"/>
      <c r="AE126" s="575"/>
      <c r="AF126" s="575"/>
      <c r="AG126" s="575"/>
      <c r="AH126" s="92"/>
      <c r="AI126" s="744" t="b">
        <f t="shared" si="6"/>
        <v>0</v>
      </c>
      <c r="AP126" s="82"/>
    </row>
    <row r="127" spans="1:42" ht="24.95" customHeight="1">
      <c r="A127" s="988"/>
      <c r="B127" s="989"/>
      <c r="C127" s="989"/>
      <c r="D127" s="989"/>
      <c r="E127" s="989"/>
      <c r="F127" s="1198"/>
      <c r="G127" s="1034"/>
      <c r="H127" s="1034"/>
      <c r="I127" s="1034"/>
      <c r="J127" s="598" t="s">
        <v>91</v>
      </c>
      <c r="K127" s="1034" t="s">
        <v>259</v>
      </c>
      <c r="L127" s="1034"/>
      <c r="M127" s="1034"/>
      <c r="N127" s="1034"/>
      <c r="O127" s="1034"/>
      <c r="P127" s="1034"/>
      <c r="Q127" s="1034"/>
      <c r="R127" s="1034"/>
      <c r="S127" s="1034"/>
      <c r="T127" s="1034"/>
      <c r="U127" s="1034"/>
      <c r="V127" s="1034"/>
      <c r="W127" s="1034"/>
      <c r="X127" s="1034"/>
      <c r="Y127" s="1034"/>
      <c r="Z127" s="1212"/>
      <c r="AA127" s="1180"/>
      <c r="AB127" s="1181"/>
      <c r="AC127" s="1181"/>
      <c r="AD127" s="1182"/>
      <c r="AE127" s="575"/>
      <c r="AF127" s="575"/>
      <c r="AG127" s="575"/>
      <c r="AH127" s="92"/>
      <c r="AI127" s="744" t="b">
        <f t="shared" si="6"/>
        <v>0</v>
      </c>
      <c r="AP127" s="82"/>
    </row>
    <row r="128" spans="1:42" ht="24.95" customHeight="1">
      <c r="A128" s="988"/>
      <c r="B128" s="989"/>
      <c r="C128" s="989"/>
      <c r="D128" s="989"/>
      <c r="E128" s="989"/>
      <c r="F128" s="1198"/>
      <c r="G128" s="1034"/>
      <c r="H128" s="1034"/>
      <c r="I128" s="1034"/>
      <c r="J128" s="599" t="s">
        <v>50</v>
      </c>
      <c r="K128" s="1048" t="s">
        <v>92</v>
      </c>
      <c r="L128" s="1048"/>
      <c r="M128" s="1048"/>
      <c r="N128" s="1048"/>
      <c r="O128" s="1048"/>
      <c r="P128" s="1048"/>
      <c r="Q128" s="1048"/>
      <c r="R128" s="1048"/>
      <c r="S128" s="1048"/>
      <c r="T128" s="1048"/>
      <c r="U128" s="1048"/>
      <c r="V128" s="1048"/>
      <c r="W128" s="1048"/>
      <c r="X128" s="1048"/>
      <c r="Y128" s="1048"/>
      <c r="Z128" s="1159"/>
      <c r="AA128" s="1160"/>
      <c r="AB128" s="1161"/>
      <c r="AC128" s="1161"/>
      <c r="AD128" s="1162"/>
      <c r="AE128" s="575"/>
      <c r="AF128" s="575"/>
      <c r="AG128" s="575"/>
      <c r="AH128" s="92"/>
      <c r="AI128" s="744" t="b">
        <f t="shared" si="6"/>
        <v>0</v>
      </c>
      <c r="AP128" s="82"/>
    </row>
    <row r="129" spans="1:42" ht="50.1" customHeight="1">
      <c r="A129" s="988"/>
      <c r="B129" s="989"/>
      <c r="C129" s="989"/>
      <c r="D129" s="989"/>
      <c r="E129" s="989"/>
      <c r="F129" s="1199"/>
      <c r="G129" s="1200"/>
      <c r="H129" s="1200"/>
      <c r="I129" s="1200"/>
      <c r="J129" s="600" t="s">
        <v>51</v>
      </c>
      <c r="K129" s="1129" t="s">
        <v>371</v>
      </c>
      <c r="L129" s="1129"/>
      <c r="M129" s="1129"/>
      <c r="N129" s="1129"/>
      <c r="O129" s="1129"/>
      <c r="P129" s="1129"/>
      <c r="Q129" s="1129"/>
      <c r="R129" s="1129"/>
      <c r="S129" s="1129"/>
      <c r="T129" s="1129"/>
      <c r="U129" s="1129"/>
      <c r="V129" s="1129"/>
      <c r="W129" s="1129"/>
      <c r="X129" s="1129"/>
      <c r="Y129" s="1129"/>
      <c r="Z129" s="1163"/>
      <c r="AA129" s="1174"/>
      <c r="AB129" s="1175"/>
      <c r="AC129" s="1175"/>
      <c r="AD129" s="1176"/>
      <c r="AE129" s="575"/>
      <c r="AF129" s="575"/>
      <c r="AG129" s="575"/>
      <c r="AH129" s="92"/>
      <c r="AI129" s="744" t="b">
        <f t="shared" si="6"/>
        <v>0</v>
      </c>
      <c r="AP129" s="82"/>
    </row>
    <row r="130" spans="1:42" ht="24.95" customHeight="1">
      <c r="A130" s="990"/>
      <c r="B130" s="991"/>
      <c r="C130" s="991"/>
      <c r="D130" s="991"/>
      <c r="E130" s="991"/>
      <c r="F130" s="735">
        <v>4</v>
      </c>
      <c r="G130" s="979" t="s">
        <v>260</v>
      </c>
      <c r="H130" s="979"/>
      <c r="I130" s="979"/>
      <c r="J130" s="979"/>
      <c r="K130" s="979"/>
      <c r="L130" s="979"/>
      <c r="M130" s="979"/>
      <c r="N130" s="979"/>
      <c r="O130" s="979"/>
      <c r="P130" s="979"/>
      <c r="Q130" s="979"/>
      <c r="R130" s="979"/>
      <c r="S130" s="979"/>
      <c r="T130" s="979"/>
      <c r="U130" s="979"/>
      <c r="V130" s="979"/>
      <c r="W130" s="979"/>
      <c r="X130" s="979"/>
      <c r="Y130" s="979"/>
      <c r="Z130" s="980"/>
      <c r="AA130" s="997" t="str">
        <f>IF(J135="○","×","○")</f>
        <v>○</v>
      </c>
      <c r="AB130" s="998"/>
      <c r="AC130" s="998"/>
      <c r="AD130" s="999"/>
      <c r="AE130" s="575"/>
      <c r="AF130" s="575"/>
      <c r="AG130" s="575"/>
      <c r="AH130" s="92"/>
      <c r="AI130" s="744" t="b">
        <f t="shared" si="6"/>
        <v>1</v>
      </c>
      <c r="AP130" s="82"/>
    </row>
    <row r="131" spans="1:42" ht="15" customHeight="1">
      <c r="A131" s="992" t="s">
        <v>34</v>
      </c>
      <c r="B131" s="993"/>
      <c r="C131" s="993"/>
      <c r="D131" s="993"/>
      <c r="E131" s="994"/>
      <c r="F131" s="1019" t="s">
        <v>628</v>
      </c>
      <c r="G131" s="1019"/>
      <c r="H131" s="1019"/>
      <c r="I131" s="1019"/>
      <c r="J131" s="1019"/>
      <c r="K131" s="1019"/>
      <c r="L131" s="1019"/>
      <c r="M131" s="1019"/>
      <c r="N131" s="1019"/>
      <c r="O131" s="1019"/>
      <c r="P131" s="1019"/>
      <c r="Q131" s="1019"/>
      <c r="R131" s="1019"/>
      <c r="S131" s="1019"/>
      <c r="T131" s="1019"/>
      <c r="U131" s="1019"/>
      <c r="V131" s="1019"/>
      <c r="W131" s="1019"/>
      <c r="X131" s="1019"/>
      <c r="Y131" s="1019"/>
      <c r="Z131" s="1019"/>
      <c r="AA131" s="1019"/>
      <c r="AB131" s="1019"/>
      <c r="AC131" s="1019"/>
      <c r="AD131" s="1019"/>
      <c r="AE131" s="318"/>
      <c r="AF131" s="318"/>
      <c r="AG131" s="318"/>
      <c r="AH131" s="92"/>
      <c r="AP131" s="82"/>
    </row>
    <row r="132" spans="1:42" ht="24.95" customHeight="1">
      <c r="A132" s="995"/>
      <c r="B132" s="970"/>
      <c r="C132" s="970"/>
      <c r="D132" s="970"/>
      <c r="E132" s="996"/>
      <c r="F132" s="1196" t="s">
        <v>629</v>
      </c>
      <c r="G132" s="1196"/>
      <c r="H132" s="1196"/>
      <c r="I132" s="1196"/>
      <c r="J132" s="1196"/>
      <c r="K132" s="1196"/>
      <c r="L132" s="1196"/>
      <c r="M132" s="1196"/>
      <c r="N132" s="1196"/>
      <c r="O132" s="1196"/>
      <c r="P132" s="1196"/>
      <c r="Q132" s="1196"/>
      <c r="R132" s="1196"/>
      <c r="S132" s="1196"/>
      <c r="T132" s="1196"/>
      <c r="U132" s="1196"/>
      <c r="V132" s="1196"/>
      <c r="W132" s="1196"/>
      <c r="X132" s="1196"/>
      <c r="Y132" s="1196"/>
      <c r="Z132" s="1196"/>
      <c r="AA132" s="1196"/>
      <c r="AB132" s="1196"/>
      <c r="AC132" s="1196"/>
      <c r="AD132" s="1196"/>
      <c r="AE132" s="318"/>
      <c r="AF132" s="318"/>
      <c r="AG132" s="318"/>
      <c r="AH132" s="92"/>
      <c r="AP132" s="82"/>
    </row>
    <row r="133" spans="1:42" ht="15" customHeight="1">
      <c r="A133" s="997"/>
      <c r="B133" s="998"/>
      <c r="C133" s="998"/>
      <c r="D133" s="998"/>
      <c r="E133" s="999"/>
      <c r="F133" s="1196" t="s">
        <v>653</v>
      </c>
      <c r="G133" s="1196"/>
      <c r="H133" s="1196"/>
      <c r="I133" s="1196"/>
      <c r="J133" s="1196"/>
      <c r="K133" s="1196"/>
      <c r="L133" s="1196"/>
      <c r="M133" s="1196"/>
      <c r="N133" s="1196"/>
      <c r="O133" s="1196"/>
      <c r="P133" s="1196"/>
      <c r="Q133" s="1196"/>
      <c r="R133" s="1196"/>
      <c r="S133" s="1196"/>
      <c r="T133" s="1196"/>
      <c r="U133" s="1196"/>
      <c r="V133" s="1196"/>
      <c r="W133" s="1196"/>
      <c r="X133" s="1196"/>
      <c r="Y133" s="1196"/>
      <c r="Z133" s="1196"/>
      <c r="AA133" s="1196"/>
      <c r="AB133" s="1196"/>
      <c r="AC133" s="1196"/>
      <c r="AD133" s="1196"/>
      <c r="AE133" s="318"/>
      <c r="AF133" s="318"/>
      <c r="AG133" s="318"/>
      <c r="AH133" s="92"/>
    </row>
    <row r="134" spans="1:42" ht="15" customHeight="1" thickBot="1">
      <c r="A134" s="736"/>
      <c r="B134" s="736"/>
      <c r="C134" s="736"/>
      <c r="D134" s="736"/>
      <c r="E134" s="736"/>
      <c r="F134" s="737"/>
      <c r="G134" s="737"/>
      <c r="H134" s="737"/>
      <c r="I134" s="737"/>
      <c r="J134" s="737"/>
      <c r="K134" s="737"/>
      <c r="L134" s="737"/>
      <c r="M134" s="737"/>
      <c r="N134" s="737"/>
      <c r="O134" s="737"/>
      <c r="P134" s="737"/>
      <c r="Q134" s="737"/>
      <c r="R134" s="737"/>
      <c r="S134" s="737"/>
      <c r="T134" s="737"/>
      <c r="U134" s="737"/>
      <c r="V134" s="737"/>
      <c r="W134" s="737"/>
      <c r="X134" s="737"/>
      <c r="Y134" s="737"/>
      <c r="Z134" s="737"/>
      <c r="AA134" s="737"/>
      <c r="AB134" s="737"/>
      <c r="AC134" s="737"/>
      <c r="AD134" s="737"/>
      <c r="AE134" s="318"/>
      <c r="AF134" s="318"/>
      <c r="AG134" s="318"/>
      <c r="AP134" s="82"/>
    </row>
    <row r="135" spans="1:42" ht="15" customHeight="1" thickBot="1">
      <c r="A135" s="966" t="s">
        <v>122</v>
      </c>
      <c r="B135" s="966"/>
      <c r="C135" s="966"/>
      <c r="D135" s="966"/>
      <c r="E135" s="966"/>
      <c r="F135" s="966"/>
      <c r="G135" s="966"/>
      <c r="H135" s="966"/>
      <c r="I135" s="966"/>
      <c r="J135" s="981" t="str">
        <f>IF(AND(AI136,AI138,AI139,AI140),"○","×")</f>
        <v>×</v>
      </c>
      <c r="K135" s="982"/>
      <c r="L135" s="982"/>
      <c r="M135" s="982"/>
      <c r="N135" s="983"/>
      <c r="O135" s="969" t="s">
        <v>208</v>
      </c>
      <c r="P135" s="970"/>
      <c r="Q135" s="970"/>
      <c r="R135" s="318"/>
      <c r="S135" s="318"/>
      <c r="T135" s="318"/>
      <c r="U135" s="318"/>
      <c r="V135" s="575"/>
      <c r="W135" s="575"/>
      <c r="X135" s="575"/>
      <c r="Y135" s="575"/>
      <c r="Z135" s="575"/>
      <c r="AA135" s="575"/>
      <c r="AB135" s="575"/>
      <c r="AC135" s="575"/>
      <c r="AD135" s="575"/>
      <c r="AE135" s="318"/>
      <c r="AF135" s="318"/>
      <c r="AG135" s="318"/>
      <c r="AH135" s="92"/>
    </row>
    <row r="136" spans="1:42" ht="15" customHeight="1">
      <c r="A136" s="971" t="s">
        <v>78</v>
      </c>
      <c r="B136" s="971"/>
      <c r="C136" s="971"/>
      <c r="D136" s="971"/>
      <c r="E136" s="971"/>
      <c r="F136" s="972"/>
      <c r="G136" s="973"/>
      <c r="H136" s="973"/>
      <c r="I136" s="973"/>
      <c r="J136" s="973"/>
      <c r="K136" s="974"/>
      <c r="L136" s="318"/>
      <c r="M136" s="318"/>
      <c r="N136" s="318"/>
      <c r="O136" s="318"/>
      <c r="P136" s="318"/>
      <c r="Q136" s="318"/>
      <c r="R136" s="318"/>
      <c r="S136" s="318"/>
      <c r="T136" s="318"/>
      <c r="U136" s="318"/>
      <c r="V136" s="736"/>
      <c r="W136" s="736"/>
      <c r="X136" s="736"/>
      <c r="Y136" s="736"/>
      <c r="Z136" s="736"/>
      <c r="AA136" s="736"/>
      <c r="AB136" s="736"/>
      <c r="AC136" s="736"/>
      <c r="AD136" s="736"/>
      <c r="AE136" s="318"/>
      <c r="AF136" s="318"/>
      <c r="AG136" s="318"/>
      <c r="AH136" s="92"/>
      <c r="AI136" s="744" t="b">
        <f>F136="申請する"</f>
        <v>0</v>
      </c>
    </row>
    <row r="137" spans="1:42" ht="15" customHeight="1">
      <c r="A137" s="986" t="s">
        <v>372</v>
      </c>
      <c r="B137" s="987"/>
      <c r="C137" s="987"/>
      <c r="D137" s="987"/>
      <c r="E137" s="987"/>
      <c r="F137" s="964" t="s">
        <v>61</v>
      </c>
      <c r="G137" s="964"/>
      <c r="H137" s="964"/>
      <c r="I137" s="964"/>
      <c r="J137" s="964"/>
      <c r="K137" s="964"/>
      <c r="L137" s="964"/>
      <c r="M137" s="964"/>
      <c r="N137" s="964"/>
      <c r="O137" s="964"/>
      <c r="P137" s="964"/>
      <c r="Q137" s="964"/>
      <c r="R137" s="964"/>
      <c r="S137" s="964"/>
      <c r="T137" s="964"/>
      <c r="U137" s="964"/>
      <c r="V137" s="964"/>
      <c r="W137" s="964"/>
      <c r="X137" s="964"/>
      <c r="Y137" s="964"/>
      <c r="Z137" s="965"/>
      <c r="AA137" s="975" t="s">
        <v>210</v>
      </c>
      <c r="AB137" s="976"/>
      <c r="AC137" s="976"/>
      <c r="AD137" s="977"/>
      <c r="AE137" s="318"/>
      <c r="AF137" s="318"/>
      <c r="AG137" s="318"/>
      <c r="AH137" s="92"/>
    </row>
    <row r="138" spans="1:42" ht="39.950000000000003" customHeight="1">
      <c r="A138" s="988"/>
      <c r="B138" s="989"/>
      <c r="C138" s="989"/>
      <c r="D138" s="989"/>
      <c r="E138" s="989"/>
      <c r="F138" s="752">
        <v>1</v>
      </c>
      <c r="G138" s="979" t="s">
        <v>401</v>
      </c>
      <c r="H138" s="979"/>
      <c r="I138" s="979"/>
      <c r="J138" s="979"/>
      <c r="K138" s="979"/>
      <c r="L138" s="979"/>
      <c r="M138" s="979"/>
      <c r="N138" s="979"/>
      <c r="O138" s="979"/>
      <c r="P138" s="979"/>
      <c r="Q138" s="979"/>
      <c r="R138" s="979"/>
      <c r="S138" s="979"/>
      <c r="T138" s="979"/>
      <c r="U138" s="979"/>
      <c r="V138" s="979"/>
      <c r="W138" s="979"/>
      <c r="X138" s="979"/>
      <c r="Y138" s="979"/>
      <c r="Z138" s="980"/>
      <c r="AA138" s="972"/>
      <c r="AB138" s="973"/>
      <c r="AC138" s="973"/>
      <c r="AD138" s="974"/>
      <c r="AE138" s="575"/>
      <c r="AF138" s="575"/>
      <c r="AG138" s="575"/>
      <c r="AH138" s="92"/>
      <c r="AI138" s="744" t="b">
        <f>AA138="○"</f>
        <v>0</v>
      </c>
    </row>
    <row r="139" spans="1:42" ht="24.95" customHeight="1">
      <c r="A139" s="988"/>
      <c r="B139" s="989"/>
      <c r="C139" s="989"/>
      <c r="D139" s="989"/>
      <c r="E139" s="989"/>
      <c r="F139" s="752">
        <v>2</v>
      </c>
      <c r="G139" s="979" t="s">
        <v>373</v>
      </c>
      <c r="H139" s="1112"/>
      <c r="I139" s="1112"/>
      <c r="J139" s="1112"/>
      <c r="K139" s="1112"/>
      <c r="L139" s="1112"/>
      <c r="M139" s="1112"/>
      <c r="N139" s="1112"/>
      <c r="O139" s="1112"/>
      <c r="P139" s="1112"/>
      <c r="Q139" s="1112"/>
      <c r="R139" s="1112"/>
      <c r="S139" s="1112"/>
      <c r="T139" s="1112"/>
      <c r="U139" s="1112"/>
      <c r="V139" s="1112"/>
      <c r="W139" s="1112"/>
      <c r="X139" s="1112"/>
      <c r="Y139" s="1112"/>
      <c r="Z139" s="1213"/>
      <c r="AA139" s="972"/>
      <c r="AB139" s="973"/>
      <c r="AC139" s="973"/>
      <c r="AD139" s="974"/>
      <c r="AE139" s="575"/>
      <c r="AF139" s="575"/>
      <c r="AG139" s="575"/>
      <c r="AH139" s="92"/>
      <c r="AI139" s="744" t="b">
        <f>AA139="○"</f>
        <v>0</v>
      </c>
    </row>
    <row r="140" spans="1:42" ht="24.95" customHeight="1">
      <c r="A140" s="990"/>
      <c r="B140" s="991"/>
      <c r="C140" s="991"/>
      <c r="D140" s="991"/>
      <c r="E140" s="991"/>
      <c r="F140" s="738">
        <v>3</v>
      </c>
      <c r="G140" s="979" t="s">
        <v>374</v>
      </c>
      <c r="H140" s="979"/>
      <c r="I140" s="979"/>
      <c r="J140" s="979"/>
      <c r="K140" s="979"/>
      <c r="L140" s="979"/>
      <c r="M140" s="979"/>
      <c r="N140" s="979"/>
      <c r="O140" s="979"/>
      <c r="P140" s="979"/>
      <c r="Q140" s="979"/>
      <c r="R140" s="979"/>
      <c r="S140" s="979"/>
      <c r="T140" s="979"/>
      <c r="U140" s="979"/>
      <c r="V140" s="979"/>
      <c r="W140" s="979"/>
      <c r="X140" s="979"/>
      <c r="Y140" s="979"/>
      <c r="Z140" s="980"/>
      <c r="AA140" s="972"/>
      <c r="AB140" s="973"/>
      <c r="AC140" s="973"/>
      <c r="AD140" s="974"/>
      <c r="AE140" s="575"/>
      <c r="AF140" s="575"/>
      <c r="AG140" s="575"/>
      <c r="AH140" s="92"/>
      <c r="AI140" s="744" t="b">
        <f>AA140="○"</f>
        <v>0</v>
      </c>
    </row>
    <row r="141" spans="1:42" ht="24.95" customHeight="1">
      <c r="A141" s="971" t="s">
        <v>34</v>
      </c>
      <c r="B141" s="971"/>
      <c r="C141" s="971"/>
      <c r="D141" s="971"/>
      <c r="E141" s="971"/>
      <c r="F141" s="978" t="s">
        <v>627</v>
      </c>
      <c r="G141" s="979"/>
      <c r="H141" s="979"/>
      <c r="I141" s="979"/>
      <c r="J141" s="979"/>
      <c r="K141" s="979"/>
      <c r="L141" s="979"/>
      <c r="M141" s="979"/>
      <c r="N141" s="979"/>
      <c r="O141" s="979"/>
      <c r="P141" s="979"/>
      <c r="Q141" s="979"/>
      <c r="R141" s="979"/>
      <c r="S141" s="979"/>
      <c r="T141" s="979"/>
      <c r="U141" s="979"/>
      <c r="V141" s="979"/>
      <c r="W141" s="979"/>
      <c r="X141" s="979"/>
      <c r="Y141" s="979"/>
      <c r="Z141" s="979"/>
      <c r="AA141" s="979"/>
      <c r="AB141" s="979"/>
      <c r="AC141" s="979"/>
      <c r="AD141" s="980"/>
      <c r="AE141" s="318"/>
      <c r="AF141" s="318"/>
      <c r="AG141" s="318"/>
      <c r="AH141" s="92"/>
    </row>
    <row r="142" spans="1:42" s="80" customFormat="1" ht="15" customHeight="1" thickBot="1">
      <c r="A142" s="318"/>
      <c r="B142" s="318"/>
      <c r="C142" s="318"/>
      <c r="D142" s="318"/>
      <c r="E142" s="318"/>
      <c r="F142" s="318"/>
      <c r="G142" s="318"/>
      <c r="H142" s="318"/>
      <c r="I142" s="318"/>
      <c r="J142" s="318"/>
      <c r="K142" s="318"/>
      <c r="L142" s="318"/>
      <c r="M142" s="318"/>
      <c r="N142" s="318"/>
      <c r="O142" s="318"/>
      <c r="P142" s="318"/>
      <c r="Q142" s="318"/>
      <c r="R142" s="318"/>
      <c r="S142" s="318"/>
      <c r="T142" s="318"/>
      <c r="U142" s="318"/>
      <c r="V142" s="318"/>
      <c r="W142" s="318"/>
      <c r="X142" s="318"/>
      <c r="Y142" s="318"/>
      <c r="Z142" s="318"/>
      <c r="AA142" s="318"/>
      <c r="AB142" s="318"/>
      <c r="AC142" s="318"/>
      <c r="AD142" s="318"/>
      <c r="AE142" s="318"/>
      <c r="AF142" s="318"/>
      <c r="AG142" s="318"/>
      <c r="AH142" s="83"/>
      <c r="AI142" s="83"/>
      <c r="AP142" s="83"/>
    </row>
    <row r="143" spans="1:42" s="80" customFormat="1" ht="15" customHeight="1" thickBot="1">
      <c r="A143" s="1002" t="s">
        <v>123</v>
      </c>
      <c r="B143" s="1002"/>
      <c r="C143" s="1002"/>
      <c r="D143" s="1002"/>
      <c r="E143" s="1002"/>
      <c r="F143" s="1002"/>
      <c r="G143" s="1002"/>
      <c r="H143" s="1002"/>
      <c r="I143" s="1002"/>
      <c r="J143" s="981" t="str">
        <f>IF(AND(AI146,AI150,AI151,AI152),"×","○")</f>
        <v>○</v>
      </c>
      <c r="K143" s="982"/>
      <c r="L143" s="982"/>
      <c r="M143" s="982"/>
      <c r="N143" s="983"/>
      <c r="O143" s="969" t="s">
        <v>208</v>
      </c>
      <c r="P143" s="970"/>
      <c r="Q143" s="970"/>
      <c r="R143" s="318"/>
      <c r="S143" s="318"/>
      <c r="T143" s="318"/>
      <c r="U143" s="318"/>
      <c r="V143" s="575"/>
      <c r="W143" s="575"/>
      <c r="X143" s="575"/>
      <c r="Y143" s="575"/>
      <c r="Z143" s="575"/>
      <c r="AA143" s="575"/>
      <c r="AB143" s="575"/>
      <c r="AC143" s="575"/>
      <c r="AD143" s="575"/>
      <c r="AE143" s="318"/>
      <c r="AF143" s="318"/>
      <c r="AG143" s="318"/>
      <c r="AP143" s="92"/>
    </row>
    <row r="144" spans="1:42" s="80" customFormat="1" ht="15" customHeight="1">
      <c r="A144" s="1211" t="s">
        <v>261</v>
      </c>
      <c r="B144" s="1211"/>
      <c r="C144" s="1211"/>
      <c r="D144" s="1211"/>
      <c r="E144" s="1211"/>
      <c r="F144" s="1211"/>
      <c r="G144" s="1211"/>
      <c r="H144" s="1211"/>
      <c r="I144" s="1211"/>
      <c r="J144" s="1211"/>
      <c r="K144" s="1211"/>
      <c r="L144" s="1211"/>
      <c r="M144" s="1211"/>
      <c r="N144" s="1211"/>
      <c r="O144" s="1211"/>
      <c r="P144" s="1211"/>
      <c r="Q144" s="1211"/>
      <c r="R144" s="1211"/>
      <c r="S144" s="1211"/>
      <c r="T144" s="1211"/>
      <c r="U144" s="1211"/>
      <c r="V144" s="1211"/>
      <c r="W144" s="1211"/>
      <c r="X144" s="1211"/>
      <c r="Y144" s="1211"/>
      <c r="Z144" s="1211"/>
      <c r="AA144" s="1211"/>
      <c r="AB144" s="1211"/>
      <c r="AC144" s="1211"/>
      <c r="AD144" s="1211"/>
      <c r="AE144" s="1211"/>
      <c r="AF144" s="1211"/>
      <c r="AG144" s="1211"/>
      <c r="AH144" s="81"/>
      <c r="AP144" s="92"/>
    </row>
    <row r="145" spans="1:42" s="80" customFormat="1" ht="15" customHeight="1">
      <c r="A145" s="986" t="s">
        <v>403</v>
      </c>
      <c r="B145" s="987"/>
      <c r="C145" s="987"/>
      <c r="D145" s="987"/>
      <c r="E145" s="987"/>
      <c r="F145" s="964" t="s">
        <v>61</v>
      </c>
      <c r="G145" s="964"/>
      <c r="H145" s="964"/>
      <c r="I145" s="964"/>
      <c r="J145" s="964"/>
      <c r="K145" s="964"/>
      <c r="L145" s="964"/>
      <c r="M145" s="964"/>
      <c r="N145" s="964"/>
      <c r="O145" s="964"/>
      <c r="P145" s="964"/>
      <c r="Q145" s="964"/>
      <c r="R145" s="964"/>
      <c r="S145" s="964"/>
      <c r="T145" s="964"/>
      <c r="U145" s="964"/>
      <c r="V145" s="964"/>
      <c r="W145" s="964"/>
      <c r="X145" s="964"/>
      <c r="Y145" s="964"/>
      <c r="Z145" s="965"/>
      <c r="AA145" s="963" t="s">
        <v>210</v>
      </c>
      <c r="AB145" s="964"/>
      <c r="AC145" s="964"/>
      <c r="AD145" s="965"/>
      <c r="AE145" s="602"/>
      <c r="AF145" s="602"/>
      <c r="AG145" s="602"/>
      <c r="AH145" s="81"/>
      <c r="AP145" s="92"/>
    </row>
    <row r="146" spans="1:42" s="80" customFormat="1" ht="15" customHeight="1">
      <c r="A146" s="988"/>
      <c r="B146" s="989"/>
      <c r="C146" s="989"/>
      <c r="D146" s="989"/>
      <c r="E146" s="989"/>
      <c r="F146" s="601">
        <v>1</v>
      </c>
      <c r="G146" s="1194" t="s">
        <v>263</v>
      </c>
      <c r="H146" s="1194"/>
      <c r="I146" s="1194"/>
      <c r="J146" s="1194"/>
      <c r="K146" s="1194"/>
      <c r="L146" s="1194"/>
      <c r="M146" s="1194"/>
      <c r="N146" s="1194"/>
      <c r="O146" s="1194"/>
      <c r="P146" s="1194"/>
      <c r="Q146" s="1194"/>
      <c r="R146" s="1194"/>
      <c r="S146" s="1194"/>
      <c r="T146" s="1194"/>
      <c r="U146" s="1194"/>
      <c r="V146" s="1194"/>
      <c r="W146" s="1194"/>
      <c r="X146" s="1194"/>
      <c r="Y146" s="1194"/>
      <c r="Z146" s="1195"/>
      <c r="AA146" s="1207" t="str">
        <f>IF(OR(ISTEXT(H147),ISTEXT(H148),ISTEXT(H149)),"○","×")</f>
        <v>×</v>
      </c>
      <c r="AB146" s="1207"/>
      <c r="AC146" s="1207"/>
      <c r="AD146" s="1208"/>
      <c r="AE146" s="318"/>
      <c r="AF146" s="318"/>
      <c r="AG146" s="318"/>
      <c r="AI146" s="744" t="b">
        <f>AA146="○"</f>
        <v>0</v>
      </c>
      <c r="AP146" s="83"/>
    </row>
    <row r="147" spans="1:42" s="80" customFormat="1" ht="15" customHeight="1">
      <c r="A147" s="988"/>
      <c r="B147" s="989"/>
      <c r="C147" s="989"/>
      <c r="D147" s="989"/>
      <c r="E147" s="989"/>
      <c r="F147" s="984" t="s">
        <v>262</v>
      </c>
      <c r="G147" s="985"/>
      <c r="H147" s="967"/>
      <c r="I147" s="967"/>
      <c r="J147" s="967"/>
      <c r="K147" s="967"/>
      <c r="L147" s="967"/>
      <c r="M147" s="967"/>
      <c r="N147" s="967"/>
      <c r="O147" s="967"/>
      <c r="P147" s="967"/>
      <c r="Q147" s="967"/>
      <c r="R147" s="967"/>
      <c r="S147" s="967"/>
      <c r="T147" s="967"/>
      <c r="U147" s="967"/>
      <c r="V147" s="967"/>
      <c r="W147" s="967"/>
      <c r="X147" s="967"/>
      <c r="Y147" s="967"/>
      <c r="Z147" s="968"/>
      <c r="AA147" s="985"/>
      <c r="AB147" s="985"/>
      <c r="AC147" s="985"/>
      <c r="AD147" s="1032"/>
      <c r="AE147" s="318"/>
      <c r="AF147" s="318"/>
      <c r="AG147" s="318"/>
      <c r="AP147" s="83"/>
    </row>
    <row r="148" spans="1:42" s="80" customFormat="1" ht="15" customHeight="1">
      <c r="A148" s="988"/>
      <c r="B148" s="989"/>
      <c r="C148" s="989"/>
      <c r="D148" s="989"/>
      <c r="E148" s="989"/>
      <c r="F148" s="984" t="s">
        <v>264</v>
      </c>
      <c r="G148" s="985"/>
      <c r="H148" s="967"/>
      <c r="I148" s="967"/>
      <c r="J148" s="967"/>
      <c r="K148" s="967"/>
      <c r="L148" s="967"/>
      <c r="M148" s="967"/>
      <c r="N148" s="967"/>
      <c r="O148" s="967"/>
      <c r="P148" s="967"/>
      <c r="Q148" s="967"/>
      <c r="R148" s="967"/>
      <c r="S148" s="967"/>
      <c r="T148" s="967"/>
      <c r="U148" s="967"/>
      <c r="V148" s="967"/>
      <c r="W148" s="967"/>
      <c r="X148" s="967"/>
      <c r="Y148" s="967"/>
      <c r="Z148" s="968"/>
      <c r="AA148" s="985"/>
      <c r="AB148" s="985"/>
      <c r="AC148" s="985"/>
      <c r="AD148" s="1032"/>
      <c r="AE148" s="318"/>
      <c r="AF148" s="318"/>
      <c r="AG148" s="318"/>
      <c r="AP148" s="83"/>
    </row>
    <row r="149" spans="1:42" s="80" customFormat="1" ht="15" customHeight="1">
      <c r="A149" s="988"/>
      <c r="B149" s="989"/>
      <c r="C149" s="989"/>
      <c r="D149" s="989"/>
      <c r="E149" s="989"/>
      <c r="F149" s="984" t="s">
        <v>51</v>
      </c>
      <c r="G149" s="985"/>
      <c r="H149" s="967"/>
      <c r="I149" s="967"/>
      <c r="J149" s="967"/>
      <c r="K149" s="967"/>
      <c r="L149" s="967"/>
      <c r="M149" s="967"/>
      <c r="N149" s="967"/>
      <c r="O149" s="967"/>
      <c r="P149" s="967"/>
      <c r="Q149" s="967"/>
      <c r="R149" s="967"/>
      <c r="S149" s="967"/>
      <c r="T149" s="967"/>
      <c r="U149" s="967"/>
      <c r="V149" s="967"/>
      <c r="W149" s="967"/>
      <c r="X149" s="967"/>
      <c r="Y149" s="967"/>
      <c r="Z149" s="968"/>
      <c r="AA149" s="1209"/>
      <c r="AB149" s="1209"/>
      <c r="AC149" s="1209"/>
      <c r="AD149" s="1210"/>
      <c r="AE149" s="318"/>
      <c r="AF149" s="318"/>
      <c r="AG149" s="318"/>
      <c r="AP149" s="83"/>
    </row>
    <row r="150" spans="1:42" s="80" customFormat="1" ht="39.950000000000003" customHeight="1">
      <c r="A150" s="988"/>
      <c r="B150" s="989"/>
      <c r="C150" s="989"/>
      <c r="D150" s="989"/>
      <c r="E150" s="989"/>
      <c r="F150" s="741">
        <v>2</v>
      </c>
      <c r="G150" s="979" t="s">
        <v>378</v>
      </c>
      <c r="H150" s="979"/>
      <c r="I150" s="979"/>
      <c r="J150" s="979"/>
      <c r="K150" s="979"/>
      <c r="L150" s="979"/>
      <c r="M150" s="979"/>
      <c r="N150" s="979"/>
      <c r="O150" s="979"/>
      <c r="P150" s="979"/>
      <c r="Q150" s="979"/>
      <c r="R150" s="979"/>
      <c r="S150" s="979"/>
      <c r="T150" s="979"/>
      <c r="U150" s="979"/>
      <c r="V150" s="979"/>
      <c r="W150" s="979"/>
      <c r="X150" s="979"/>
      <c r="Y150" s="979"/>
      <c r="Z150" s="980"/>
      <c r="AA150" s="972"/>
      <c r="AB150" s="973"/>
      <c r="AC150" s="973"/>
      <c r="AD150" s="974"/>
      <c r="AE150" s="318"/>
      <c r="AF150" s="318"/>
      <c r="AG150" s="318"/>
      <c r="AH150" s="318"/>
      <c r="AI150" s="744" t="b">
        <f>AA150="○"</f>
        <v>0</v>
      </c>
      <c r="AP150" s="83"/>
    </row>
    <row r="151" spans="1:42" s="80" customFormat="1" ht="50.1" customHeight="1">
      <c r="A151" s="988"/>
      <c r="B151" s="989"/>
      <c r="C151" s="989"/>
      <c r="D151" s="989"/>
      <c r="E151" s="989"/>
      <c r="F151" s="741">
        <v>3</v>
      </c>
      <c r="G151" s="979" t="s">
        <v>379</v>
      </c>
      <c r="H151" s="979"/>
      <c r="I151" s="979"/>
      <c r="J151" s="979"/>
      <c r="K151" s="979"/>
      <c r="L151" s="979"/>
      <c r="M151" s="979"/>
      <c r="N151" s="979"/>
      <c r="O151" s="979"/>
      <c r="P151" s="979"/>
      <c r="Q151" s="979"/>
      <c r="R151" s="979"/>
      <c r="S151" s="979"/>
      <c r="T151" s="979"/>
      <c r="U151" s="979"/>
      <c r="V151" s="979"/>
      <c r="W151" s="979"/>
      <c r="X151" s="979"/>
      <c r="Y151" s="979"/>
      <c r="Z151" s="980"/>
      <c r="AA151" s="972"/>
      <c r="AB151" s="973"/>
      <c r="AC151" s="973"/>
      <c r="AD151" s="974"/>
      <c r="AE151" s="318"/>
      <c r="AF151" s="318"/>
      <c r="AG151" s="318"/>
      <c r="AH151" s="318"/>
      <c r="AI151" s="744" t="b">
        <f>AA151="○"</f>
        <v>0</v>
      </c>
      <c r="AP151" s="83"/>
    </row>
    <row r="152" spans="1:42" s="80" customFormat="1" ht="39.950000000000003" customHeight="1">
      <c r="A152" s="990"/>
      <c r="B152" s="991"/>
      <c r="C152" s="991"/>
      <c r="D152" s="991"/>
      <c r="E152" s="991"/>
      <c r="F152" s="741">
        <v>4</v>
      </c>
      <c r="G152" s="979" t="s">
        <v>377</v>
      </c>
      <c r="H152" s="979"/>
      <c r="I152" s="979"/>
      <c r="J152" s="979"/>
      <c r="K152" s="979"/>
      <c r="L152" s="979"/>
      <c r="M152" s="979"/>
      <c r="N152" s="979"/>
      <c r="O152" s="979"/>
      <c r="P152" s="979"/>
      <c r="Q152" s="979"/>
      <c r="R152" s="979"/>
      <c r="S152" s="979"/>
      <c r="T152" s="979"/>
      <c r="U152" s="979"/>
      <c r="V152" s="979"/>
      <c r="W152" s="979"/>
      <c r="X152" s="979"/>
      <c r="Y152" s="979"/>
      <c r="Z152" s="980"/>
      <c r="AA152" s="972"/>
      <c r="AB152" s="973"/>
      <c r="AC152" s="973"/>
      <c r="AD152" s="974"/>
      <c r="AE152" s="318"/>
      <c r="AF152" s="318"/>
      <c r="AG152" s="318"/>
      <c r="AH152" s="318"/>
      <c r="AI152" s="744" t="b">
        <f>AA152="○"</f>
        <v>0</v>
      </c>
      <c r="AP152" s="83"/>
    </row>
    <row r="153" spans="1:42" s="80" customFormat="1" ht="15" customHeight="1">
      <c r="A153" s="739"/>
      <c r="B153" s="739"/>
      <c r="C153" s="739"/>
      <c r="D153" s="739"/>
      <c r="E153" s="739"/>
      <c r="F153" s="575"/>
      <c r="G153" s="575"/>
      <c r="H153" s="575"/>
      <c r="I153" s="575"/>
      <c r="J153" s="575"/>
      <c r="K153" s="575"/>
      <c r="L153" s="575"/>
      <c r="M153" s="575"/>
      <c r="N153" s="575"/>
      <c r="O153" s="575"/>
      <c r="P153" s="575"/>
      <c r="Q153" s="575"/>
      <c r="R153" s="575"/>
      <c r="S153" s="575"/>
      <c r="T153" s="575"/>
      <c r="U153" s="575"/>
      <c r="V153" s="575"/>
      <c r="W153" s="575"/>
      <c r="X153" s="575"/>
      <c r="Y153" s="575"/>
      <c r="Z153" s="575"/>
      <c r="AA153" s="575"/>
      <c r="AB153" s="575"/>
      <c r="AC153" s="575"/>
      <c r="AD153" s="575"/>
      <c r="AE153" s="318"/>
      <c r="AF153" s="318"/>
      <c r="AG153" s="318"/>
      <c r="AH153" s="318"/>
      <c r="AP153" s="83"/>
    </row>
    <row r="154" spans="1:42" ht="15" customHeight="1">
      <c r="A154" s="1258" t="s">
        <v>124</v>
      </c>
      <c r="B154" s="1258"/>
      <c r="C154" s="1258"/>
      <c r="D154" s="1258"/>
      <c r="E154" s="1258"/>
      <c r="F154" s="1258"/>
      <c r="G154" s="1258"/>
      <c r="H154" s="1258"/>
      <c r="I154" s="1258"/>
      <c r="J154" s="318"/>
      <c r="K154" s="318"/>
      <c r="L154" s="318"/>
      <c r="M154" s="318"/>
      <c r="N154" s="318"/>
      <c r="O154" s="318"/>
      <c r="P154" s="318"/>
      <c r="Q154" s="318"/>
      <c r="R154" s="318"/>
      <c r="S154" s="318"/>
      <c r="T154" s="318"/>
      <c r="U154" s="318"/>
      <c r="V154" s="318"/>
      <c r="W154" s="318"/>
      <c r="X154" s="318"/>
      <c r="Y154" s="318"/>
      <c r="Z154" s="318"/>
      <c r="AA154" s="318"/>
      <c r="AB154" s="318"/>
      <c r="AC154" s="318"/>
      <c r="AD154" s="318"/>
      <c r="AE154" s="318"/>
      <c r="AF154" s="318"/>
      <c r="AG154" s="318"/>
      <c r="AH154" s="318"/>
      <c r="AI154" s="80"/>
      <c r="AJ154" s="80"/>
      <c r="AK154" s="80"/>
      <c r="AL154" s="80"/>
    </row>
    <row r="155" spans="1:42" ht="15" customHeight="1" thickBot="1">
      <c r="A155" s="1258"/>
      <c r="B155" s="1258"/>
      <c r="C155" s="1258"/>
      <c r="D155" s="1258"/>
      <c r="E155" s="1258"/>
      <c r="F155" s="1258"/>
      <c r="G155" s="1258"/>
      <c r="H155" s="1258"/>
      <c r="I155" s="1258"/>
      <c r="J155" s="318"/>
      <c r="K155" s="318"/>
      <c r="L155" s="318"/>
      <c r="M155" s="318"/>
      <c r="N155" s="318"/>
      <c r="O155" s="318"/>
      <c r="P155" s="318"/>
      <c r="Q155" s="318"/>
      <c r="R155" s="318"/>
      <c r="S155" s="318"/>
      <c r="T155" s="318"/>
      <c r="U155" s="318"/>
      <c r="V155" s="318"/>
      <c r="W155" s="318"/>
      <c r="X155" s="318"/>
      <c r="Y155" s="318"/>
      <c r="Z155" s="318"/>
      <c r="AA155" s="318"/>
      <c r="AB155" s="318"/>
      <c r="AC155" s="318"/>
      <c r="AD155" s="318"/>
      <c r="AE155" s="318"/>
      <c r="AF155" s="318"/>
      <c r="AG155" s="318"/>
      <c r="AH155" s="318"/>
      <c r="AI155" s="80"/>
    </row>
    <row r="156" spans="1:42" s="82" customFormat="1" ht="15" customHeight="1" thickBot="1">
      <c r="A156" s="1258"/>
      <c r="B156" s="1258"/>
      <c r="C156" s="1258"/>
      <c r="D156" s="1258"/>
      <c r="E156" s="1258"/>
      <c r="F156" s="1258"/>
      <c r="G156" s="1258"/>
      <c r="H156" s="1258"/>
      <c r="I156" s="1258"/>
      <c r="J156" s="981" t="str">
        <f>IF(OR(AI159,AI160),"×","○")</f>
        <v>○</v>
      </c>
      <c r="K156" s="982"/>
      <c r="L156" s="982"/>
      <c r="M156" s="982"/>
      <c r="N156" s="983"/>
      <c r="O156" s="969" t="s">
        <v>208</v>
      </c>
      <c r="P156" s="970"/>
      <c r="Q156" s="970"/>
      <c r="R156" s="318"/>
      <c r="S156" s="318"/>
      <c r="T156" s="318"/>
      <c r="U156" s="318"/>
      <c r="V156" s="575"/>
      <c r="W156" s="575"/>
      <c r="X156" s="575"/>
      <c r="Y156" s="575"/>
      <c r="Z156" s="575"/>
      <c r="AA156" s="575"/>
      <c r="AB156" s="575"/>
      <c r="AC156" s="575"/>
      <c r="AD156" s="575"/>
      <c r="AE156" s="318"/>
      <c r="AF156" s="318"/>
      <c r="AG156" s="318"/>
      <c r="AH156" s="80"/>
      <c r="AI156" s="80"/>
      <c r="AP156" s="83"/>
    </row>
    <row r="157" spans="1:42" s="82" customFormat="1" ht="15" customHeight="1">
      <c r="A157" s="1211" t="s">
        <v>261</v>
      </c>
      <c r="B157" s="1211"/>
      <c r="C157" s="1211"/>
      <c r="D157" s="1211"/>
      <c r="E157" s="1211"/>
      <c r="F157" s="1211"/>
      <c r="G157" s="1211"/>
      <c r="H157" s="1211"/>
      <c r="I157" s="1211"/>
      <c r="J157" s="1211"/>
      <c r="K157" s="1211"/>
      <c r="L157" s="1211"/>
      <c r="M157" s="1211"/>
      <c r="N157" s="1211"/>
      <c r="O157" s="1211"/>
      <c r="P157" s="1211"/>
      <c r="Q157" s="1211"/>
      <c r="R157" s="1211"/>
      <c r="S157" s="1211"/>
      <c r="T157" s="1211"/>
      <c r="U157" s="1211"/>
      <c r="V157" s="1211"/>
      <c r="W157" s="1211"/>
      <c r="X157" s="1211"/>
      <c r="Y157" s="1211"/>
      <c r="Z157" s="1211"/>
      <c r="AA157" s="1211"/>
      <c r="AB157" s="1211"/>
      <c r="AC157" s="1211"/>
      <c r="AD157" s="1211"/>
      <c r="AE157" s="1211"/>
      <c r="AF157" s="1211"/>
      <c r="AG157" s="1211"/>
      <c r="AH157" s="80"/>
      <c r="AI157" s="80"/>
      <c r="AP157" s="83"/>
    </row>
    <row r="158" spans="1:42" s="82" customFormat="1" ht="15" customHeight="1">
      <c r="A158" s="986" t="s">
        <v>404</v>
      </c>
      <c r="B158" s="987"/>
      <c r="C158" s="987"/>
      <c r="D158" s="987"/>
      <c r="E158" s="987"/>
      <c r="F158" s="964" t="s">
        <v>61</v>
      </c>
      <c r="G158" s="964"/>
      <c r="H158" s="964"/>
      <c r="I158" s="964"/>
      <c r="J158" s="964"/>
      <c r="K158" s="964"/>
      <c r="L158" s="964"/>
      <c r="M158" s="964"/>
      <c r="N158" s="964"/>
      <c r="O158" s="964"/>
      <c r="P158" s="964"/>
      <c r="Q158" s="964"/>
      <c r="R158" s="964"/>
      <c r="S158" s="964"/>
      <c r="T158" s="964"/>
      <c r="U158" s="964"/>
      <c r="V158" s="964"/>
      <c r="W158" s="964"/>
      <c r="X158" s="964"/>
      <c r="Y158" s="964"/>
      <c r="Z158" s="965"/>
      <c r="AA158" s="963" t="s">
        <v>210</v>
      </c>
      <c r="AB158" s="964"/>
      <c r="AC158" s="964"/>
      <c r="AD158" s="965"/>
      <c r="AE158" s="318"/>
      <c r="AF158" s="318"/>
      <c r="AG158" s="318"/>
      <c r="AH158" s="80"/>
      <c r="AI158" s="80"/>
      <c r="AP158" s="83"/>
    </row>
    <row r="159" spans="1:42" s="82" customFormat="1" ht="15" customHeight="1">
      <c r="A159" s="988"/>
      <c r="B159" s="989"/>
      <c r="C159" s="989"/>
      <c r="D159" s="989"/>
      <c r="E159" s="989"/>
      <c r="F159" s="741">
        <v>1</v>
      </c>
      <c r="G159" s="1112" t="s">
        <v>265</v>
      </c>
      <c r="H159" s="1112"/>
      <c r="I159" s="1112"/>
      <c r="J159" s="1112"/>
      <c r="K159" s="1112"/>
      <c r="L159" s="1112"/>
      <c r="M159" s="1112"/>
      <c r="N159" s="1112"/>
      <c r="O159" s="1112"/>
      <c r="P159" s="1112"/>
      <c r="Q159" s="1112"/>
      <c r="R159" s="1112"/>
      <c r="S159" s="1112"/>
      <c r="T159" s="1112"/>
      <c r="U159" s="1112"/>
      <c r="V159" s="1112"/>
      <c r="W159" s="1112"/>
      <c r="X159" s="1112"/>
      <c r="Y159" s="1112"/>
      <c r="Z159" s="1112"/>
      <c r="AA159" s="972"/>
      <c r="AB159" s="973"/>
      <c r="AC159" s="973"/>
      <c r="AD159" s="974"/>
      <c r="AE159" s="318"/>
      <c r="AF159" s="318"/>
      <c r="AG159" s="318"/>
      <c r="AH159" s="80"/>
      <c r="AI159" s="744" t="b">
        <f>AA159="○"</f>
        <v>0</v>
      </c>
      <c r="AP159" s="83"/>
    </row>
    <row r="160" spans="1:42" ht="24.95" customHeight="1">
      <c r="A160" s="988"/>
      <c r="B160" s="989"/>
      <c r="C160" s="989"/>
      <c r="D160" s="989"/>
      <c r="E160" s="989"/>
      <c r="F160" s="733">
        <v>2</v>
      </c>
      <c r="G160" s="1194" t="s">
        <v>266</v>
      </c>
      <c r="H160" s="1194"/>
      <c r="I160" s="1194"/>
      <c r="J160" s="1194"/>
      <c r="K160" s="1194"/>
      <c r="L160" s="1194"/>
      <c r="M160" s="1194"/>
      <c r="N160" s="1194"/>
      <c r="O160" s="1194"/>
      <c r="P160" s="1194"/>
      <c r="Q160" s="1194"/>
      <c r="R160" s="1194"/>
      <c r="S160" s="1194"/>
      <c r="T160" s="1194"/>
      <c r="U160" s="1194"/>
      <c r="V160" s="1194"/>
      <c r="W160" s="1194"/>
      <c r="X160" s="1194"/>
      <c r="Y160" s="1194"/>
      <c r="Z160" s="1195"/>
      <c r="AA160" s="1207" t="str">
        <f>IF(OR(ISTEXT(H161),ISTEXT(H162),ISTEXT(H163)),"○","×")</f>
        <v>×</v>
      </c>
      <c r="AB160" s="1207"/>
      <c r="AC160" s="1207"/>
      <c r="AD160" s="1208"/>
      <c r="AE160" s="318"/>
      <c r="AF160" s="318"/>
      <c r="AG160" s="318"/>
      <c r="AH160" s="80"/>
      <c r="AI160" s="744" t="b">
        <f>AA160="○"</f>
        <v>0</v>
      </c>
      <c r="AJ160" s="82"/>
      <c r="AK160" s="82"/>
      <c r="AL160" s="82"/>
    </row>
    <row r="161" spans="1:42" ht="15" customHeight="1">
      <c r="A161" s="988"/>
      <c r="B161" s="989"/>
      <c r="C161" s="989"/>
      <c r="D161" s="989"/>
      <c r="E161" s="989"/>
      <c r="F161" s="984" t="s">
        <v>262</v>
      </c>
      <c r="G161" s="985"/>
      <c r="H161" s="967"/>
      <c r="I161" s="967"/>
      <c r="J161" s="967"/>
      <c r="K161" s="967"/>
      <c r="L161" s="967"/>
      <c r="M161" s="967"/>
      <c r="N161" s="967"/>
      <c r="O161" s="967"/>
      <c r="P161" s="967"/>
      <c r="Q161" s="967"/>
      <c r="R161" s="967"/>
      <c r="S161" s="967"/>
      <c r="T161" s="967"/>
      <c r="U161" s="967"/>
      <c r="V161" s="967"/>
      <c r="W161" s="967"/>
      <c r="X161" s="967"/>
      <c r="Y161" s="967"/>
      <c r="Z161" s="968"/>
      <c r="AA161" s="985"/>
      <c r="AB161" s="985"/>
      <c r="AC161" s="985"/>
      <c r="AD161" s="1032"/>
      <c r="AE161" s="318"/>
      <c r="AF161" s="318"/>
      <c r="AG161" s="318"/>
      <c r="AH161" s="80"/>
      <c r="AI161" s="80"/>
      <c r="AJ161" s="82"/>
      <c r="AK161" s="82"/>
      <c r="AL161" s="82"/>
    </row>
    <row r="162" spans="1:42" ht="15" customHeight="1">
      <c r="A162" s="988"/>
      <c r="B162" s="989"/>
      <c r="C162" s="989"/>
      <c r="D162" s="989"/>
      <c r="E162" s="989"/>
      <c r="F162" s="984" t="s">
        <v>264</v>
      </c>
      <c r="G162" s="985"/>
      <c r="H162" s="967"/>
      <c r="I162" s="967"/>
      <c r="J162" s="967"/>
      <c r="K162" s="967"/>
      <c r="L162" s="967"/>
      <c r="M162" s="967"/>
      <c r="N162" s="967"/>
      <c r="O162" s="967"/>
      <c r="P162" s="967"/>
      <c r="Q162" s="967"/>
      <c r="R162" s="967"/>
      <c r="S162" s="967"/>
      <c r="T162" s="967"/>
      <c r="U162" s="967"/>
      <c r="V162" s="967"/>
      <c r="W162" s="967"/>
      <c r="X162" s="967"/>
      <c r="Y162" s="967"/>
      <c r="Z162" s="968"/>
      <c r="AA162" s="985"/>
      <c r="AB162" s="985"/>
      <c r="AC162" s="985"/>
      <c r="AD162" s="1032"/>
      <c r="AE162" s="318"/>
      <c r="AF162" s="318"/>
      <c r="AG162" s="318"/>
      <c r="AH162" s="80"/>
      <c r="AI162" s="80"/>
      <c r="AJ162" s="82"/>
      <c r="AK162" s="82"/>
      <c r="AL162" s="82"/>
    </row>
    <row r="163" spans="1:42" ht="15" customHeight="1">
      <c r="A163" s="990"/>
      <c r="B163" s="991"/>
      <c r="C163" s="991"/>
      <c r="D163" s="991"/>
      <c r="E163" s="991"/>
      <c r="F163" s="1252" t="s">
        <v>51</v>
      </c>
      <c r="G163" s="1209"/>
      <c r="H163" s="1253"/>
      <c r="I163" s="1253"/>
      <c r="J163" s="1253"/>
      <c r="K163" s="1253"/>
      <c r="L163" s="1253"/>
      <c r="M163" s="1253"/>
      <c r="N163" s="1253"/>
      <c r="O163" s="1253"/>
      <c r="P163" s="1253"/>
      <c r="Q163" s="1253"/>
      <c r="R163" s="1253"/>
      <c r="S163" s="1253"/>
      <c r="T163" s="1253"/>
      <c r="U163" s="1253"/>
      <c r="V163" s="1253"/>
      <c r="W163" s="1253"/>
      <c r="X163" s="1253"/>
      <c r="Y163" s="1253"/>
      <c r="Z163" s="1254"/>
      <c r="AA163" s="1209"/>
      <c r="AB163" s="1209"/>
      <c r="AC163" s="1209"/>
      <c r="AD163" s="1210"/>
      <c r="AE163" s="318"/>
      <c r="AF163" s="318"/>
      <c r="AG163" s="318"/>
      <c r="AH163" s="80"/>
      <c r="AI163" s="80"/>
    </row>
    <row r="164" spans="1:42" ht="15" customHeight="1" thickBot="1">
      <c r="A164" s="737"/>
      <c r="B164" s="737"/>
      <c r="C164" s="737"/>
      <c r="D164" s="737"/>
      <c r="E164" s="737"/>
      <c r="F164" s="737"/>
      <c r="G164" s="737"/>
      <c r="H164" s="737"/>
      <c r="I164" s="737"/>
      <c r="J164" s="737"/>
      <c r="K164" s="737"/>
      <c r="L164" s="737"/>
      <c r="M164" s="737"/>
      <c r="N164" s="737"/>
      <c r="O164" s="737"/>
      <c r="P164" s="737"/>
      <c r="Q164" s="737"/>
      <c r="R164" s="737"/>
      <c r="S164" s="737"/>
      <c r="T164" s="737"/>
      <c r="U164" s="737"/>
      <c r="V164" s="737"/>
      <c r="W164" s="737"/>
      <c r="X164" s="737"/>
      <c r="Y164" s="737"/>
      <c r="Z164" s="737"/>
      <c r="AA164" s="737"/>
      <c r="AB164" s="737"/>
      <c r="AC164" s="737"/>
      <c r="AD164" s="737"/>
      <c r="AE164" s="318"/>
      <c r="AF164" s="318"/>
      <c r="AG164" s="318"/>
    </row>
    <row r="165" spans="1:42" ht="15" customHeight="1" thickBot="1">
      <c r="A165" s="1257" t="s">
        <v>382</v>
      </c>
      <c r="B165" s="1257"/>
      <c r="C165" s="1257"/>
      <c r="D165" s="1257"/>
      <c r="E165" s="1257"/>
      <c r="F165" s="1257"/>
      <c r="G165" s="1257"/>
      <c r="H165" s="1257"/>
      <c r="I165" s="1257"/>
      <c r="J165" s="981" t="str">
        <f>IF(AI168,AA169,"×")</f>
        <v>×</v>
      </c>
      <c r="K165" s="982"/>
      <c r="L165" s="982"/>
      <c r="M165" s="982"/>
      <c r="N165" s="983"/>
      <c r="O165" s="969" t="s">
        <v>208</v>
      </c>
      <c r="P165" s="970"/>
      <c r="Q165" s="970"/>
      <c r="R165" s="575"/>
      <c r="S165" s="575"/>
      <c r="T165" s="575"/>
      <c r="U165" s="575"/>
      <c r="V165" s="575"/>
      <c r="W165" s="575"/>
      <c r="X165" s="575"/>
      <c r="Y165" s="575"/>
      <c r="Z165" s="575"/>
      <c r="AA165" s="575"/>
      <c r="AB165" s="575"/>
      <c r="AC165" s="575"/>
      <c r="AD165" s="575"/>
      <c r="AE165" s="575"/>
      <c r="AF165" s="575"/>
      <c r="AG165" s="575"/>
      <c r="AH165" s="82"/>
      <c r="AI165" s="82"/>
    </row>
    <row r="166" spans="1:42" ht="15" customHeight="1">
      <c r="A166" s="596" t="s">
        <v>363</v>
      </c>
      <c r="B166" s="743"/>
      <c r="C166" s="743"/>
      <c r="D166" s="743"/>
      <c r="E166" s="743"/>
      <c r="F166" s="743"/>
      <c r="G166" s="743"/>
      <c r="H166" s="743"/>
      <c r="I166" s="743"/>
      <c r="J166" s="603"/>
      <c r="K166" s="603"/>
      <c r="L166" s="603"/>
      <c r="M166" s="603"/>
      <c r="N166" s="603"/>
      <c r="O166" s="736"/>
      <c r="P166" s="736"/>
      <c r="Q166" s="736"/>
      <c r="R166" s="575"/>
      <c r="S166" s="575"/>
      <c r="T166" s="575"/>
      <c r="U166" s="575"/>
      <c r="V166" s="736"/>
      <c r="W166" s="736"/>
      <c r="X166" s="736"/>
      <c r="Y166" s="736"/>
      <c r="Z166" s="736"/>
      <c r="AA166" s="736"/>
      <c r="AB166" s="736"/>
      <c r="AC166" s="736"/>
      <c r="AD166" s="736"/>
      <c r="AE166" s="575"/>
      <c r="AF166" s="575"/>
      <c r="AG166" s="575"/>
      <c r="AH166" s="82"/>
      <c r="AI166" s="82"/>
    </row>
    <row r="167" spans="1:42" s="82" customFormat="1" ht="15" customHeight="1">
      <c r="A167" s="992" t="s">
        <v>267</v>
      </c>
      <c r="B167" s="993"/>
      <c r="C167" s="993"/>
      <c r="D167" s="993"/>
      <c r="E167" s="993"/>
      <c r="F167" s="965" t="s">
        <v>61</v>
      </c>
      <c r="G167" s="971"/>
      <c r="H167" s="971"/>
      <c r="I167" s="971"/>
      <c r="J167" s="971"/>
      <c r="K167" s="971"/>
      <c r="L167" s="971"/>
      <c r="M167" s="971"/>
      <c r="N167" s="971"/>
      <c r="O167" s="971"/>
      <c r="P167" s="971"/>
      <c r="Q167" s="971"/>
      <c r="R167" s="971"/>
      <c r="S167" s="971"/>
      <c r="T167" s="971"/>
      <c r="U167" s="971"/>
      <c r="V167" s="971"/>
      <c r="W167" s="971"/>
      <c r="X167" s="971"/>
      <c r="Y167" s="971"/>
      <c r="Z167" s="971"/>
      <c r="AA167" s="971" t="s">
        <v>210</v>
      </c>
      <c r="AB167" s="971"/>
      <c r="AC167" s="971"/>
      <c r="AD167" s="971"/>
      <c r="AE167" s="575"/>
      <c r="AF167" s="575"/>
      <c r="AG167" s="575"/>
      <c r="AH167" s="92"/>
    </row>
    <row r="168" spans="1:42" s="82" customFormat="1" ht="15" customHeight="1">
      <c r="A168" s="995"/>
      <c r="B168" s="970"/>
      <c r="C168" s="970"/>
      <c r="D168" s="970"/>
      <c r="E168" s="970"/>
      <c r="F168" s="1249" t="s">
        <v>346</v>
      </c>
      <c r="G168" s="1250"/>
      <c r="H168" s="1250"/>
      <c r="I168" s="1250"/>
      <c r="J168" s="1250"/>
      <c r="K168" s="1250"/>
      <c r="L168" s="1250"/>
      <c r="M168" s="1250"/>
      <c r="N168" s="1250"/>
      <c r="O168" s="1250"/>
      <c r="P168" s="1250"/>
      <c r="Q168" s="1250"/>
      <c r="R168" s="1250"/>
      <c r="S168" s="1250"/>
      <c r="T168" s="1250"/>
      <c r="U168" s="1250"/>
      <c r="V168" s="1250"/>
      <c r="W168" s="1250"/>
      <c r="X168" s="1250"/>
      <c r="Y168" s="1250"/>
      <c r="Z168" s="1251"/>
      <c r="AA168" s="997" t="str">
        <f>IF('(別紙2)土曜閉所 '!F10&gt;0,"○","×")</f>
        <v>×</v>
      </c>
      <c r="AB168" s="998"/>
      <c r="AC168" s="998"/>
      <c r="AD168" s="999"/>
      <c r="AE168" s="575"/>
      <c r="AF168" s="575"/>
      <c r="AG168" s="575"/>
      <c r="AH168" s="92"/>
      <c r="AI168" s="744" t="b">
        <f>AA168="○"</f>
        <v>0</v>
      </c>
    </row>
    <row r="169" spans="1:42" s="82" customFormat="1" ht="15" customHeight="1">
      <c r="A169" s="997"/>
      <c r="B169" s="998"/>
      <c r="C169" s="998"/>
      <c r="D169" s="998"/>
      <c r="E169" s="998"/>
      <c r="F169" s="1249" t="s">
        <v>344</v>
      </c>
      <c r="G169" s="1250"/>
      <c r="H169" s="1250"/>
      <c r="I169" s="1250"/>
      <c r="J169" s="1250"/>
      <c r="K169" s="1250"/>
      <c r="L169" s="1250"/>
      <c r="M169" s="1250"/>
      <c r="N169" s="1250"/>
      <c r="O169" s="1250"/>
      <c r="P169" s="1250"/>
      <c r="Q169" s="1250"/>
      <c r="R169" s="1250"/>
      <c r="S169" s="1250"/>
      <c r="T169" s="1250"/>
      <c r="U169" s="1250"/>
      <c r="V169" s="1250"/>
      <c r="W169" s="1250"/>
      <c r="X169" s="1250"/>
      <c r="Y169" s="1250"/>
      <c r="Z169" s="1251"/>
      <c r="AA169" s="997" t="str">
        <f>'(別紙2)土曜閉所 '!C11</f>
        <v>全て</v>
      </c>
      <c r="AB169" s="998"/>
      <c r="AC169" s="998"/>
      <c r="AD169" s="999"/>
      <c r="AE169" s="575"/>
      <c r="AF169" s="575"/>
      <c r="AG169" s="575"/>
      <c r="AH169" s="92"/>
      <c r="AI169" s="138"/>
    </row>
    <row r="170" spans="1:42" s="82" customFormat="1" ht="15" customHeight="1">
      <c r="A170" s="963" t="s">
        <v>405</v>
      </c>
      <c r="B170" s="964"/>
      <c r="C170" s="964"/>
      <c r="D170" s="964"/>
      <c r="E170" s="965"/>
      <c r="F170" s="963" t="str">
        <f>'(別紙2)土曜閉所 '!G22&amp;'(別紙2)土曜閉所 '!C22&amp;" → "&amp;'(別紙2)土曜閉所 '!F22</f>
        <v>(変更無)全て → 全て</v>
      </c>
      <c r="G170" s="964"/>
      <c r="H170" s="964"/>
      <c r="I170" s="964"/>
      <c r="J170" s="964"/>
      <c r="K170" s="964"/>
      <c r="L170" s="964"/>
      <c r="M170" s="964"/>
      <c r="N170" s="964"/>
      <c r="O170" s="964"/>
      <c r="P170" s="964"/>
      <c r="Q170" s="964"/>
      <c r="R170" s="964"/>
      <c r="S170" s="964"/>
      <c r="T170" s="964"/>
      <c r="U170" s="964"/>
      <c r="V170" s="964"/>
      <c r="W170" s="964"/>
      <c r="X170" s="964"/>
      <c r="Y170" s="964"/>
      <c r="Z170" s="964"/>
      <c r="AA170" s="964"/>
      <c r="AB170" s="964"/>
      <c r="AC170" s="964"/>
      <c r="AD170" s="965"/>
      <c r="AE170" s="575"/>
      <c r="AF170" s="575"/>
      <c r="AG170" s="575"/>
      <c r="AH170" s="92"/>
      <c r="AI170" s="138"/>
    </row>
    <row r="171" spans="1:42" s="82" customFormat="1" ht="15" customHeight="1">
      <c r="A171" s="1130" t="s">
        <v>34</v>
      </c>
      <c r="B171" s="1063"/>
      <c r="C171" s="1063"/>
      <c r="D171" s="1063"/>
      <c r="E171" s="1147"/>
      <c r="F171" s="1134" t="s">
        <v>423</v>
      </c>
      <c r="G171" s="1135"/>
      <c r="H171" s="1135"/>
      <c r="I171" s="1135"/>
      <c r="J171" s="1135"/>
      <c r="K171" s="1135"/>
      <c r="L171" s="1135"/>
      <c r="M171" s="1135"/>
      <c r="N171" s="1135"/>
      <c r="O171" s="1135"/>
      <c r="P171" s="1135"/>
      <c r="Q171" s="1135"/>
      <c r="R171" s="1135"/>
      <c r="S171" s="1135"/>
      <c r="T171" s="1135"/>
      <c r="U171" s="1135"/>
      <c r="V171" s="1135"/>
      <c r="W171" s="1135"/>
      <c r="X171" s="1135"/>
      <c r="Y171" s="1135"/>
      <c r="Z171" s="1135"/>
      <c r="AA171" s="1135"/>
      <c r="AB171" s="1135"/>
      <c r="AC171" s="1135"/>
      <c r="AD171" s="1136"/>
      <c r="AE171" s="575"/>
      <c r="AF171" s="575"/>
      <c r="AG171" s="575"/>
      <c r="AH171" s="92"/>
      <c r="AI171" s="138"/>
    </row>
    <row r="172" spans="1:42" s="82" customFormat="1" ht="50.1" customHeight="1">
      <c r="A172" s="1075" t="s">
        <v>345</v>
      </c>
      <c r="B172" s="1075"/>
      <c r="C172" s="1075"/>
      <c r="D172" s="1075"/>
      <c r="E172" s="1075"/>
      <c r="F172" s="1075"/>
      <c r="G172" s="1075"/>
      <c r="H172" s="1075"/>
      <c r="I172" s="1075"/>
      <c r="J172" s="1075"/>
      <c r="K172" s="1075"/>
      <c r="L172" s="1075"/>
      <c r="M172" s="1075"/>
      <c r="N172" s="1075"/>
      <c r="O172" s="1075"/>
      <c r="P172" s="1075"/>
      <c r="Q172" s="1075"/>
      <c r="R172" s="1075"/>
      <c r="S172" s="1075"/>
      <c r="T172" s="1075"/>
      <c r="U172" s="1075"/>
      <c r="V172" s="1075"/>
      <c r="W172" s="1075"/>
      <c r="X172" s="1075"/>
      <c r="Y172" s="1075"/>
      <c r="Z172" s="1075"/>
      <c r="AA172" s="1075"/>
      <c r="AB172" s="1075"/>
      <c r="AC172" s="1075"/>
      <c r="AD172" s="1075"/>
      <c r="AE172" s="575"/>
      <c r="AF172" s="575"/>
      <c r="AG172" s="575"/>
      <c r="AH172" s="92"/>
      <c r="AI172" s="138"/>
    </row>
    <row r="173" spans="1:42" ht="15" customHeight="1" thickBot="1">
      <c r="A173" s="751"/>
      <c r="B173" s="751"/>
      <c r="C173" s="751"/>
      <c r="D173" s="751"/>
      <c r="E173" s="751"/>
      <c r="F173" s="751"/>
      <c r="G173" s="751"/>
      <c r="H173" s="751"/>
      <c r="I173" s="751"/>
      <c r="J173" s="751"/>
      <c r="K173" s="751"/>
      <c r="L173" s="751"/>
      <c r="M173" s="751"/>
      <c r="N173" s="751"/>
      <c r="O173" s="751"/>
      <c r="P173" s="751"/>
      <c r="Q173" s="751"/>
      <c r="R173" s="751"/>
      <c r="S173" s="751"/>
      <c r="T173" s="751"/>
      <c r="U173" s="751"/>
      <c r="V173" s="751"/>
      <c r="W173" s="751"/>
      <c r="X173" s="751"/>
      <c r="Y173" s="751"/>
      <c r="Z173" s="751"/>
      <c r="AA173" s="751"/>
      <c r="AB173" s="751"/>
      <c r="AC173" s="751"/>
      <c r="AD173" s="751"/>
      <c r="AE173" s="751"/>
      <c r="AF173" s="318"/>
      <c r="AG173" s="318"/>
    </row>
    <row r="174" spans="1:42" ht="15" customHeight="1" thickBot="1">
      <c r="A174" s="966" t="s">
        <v>125</v>
      </c>
      <c r="B174" s="966"/>
      <c r="C174" s="966"/>
      <c r="D174" s="966"/>
      <c r="E174" s="966"/>
      <c r="F174" s="966"/>
      <c r="G174" s="966"/>
      <c r="H174" s="966"/>
      <c r="I174" s="1046"/>
      <c r="J174" s="1233" t="str">
        <f>IF(AI175,"○","×")</f>
        <v>×</v>
      </c>
      <c r="K174" s="1234"/>
      <c r="L174" s="1234"/>
      <c r="M174" s="1234"/>
      <c r="N174" s="1235"/>
      <c r="O174" s="969" t="s">
        <v>208</v>
      </c>
      <c r="P174" s="970"/>
      <c r="Q174" s="970"/>
      <c r="R174" s="318"/>
      <c r="S174" s="318"/>
      <c r="T174" s="318"/>
      <c r="U174" s="318"/>
      <c r="V174" s="575"/>
      <c r="W174" s="575"/>
      <c r="X174" s="575"/>
      <c r="Y174" s="575"/>
      <c r="Z174" s="575"/>
      <c r="AA174" s="575"/>
      <c r="AB174" s="575"/>
      <c r="AC174" s="575"/>
      <c r="AD174" s="575"/>
      <c r="AE174" s="318"/>
      <c r="AF174" s="318"/>
      <c r="AG174" s="318"/>
      <c r="AP174" s="82"/>
    </row>
    <row r="175" spans="1:42" ht="15" customHeight="1">
      <c r="A175" s="1123" t="s">
        <v>78</v>
      </c>
      <c r="B175" s="1123"/>
      <c r="C175" s="1123"/>
      <c r="D175" s="1123"/>
      <c r="E175" s="1123"/>
      <c r="F175" s="972"/>
      <c r="G175" s="973"/>
      <c r="H175" s="973"/>
      <c r="I175" s="973"/>
      <c r="J175" s="973"/>
      <c r="K175" s="974"/>
      <c r="L175" s="318"/>
      <c r="M175" s="318"/>
      <c r="N175" s="318"/>
      <c r="O175" s="318"/>
      <c r="P175" s="318"/>
      <c r="Q175" s="318"/>
      <c r="R175" s="318"/>
      <c r="S175" s="318"/>
      <c r="T175" s="318"/>
      <c r="U175" s="318"/>
      <c r="V175" s="736"/>
      <c r="W175" s="736"/>
      <c r="X175" s="736"/>
      <c r="Y175" s="736"/>
      <c r="Z175" s="736"/>
      <c r="AA175" s="736"/>
      <c r="AB175" s="736"/>
      <c r="AC175" s="736"/>
      <c r="AD175" s="736"/>
      <c r="AE175" s="575"/>
      <c r="AF175" s="318"/>
      <c r="AG175" s="318"/>
      <c r="AI175" s="744" t="b">
        <f>F175="申請する"</f>
        <v>0</v>
      </c>
    </row>
    <row r="176" spans="1:42" ht="15" customHeight="1">
      <c r="A176" s="1034" t="s">
        <v>40</v>
      </c>
      <c r="B176" s="1034"/>
      <c r="C176" s="1034"/>
      <c r="D176" s="1034"/>
      <c r="E176" s="1034"/>
      <c r="F176" s="1034"/>
      <c r="G176" s="1034"/>
      <c r="H176" s="1034"/>
      <c r="I176" s="1034"/>
      <c r="J176" s="1034"/>
      <c r="K176" s="1034"/>
      <c r="L176" s="1034"/>
      <c r="M176" s="1034"/>
      <c r="N176" s="1034"/>
      <c r="O176" s="1034"/>
      <c r="P176" s="1034"/>
      <c r="Q176" s="1034"/>
      <c r="R176" s="1034"/>
      <c r="S176" s="1034"/>
      <c r="T176" s="1034"/>
      <c r="U176" s="1034"/>
      <c r="V176" s="1034"/>
      <c r="W176" s="1034"/>
      <c r="X176" s="1034"/>
      <c r="Y176" s="1034"/>
      <c r="Z176" s="1034"/>
      <c r="AA176" s="1034"/>
      <c r="AB176" s="1034"/>
      <c r="AC176" s="1034"/>
      <c r="AD176" s="1034"/>
      <c r="AE176" s="1034"/>
      <c r="AF176" s="1034"/>
      <c r="AG176" s="1034"/>
      <c r="AH176" s="92"/>
    </row>
    <row r="177" spans="1:35" ht="15" customHeight="1" thickBot="1">
      <c r="A177" s="878"/>
      <c r="B177" s="878"/>
      <c r="C177" s="878"/>
      <c r="D177" s="878"/>
      <c r="E177" s="878"/>
      <c r="F177" s="878"/>
      <c r="G177" s="878"/>
      <c r="H177" s="878"/>
      <c r="I177" s="878"/>
      <c r="J177" s="878"/>
      <c r="K177" s="878"/>
      <c r="L177" s="878"/>
      <c r="M177" s="878"/>
      <c r="N177" s="878"/>
      <c r="O177" s="878"/>
      <c r="P177" s="878"/>
      <c r="Q177" s="878"/>
      <c r="R177" s="878"/>
      <c r="S177" s="878"/>
      <c r="T177" s="878"/>
      <c r="U177" s="878"/>
      <c r="V177" s="878"/>
      <c r="W177" s="878"/>
      <c r="X177" s="878"/>
      <c r="Y177" s="878"/>
      <c r="Z177" s="878"/>
      <c r="AA177" s="878"/>
      <c r="AB177" s="878"/>
      <c r="AC177" s="878"/>
      <c r="AD177" s="878"/>
      <c r="AE177" s="878"/>
      <c r="AF177" s="878"/>
      <c r="AG177" s="878"/>
      <c r="AH177" s="92"/>
    </row>
    <row r="178" spans="1:35" ht="15" customHeight="1" thickBot="1">
      <c r="A178" s="966" t="s">
        <v>712</v>
      </c>
      <c r="B178" s="966"/>
      <c r="C178" s="966"/>
      <c r="D178" s="966"/>
      <c r="E178" s="966"/>
      <c r="F178" s="966"/>
      <c r="G178" s="966"/>
      <c r="H178" s="966"/>
      <c r="I178" s="1046"/>
      <c r="J178" s="1233" t="str">
        <f>IF(AI179,"○","×")</f>
        <v>×</v>
      </c>
      <c r="K178" s="1234"/>
      <c r="L178" s="1234"/>
      <c r="M178" s="1234"/>
      <c r="N178" s="1235"/>
      <c r="O178" s="969" t="s">
        <v>208</v>
      </c>
      <c r="P178" s="970"/>
      <c r="Q178" s="970"/>
      <c r="R178" s="318"/>
      <c r="S178" s="318"/>
      <c r="T178" s="318"/>
      <c r="U178" s="318"/>
      <c r="V178" s="575"/>
      <c r="W178" s="575"/>
      <c r="X178" s="575"/>
      <c r="Y178" s="575"/>
      <c r="Z178" s="575"/>
      <c r="AA178" s="575"/>
      <c r="AB178" s="575"/>
      <c r="AC178" s="575"/>
      <c r="AD178" s="575"/>
      <c r="AE178" s="318"/>
      <c r="AF178" s="318"/>
      <c r="AG178" s="318"/>
      <c r="AH178" s="92"/>
      <c r="AI178"/>
    </row>
    <row r="179" spans="1:35" ht="15" customHeight="1">
      <c r="A179" s="1123" t="s">
        <v>78</v>
      </c>
      <c r="B179" s="1123"/>
      <c r="C179" s="1123"/>
      <c r="D179" s="1123"/>
      <c r="E179" s="1123"/>
      <c r="F179" s="972"/>
      <c r="G179" s="973"/>
      <c r="H179" s="973"/>
      <c r="I179" s="973"/>
      <c r="J179" s="973"/>
      <c r="K179" s="974"/>
      <c r="L179" s="318"/>
      <c r="M179" s="318"/>
      <c r="N179" s="318"/>
      <c r="O179" s="318"/>
      <c r="P179" s="318"/>
      <c r="Q179" s="318"/>
      <c r="R179" s="318"/>
      <c r="S179" s="318"/>
      <c r="T179" s="318"/>
      <c r="U179" s="318"/>
      <c r="V179" s="879"/>
      <c r="W179" s="879"/>
      <c r="X179" s="879"/>
      <c r="Y179" s="879"/>
      <c r="Z179" s="879"/>
      <c r="AA179" s="879"/>
      <c r="AB179" s="879"/>
      <c r="AC179" s="879"/>
      <c r="AD179" s="879"/>
      <c r="AE179" s="575"/>
      <c r="AF179" s="318"/>
      <c r="AG179" s="318"/>
      <c r="AH179" s="92"/>
      <c r="AI179" s="880" t="b">
        <f>F179="申請する"</f>
        <v>0</v>
      </c>
    </row>
    <row r="180" spans="1:35" ht="15" customHeight="1">
      <c r="A180" s="1034" t="s">
        <v>40</v>
      </c>
      <c r="B180" s="1034"/>
      <c r="C180" s="1034"/>
      <c r="D180" s="1034"/>
      <c r="E180" s="1034"/>
      <c r="F180" s="1034"/>
      <c r="G180" s="1034"/>
      <c r="H180" s="1034"/>
      <c r="I180" s="1034"/>
      <c r="J180" s="1034"/>
      <c r="K180" s="1034"/>
      <c r="L180" s="1034"/>
      <c r="M180" s="1034"/>
      <c r="N180" s="1034"/>
      <c r="O180" s="1034"/>
      <c r="P180" s="1034"/>
      <c r="Q180" s="1034"/>
      <c r="R180" s="1034"/>
      <c r="S180" s="1034"/>
      <c r="T180" s="1034"/>
      <c r="U180" s="1034"/>
      <c r="V180" s="1034"/>
      <c r="W180" s="1034"/>
      <c r="X180" s="1034"/>
      <c r="Y180" s="1034"/>
      <c r="Z180" s="1034"/>
      <c r="AA180" s="1034"/>
      <c r="AB180" s="1034"/>
      <c r="AC180" s="1034"/>
      <c r="AD180" s="1034"/>
      <c r="AE180" s="1034"/>
      <c r="AF180" s="1034"/>
      <c r="AG180" s="1034"/>
      <c r="AH180" s="92"/>
    </row>
    <row r="181" spans="1:35" ht="15" customHeight="1" thickBot="1">
      <c r="A181" s="318"/>
      <c r="B181" s="318"/>
      <c r="C181" s="318"/>
      <c r="D181" s="318"/>
      <c r="E181" s="318"/>
      <c r="F181" s="318"/>
      <c r="G181" s="318"/>
      <c r="H181" s="318"/>
      <c r="I181" s="318"/>
      <c r="J181" s="318"/>
      <c r="K181" s="318"/>
      <c r="L181" s="318"/>
      <c r="M181" s="318"/>
      <c r="N181" s="318"/>
      <c r="O181" s="318"/>
      <c r="P181" s="318"/>
      <c r="Q181" s="318"/>
      <c r="R181" s="318"/>
      <c r="S181" s="318"/>
      <c r="T181" s="318"/>
      <c r="U181" s="318"/>
      <c r="V181" s="318"/>
      <c r="W181" s="318"/>
      <c r="X181" s="318"/>
      <c r="Y181" s="318"/>
      <c r="Z181" s="318"/>
      <c r="AA181" s="318"/>
      <c r="AB181" s="318"/>
      <c r="AC181" s="318"/>
      <c r="AD181" s="318"/>
      <c r="AE181" s="318"/>
      <c r="AF181" s="318"/>
      <c r="AG181" s="318"/>
    </row>
    <row r="182" spans="1:35" ht="15" customHeight="1" thickBot="1">
      <c r="A182" s="966" t="s">
        <v>711</v>
      </c>
      <c r="B182" s="966"/>
      <c r="C182" s="966"/>
      <c r="D182" s="966"/>
      <c r="E182" s="966"/>
      <c r="F182" s="966"/>
      <c r="G182" s="966"/>
      <c r="H182" s="966"/>
      <c r="I182" s="966"/>
      <c r="J182" s="1233" t="str">
        <f>IF(AND(AI183,AI185,AI82),AA186,"×")</f>
        <v>×</v>
      </c>
      <c r="K182" s="1234"/>
      <c r="L182" s="1234"/>
      <c r="M182" s="1234"/>
      <c r="N182" s="1235"/>
      <c r="O182" s="969" t="s">
        <v>208</v>
      </c>
      <c r="P182" s="970"/>
      <c r="Q182" s="970"/>
      <c r="R182" s="318"/>
      <c r="S182" s="318"/>
      <c r="T182" s="318"/>
      <c r="U182" s="318"/>
      <c r="V182" s="575"/>
      <c r="W182" s="575"/>
      <c r="X182" s="575"/>
      <c r="Y182" s="575"/>
      <c r="Z182" s="575"/>
      <c r="AA182" s="575"/>
      <c r="AB182" s="575"/>
      <c r="AC182" s="575"/>
      <c r="AD182" s="575"/>
      <c r="AE182" s="318"/>
      <c r="AF182" s="318"/>
      <c r="AG182" s="318"/>
      <c r="AH182" s="92"/>
    </row>
    <row r="183" spans="1:35" ht="15" customHeight="1">
      <c r="A183" s="971" t="s">
        <v>78</v>
      </c>
      <c r="B183" s="971"/>
      <c r="C183" s="971"/>
      <c r="D183" s="971"/>
      <c r="E183" s="971"/>
      <c r="F183" s="972"/>
      <c r="G183" s="973"/>
      <c r="H183" s="973"/>
      <c r="I183" s="973"/>
      <c r="J183" s="973"/>
      <c r="K183" s="974"/>
      <c r="L183" s="318"/>
      <c r="M183" s="318"/>
      <c r="N183" s="318"/>
      <c r="O183" s="318"/>
      <c r="P183" s="318"/>
      <c r="Q183" s="318"/>
      <c r="R183" s="318"/>
      <c r="S183" s="318"/>
      <c r="T183" s="318"/>
      <c r="U183" s="318"/>
      <c r="V183" s="736"/>
      <c r="W183" s="736"/>
      <c r="X183" s="736"/>
      <c r="Y183" s="736"/>
      <c r="Z183" s="736"/>
      <c r="AA183" s="736"/>
      <c r="AB183" s="736"/>
      <c r="AC183" s="736"/>
      <c r="AD183" s="736"/>
      <c r="AE183" s="318"/>
      <c r="AF183" s="318"/>
      <c r="AG183" s="318"/>
      <c r="AH183" s="92"/>
      <c r="AI183" s="744" t="b">
        <f>F183="申請する"</f>
        <v>0</v>
      </c>
    </row>
    <row r="184" spans="1:35" ht="15" customHeight="1">
      <c r="A184" s="986" t="s">
        <v>414</v>
      </c>
      <c r="B184" s="987"/>
      <c r="C184" s="987"/>
      <c r="D184" s="987"/>
      <c r="E184" s="987"/>
      <c r="F184" s="964" t="s">
        <v>61</v>
      </c>
      <c r="G184" s="964"/>
      <c r="H184" s="964"/>
      <c r="I184" s="964"/>
      <c r="J184" s="964"/>
      <c r="K184" s="964"/>
      <c r="L184" s="964"/>
      <c r="M184" s="964"/>
      <c r="N184" s="964"/>
      <c r="O184" s="964"/>
      <c r="P184" s="964"/>
      <c r="Q184" s="964"/>
      <c r="R184" s="964"/>
      <c r="S184" s="964"/>
      <c r="T184" s="964"/>
      <c r="U184" s="964"/>
      <c r="V184" s="964"/>
      <c r="W184" s="964"/>
      <c r="X184" s="964"/>
      <c r="Y184" s="964"/>
      <c r="Z184" s="965"/>
      <c r="AA184" s="963" t="s">
        <v>210</v>
      </c>
      <c r="AB184" s="964"/>
      <c r="AC184" s="964"/>
      <c r="AD184" s="965"/>
      <c r="AE184" s="318"/>
      <c r="AF184" s="318"/>
      <c r="AG184" s="318"/>
      <c r="AH184" s="92"/>
    </row>
    <row r="185" spans="1:35" ht="24.95" customHeight="1">
      <c r="A185" s="988"/>
      <c r="B185" s="989"/>
      <c r="C185" s="989"/>
      <c r="D185" s="989"/>
      <c r="E185" s="989"/>
      <c r="F185" s="738">
        <v>1</v>
      </c>
      <c r="G185" s="1075" t="s">
        <v>380</v>
      </c>
      <c r="H185" s="1075"/>
      <c r="I185" s="1075"/>
      <c r="J185" s="1075"/>
      <c r="K185" s="1075"/>
      <c r="L185" s="1075"/>
      <c r="M185" s="1075"/>
      <c r="N185" s="1075"/>
      <c r="O185" s="1075"/>
      <c r="P185" s="1075"/>
      <c r="Q185" s="1075"/>
      <c r="R185" s="1075"/>
      <c r="S185" s="1075"/>
      <c r="T185" s="1075"/>
      <c r="U185" s="1075"/>
      <c r="V185" s="1075"/>
      <c r="W185" s="1075"/>
      <c r="X185" s="1075"/>
      <c r="Y185" s="1075"/>
      <c r="Z185" s="1177"/>
      <c r="AA185" s="972"/>
      <c r="AB185" s="973"/>
      <c r="AC185" s="973"/>
      <c r="AD185" s="974"/>
      <c r="AE185" s="318"/>
      <c r="AF185" s="318"/>
      <c r="AG185" s="318"/>
      <c r="AH185" s="92"/>
      <c r="AI185" s="162" t="b">
        <f>AA185="○"</f>
        <v>0</v>
      </c>
    </row>
    <row r="186" spans="1:35" ht="15" customHeight="1">
      <c r="A186" s="988"/>
      <c r="B186" s="989"/>
      <c r="C186" s="989"/>
      <c r="D186" s="989"/>
      <c r="E186" s="989"/>
      <c r="F186" s="741">
        <v>2</v>
      </c>
      <c r="G186" s="1112" t="s">
        <v>338</v>
      </c>
      <c r="H186" s="1112"/>
      <c r="I186" s="1112"/>
      <c r="J186" s="1112"/>
      <c r="K186" s="1112"/>
      <c r="L186" s="1112"/>
      <c r="M186" s="1112"/>
      <c r="N186" s="1112"/>
      <c r="O186" s="1112"/>
      <c r="P186" s="1112"/>
      <c r="Q186" s="1112"/>
      <c r="R186" s="1112"/>
      <c r="S186" s="1112"/>
      <c r="T186" s="1112"/>
      <c r="U186" s="1112"/>
      <c r="V186" s="1112"/>
      <c r="W186" s="1112"/>
      <c r="X186" s="1112"/>
      <c r="Y186" s="1112"/>
      <c r="Z186" s="1213"/>
      <c r="AA186" s="963" t="str">
        <f>IF(AND(AI188,AI190),"配置",IF(AND(AI189,AI190),"兼務",IF(AI191,"嘱託","×")))</f>
        <v>×</v>
      </c>
      <c r="AB186" s="964"/>
      <c r="AC186" s="964"/>
      <c r="AD186" s="965"/>
      <c r="AE186" s="318"/>
      <c r="AF186" s="318"/>
      <c r="AG186" s="318"/>
      <c r="AH186" s="92"/>
      <c r="AI186" s="162" t="b">
        <f>OR(AA186="配置",AA186="兼務",AA186="嘱託")</f>
        <v>0</v>
      </c>
    </row>
    <row r="187" spans="1:35" ht="15" customHeight="1">
      <c r="A187" s="988"/>
      <c r="B187" s="989"/>
      <c r="C187" s="989"/>
      <c r="D187" s="989"/>
      <c r="E187" s="989"/>
      <c r="F187" s="1255" t="s">
        <v>97</v>
      </c>
      <c r="G187" s="1256"/>
      <c r="H187" s="1178" t="s">
        <v>412</v>
      </c>
      <c r="I187" s="1178"/>
      <c r="J187" s="1178"/>
      <c r="K187" s="1178"/>
      <c r="L187" s="1178"/>
      <c r="M187" s="1178"/>
      <c r="N187" s="1178"/>
      <c r="O187" s="1178"/>
      <c r="P187" s="1178"/>
      <c r="Q187" s="1178"/>
      <c r="R187" s="1178"/>
      <c r="S187" s="1178"/>
      <c r="T187" s="1178"/>
      <c r="U187" s="1178"/>
      <c r="V187" s="1178"/>
      <c r="W187" s="1178"/>
      <c r="X187" s="1178"/>
      <c r="Y187" s="1178"/>
      <c r="Z187" s="1179"/>
      <c r="AA187" s="992" t="str">
        <f>IF(AND(OR(AI188,AI189),AI190),"○","×")</f>
        <v>×</v>
      </c>
      <c r="AB187" s="993"/>
      <c r="AC187" s="993"/>
      <c r="AD187" s="994"/>
      <c r="AE187" s="575"/>
      <c r="AF187" s="575"/>
      <c r="AG187" s="575"/>
      <c r="AH187" s="92"/>
      <c r="AI187" s="162" t="b">
        <f>AA187="○"</f>
        <v>0</v>
      </c>
    </row>
    <row r="188" spans="1:35" ht="15" customHeight="1">
      <c r="A188" s="988"/>
      <c r="B188" s="989"/>
      <c r="C188" s="989"/>
      <c r="D188" s="989"/>
      <c r="E188" s="989"/>
      <c r="F188" s="1068" t="s">
        <v>232</v>
      </c>
      <c r="G188" s="1069"/>
      <c r="H188" s="1069"/>
      <c r="I188" s="1241" t="s">
        <v>424</v>
      </c>
      <c r="J188" s="1241"/>
      <c r="K188" s="1241"/>
      <c r="L188" s="1241"/>
      <c r="M188" s="1241"/>
      <c r="N188" s="1241"/>
      <c r="O188" s="1241"/>
      <c r="P188" s="1241"/>
      <c r="Q188" s="1241"/>
      <c r="R188" s="1241"/>
      <c r="S188" s="1241"/>
      <c r="T188" s="1241"/>
      <c r="U188" s="1241"/>
      <c r="V188" s="1241"/>
      <c r="W188" s="1241"/>
      <c r="X188" s="1241"/>
      <c r="Y188" s="1241"/>
      <c r="Z188" s="1242"/>
      <c r="AA188" s="1160"/>
      <c r="AB188" s="1161"/>
      <c r="AC188" s="1161"/>
      <c r="AD188" s="1162"/>
      <c r="AE188" s="575"/>
      <c r="AF188" s="575"/>
      <c r="AG188" s="575"/>
      <c r="AH188" s="92"/>
      <c r="AI188" s="162" t="b">
        <f>AA188="○"</f>
        <v>0</v>
      </c>
    </row>
    <row r="189" spans="1:35" ht="15" customHeight="1">
      <c r="A189" s="988"/>
      <c r="B189" s="989"/>
      <c r="C189" s="989"/>
      <c r="D189" s="989"/>
      <c r="E189" s="989"/>
      <c r="F189" s="1068" t="s">
        <v>233</v>
      </c>
      <c r="G189" s="1069"/>
      <c r="H189" s="1069"/>
      <c r="I189" s="1241" t="s">
        <v>413</v>
      </c>
      <c r="J189" s="1241"/>
      <c r="K189" s="1241"/>
      <c r="L189" s="1241"/>
      <c r="M189" s="1241"/>
      <c r="N189" s="1241"/>
      <c r="O189" s="1241"/>
      <c r="P189" s="1241"/>
      <c r="Q189" s="1241"/>
      <c r="R189" s="1241"/>
      <c r="S189" s="1241"/>
      <c r="T189" s="1241"/>
      <c r="U189" s="1241"/>
      <c r="V189" s="1241"/>
      <c r="W189" s="1241"/>
      <c r="X189" s="1241"/>
      <c r="Y189" s="1241"/>
      <c r="Z189" s="1242"/>
      <c r="AA189" s="1243"/>
      <c r="AB189" s="1244"/>
      <c r="AC189" s="1244"/>
      <c r="AD189" s="1245"/>
      <c r="AE189" s="575"/>
      <c r="AF189" s="575"/>
      <c r="AG189" s="575"/>
      <c r="AH189" s="92"/>
      <c r="AI189" s="162" t="b">
        <f>AA189="○"</f>
        <v>0</v>
      </c>
    </row>
    <row r="190" spans="1:35" ht="15" customHeight="1">
      <c r="A190" s="988"/>
      <c r="B190" s="989"/>
      <c r="C190" s="989"/>
      <c r="D190" s="989"/>
      <c r="E190" s="989"/>
      <c r="F190" s="1029" t="s">
        <v>339</v>
      </c>
      <c r="G190" s="1030"/>
      <c r="H190" s="1030"/>
      <c r="I190" s="1048" t="s">
        <v>340</v>
      </c>
      <c r="J190" s="1048"/>
      <c r="K190" s="1048"/>
      <c r="L190" s="1048"/>
      <c r="M190" s="1048"/>
      <c r="N190" s="1048"/>
      <c r="O190" s="1048"/>
      <c r="P190" s="1048"/>
      <c r="Q190" s="1048"/>
      <c r="R190" s="1048"/>
      <c r="S190" s="1048"/>
      <c r="T190" s="1048"/>
      <c r="U190" s="1048"/>
      <c r="V190" s="1048"/>
      <c r="W190" s="1048"/>
      <c r="X190" s="1048"/>
      <c r="Y190" s="1048"/>
      <c r="Z190" s="1159"/>
      <c r="AA190" s="1246" t="str">
        <f>【様式５】職員数算出表!O38</f>
        <v>-</v>
      </c>
      <c r="AB190" s="1247"/>
      <c r="AC190" s="1247"/>
      <c r="AD190" s="1248"/>
      <c r="AE190" s="575"/>
      <c r="AF190" s="575"/>
      <c r="AG190" s="575"/>
      <c r="AH190" s="92"/>
      <c r="AI190" s="162" t="b">
        <f>AA190="○"</f>
        <v>0</v>
      </c>
    </row>
    <row r="191" spans="1:35" ht="15" customHeight="1">
      <c r="A191" s="990"/>
      <c r="B191" s="991"/>
      <c r="C191" s="991"/>
      <c r="D191" s="991"/>
      <c r="E191" s="991"/>
      <c r="F191" s="1127" t="s">
        <v>341</v>
      </c>
      <c r="G191" s="1128"/>
      <c r="H191" s="1129" t="s">
        <v>342</v>
      </c>
      <c r="I191" s="1129"/>
      <c r="J191" s="1129"/>
      <c r="K191" s="1129"/>
      <c r="L191" s="1129"/>
      <c r="M191" s="1129"/>
      <c r="N191" s="1129"/>
      <c r="O191" s="1129"/>
      <c r="P191" s="1129"/>
      <c r="Q191" s="1129"/>
      <c r="R191" s="1129"/>
      <c r="S191" s="1129"/>
      <c r="T191" s="1129"/>
      <c r="U191" s="1129"/>
      <c r="V191" s="1129"/>
      <c r="W191" s="1129"/>
      <c r="X191" s="1129"/>
      <c r="Y191" s="1129"/>
      <c r="Z191" s="1163"/>
      <c r="AA191" s="1174"/>
      <c r="AB191" s="1175"/>
      <c r="AC191" s="1175"/>
      <c r="AD191" s="1176"/>
      <c r="AE191" s="575"/>
      <c r="AF191" s="575"/>
      <c r="AG191" s="575"/>
      <c r="AH191" s="92"/>
      <c r="AI191" s="162" t="b">
        <f>AA191="○"</f>
        <v>0</v>
      </c>
    </row>
    <row r="192" spans="1:35" ht="15" customHeight="1">
      <c r="A192" s="992" t="s">
        <v>34</v>
      </c>
      <c r="B192" s="993"/>
      <c r="C192" s="993"/>
      <c r="D192" s="993"/>
      <c r="E192" s="994"/>
      <c r="F192" s="1264" t="s">
        <v>361</v>
      </c>
      <c r="G192" s="1075"/>
      <c r="H192" s="1075"/>
      <c r="I192" s="1075"/>
      <c r="J192" s="1075"/>
      <c r="K192" s="1075"/>
      <c r="L192" s="1075"/>
      <c r="M192" s="1075"/>
      <c r="N192" s="1075"/>
      <c r="O192" s="1075"/>
      <c r="P192" s="1075"/>
      <c r="Q192" s="1075"/>
      <c r="R192" s="1075"/>
      <c r="S192" s="1075"/>
      <c r="T192" s="1075"/>
      <c r="U192" s="1075"/>
      <c r="V192" s="1075"/>
      <c r="W192" s="1075"/>
      <c r="X192" s="1075"/>
      <c r="Y192" s="1075"/>
      <c r="Z192" s="1075"/>
      <c r="AA192" s="1075"/>
      <c r="AB192" s="1075"/>
      <c r="AC192" s="1075"/>
      <c r="AD192" s="1177"/>
      <c r="AE192" s="318"/>
      <c r="AF192" s="318"/>
      <c r="AG192" s="318"/>
      <c r="AH192" s="92"/>
    </row>
    <row r="193" spans="1:42" ht="15" customHeight="1">
      <c r="A193" s="995"/>
      <c r="B193" s="970"/>
      <c r="C193" s="970"/>
      <c r="D193" s="970"/>
      <c r="E193" s="996"/>
      <c r="F193" s="1198" t="s">
        <v>343</v>
      </c>
      <c r="G193" s="1034"/>
      <c r="H193" s="1034"/>
      <c r="I193" s="1034"/>
      <c r="J193" s="1034"/>
      <c r="K193" s="1034"/>
      <c r="L193" s="1034"/>
      <c r="M193" s="1034"/>
      <c r="N193" s="1034"/>
      <c r="O193" s="1034"/>
      <c r="P193" s="1034"/>
      <c r="Q193" s="1034"/>
      <c r="R193" s="1034"/>
      <c r="S193" s="1034"/>
      <c r="T193" s="1034"/>
      <c r="U193" s="1034"/>
      <c r="V193" s="1034"/>
      <c r="W193" s="1034"/>
      <c r="X193" s="1034"/>
      <c r="Y193" s="1034"/>
      <c r="Z193" s="1034"/>
      <c r="AA193" s="1034"/>
      <c r="AB193" s="1034"/>
      <c r="AC193" s="1034"/>
      <c r="AD193" s="1212"/>
      <c r="AE193" s="318"/>
      <c r="AF193" s="318"/>
      <c r="AG193" s="318"/>
      <c r="AH193" s="92"/>
    </row>
    <row r="194" spans="1:42" ht="110.1" customHeight="1">
      <c r="A194" s="995"/>
      <c r="B194" s="970"/>
      <c r="C194" s="970"/>
      <c r="D194" s="970"/>
      <c r="E194" s="996"/>
      <c r="F194" s="1198" t="s">
        <v>623</v>
      </c>
      <c r="G194" s="1034"/>
      <c r="H194" s="1034"/>
      <c r="I194" s="1034"/>
      <c r="J194" s="1034"/>
      <c r="K194" s="1034"/>
      <c r="L194" s="1034"/>
      <c r="M194" s="1034"/>
      <c r="N194" s="1034"/>
      <c r="O194" s="1034"/>
      <c r="P194" s="1034"/>
      <c r="Q194" s="1034"/>
      <c r="R194" s="1034"/>
      <c r="S194" s="1034"/>
      <c r="T194" s="1034"/>
      <c r="U194" s="1034"/>
      <c r="V194" s="1034"/>
      <c r="W194" s="1034"/>
      <c r="X194" s="1034"/>
      <c r="Y194" s="1034"/>
      <c r="Z194" s="1034"/>
      <c r="AA194" s="1034"/>
      <c r="AB194" s="1034"/>
      <c r="AC194" s="1034"/>
      <c r="AD194" s="1212"/>
      <c r="AE194" s="318"/>
      <c r="AF194" s="318"/>
      <c r="AG194" s="318"/>
      <c r="AH194" s="92"/>
    </row>
    <row r="195" spans="1:42" ht="15" customHeight="1">
      <c r="A195" s="997"/>
      <c r="B195" s="998"/>
      <c r="C195" s="998"/>
      <c r="D195" s="998"/>
      <c r="E195" s="999"/>
      <c r="F195" s="1199" t="s">
        <v>381</v>
      </c>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c r="AA195" s="1200"/>
      <c r="AB195" s="1200"/>
      <c r="AC195" s="1200"/>
      <c r="AD195" s="1265"/>
      <c r="AE195" s="318"/>
      <c r="AF195" s="318"/>
      <c r="AG195" s="318"/>
      <c r="AH195" s="92"/>
    </row>
    <row r="196" spans="1:42" ht="15" customHeight="1">
      <c r="A196" s="318" t="s">
        <v>415</v>
      </c>
      <c r="B196" s="318"/>
      <c r="C196" s="318"/>
      <c r="D196" s="318"/>
      <c r="E196" s="318"/>
      <c r="F196" s="318"/>
      <c r="G196" s="318"/>
      <c r="H196" s="318"/>
      <c r="I196" s="318"/>
      <c r="J196" s="318"/>
      <c r="K196" s="318"/>
      <c r="L196" s="318"/>
      <c r="M196" s="318"/>
      <c r="N196" s="318"/>
      <c r="O196" s="318"/>
      <c r="P196" s="318"/>
      <c r="Q196" s="318"/>
      <c r="R196" s="318"/>
      <c r="S196" s="318"/>
      <c r="T196" s="318"/>
      <c r="U196" s="318"/>
      <c r="V196" s="318"/>
      <c r="W196" s="318"/>
      <c r="X196" s="318"/>
      <c r="Y196" s="318"/>
      <c r="Z196" s="318"/>
      <c r="AA196" s="318"/>
      <c r="AB196" s="318"/>
      <c r="AC196" s="318"/>
      <c r="AD196" s="318"/>
      <c r="AE196" s="318"/>
      <c r="AF196" s="318"/>
      <c r="AG196" s="318"/>
      <c r="AH196" s="92"/>
    </row>
    <row r="197" spans="1:42" ht="15" customHeight="1">
      <c r="A197" s="971" t="s">
        <v>101</v>
      </c>
      <c r="B197" s="971"/>
      <c r="C197" s="971"/>
      <c r="D197" s="971"/>
      <c r="E197" s="971"/>
      <c r="F197" s="971" t="s">
        <v>227</v>
      </c>
      <c r="G197" s="971"/>
      <c r="H197" s="971"/>
      <c r="I197" s="971"/>
      <c r="J197" s="971"/>
      <c r="K197" s="971"/>
      <c r="L197" s="971"/>
      <c r="M197" s="971"/>
      <c r="N197" s="971"/>
      <c r="O197" s="971"/>
      <c r="P197" s="971"/>
      <c r="Q197" s="971"/>
      <c r="R197" s="971"/>
      <c r="S197" s="971"/>
      <c r="T197" s="971"/>
      <c r="U197" s="971"/>
      <c r="V197" s="971"/>
      <c r="W197" s="971"/>
      <c r="X197" s="971"/>
      <c r="Y197" s="971"/>
      <c r="Z197" s="971"/>
      <c r="AA197" s="971"/>
      <c r="AB197" s="971"/>
      <c r="AC197" s="971"/>
      <c r="AD197" s="971"/>
      <c r="AE197" s="318"/>
      <c r="AF197" s="318"/>
      <c r="AG197" s="318"/>
      <c r="AH197" s="92"/>
    </row>
    <row r="198" spans="1:42" ht="24.95" customHeight="1">
      <c r="A198" s="1266" t="s">
        <v>406</v>
      </c>
      <c r="B198" s="1266"/>
      <c r="C198" s="1266"/>
      <c r="D198" s="1266"/>
      <c r="E198" s="1266"/>
      <c r="F198" s="1267" t="s">
        <v>407</v>
      </c>
      <c r="G198" s="1267"/>
      <c r="H198" s="1267"/>
      <c r="I198" s="1267"/>
      <c r="J198" s="1267"/>
      <c r="K198" s="1267"/>
      <c r="L198" s="1267"/>
      <c r="M198" s="1267"/>
      <c r="N198" s="1267"/>
      <c r="O198" s="1267"/>
      <c r="P198" s="1267"/>
      <c r="Q198" s="1267"/>
      <c r="R198" s="1267"/>
      <c r="S198" s="1267"/>
      <c r="T198" s="1267"/>
      <c r="U198" s="1267"/>
      <c r="V198" s="1267"/>
      <c r="W198" s="1267"/>
      <c r="X198" s="1267"/>
      <c r="Y198" s="1267"/>
      <c r="Z198" s="1267"/>
      <c r="AA198" s="1267"/>
      <c r="AB198" s="1267"/>
      <c r="AC198" s="1267"/>
      <c r="AD198" s="1267"/>
      <c r="AE198" s="318"/>
      <c r="AF198" s="318"/>
      <c r="AG198" s="318"/>
      <c r="AH198" s="92"/>
    </row>
    <row r="199" spans="1:42" ht="24.95" customHeight="1">
      <c r="A199" s="1260" t="s">
        <v>408</v>
      </c>
      <c r="B199" s="1260"/>
      <c r="C199" s="1260"/>
      <c r="D199" s="1260"/>
      <c r="E199" s="1260"/>
      <c r="F199" s="1261" t="s">
        <v>409</v>
      </c>
      <c r="G199" s="1261"/>
      <c r="H199" s="1261"/>
      <c r="I199" s="1261"/>
      <c r="J199" s="1261"/>
      <c r="K199" s="1261"/>
      <c r="L199" s="1261"/>
      <c r="M199" s="1261"/>
      <c r="N199" s="1261"/>
      <c r="O199" s="1261"/>
      <c r="P199" s="1261"/>
      <c r="Q199" s="1261"/>
      <c r="R199" s="1261"/>
      <c r="S199" s="1261"/>
      <c r="T199" s="1261"/>
      <c r="U199" s="1261"/>
      <c r="V199" s="1261"/>
      <c r="W199" s="1261"/>
      <c r="X199" s="1261"/>
      <c r="Y199" s="1261"/>
      <c r="Z199" s="1261"/>
      <c r="AA199" s="1261"/>
      <c r="AB199" s="1261"/>
      <c r="AC199" s="1261"/>
      <c r="AD199" s="1261"/>
      <c r="AE199" s="318"/>
      <c r="AF199" s="318"/>
      <c r="AG199" s="318"/>
      <c r="AH199" s="92"/>
    </row>
    <row r="200" spans="1:42" ht="15" customHeight="1">
      <c r="A200" s="1262" t="s">
        <v>410</v>
      </c>
      <c r="B200" s="1262"/>
      <c r="C200" s="1262"/>
      <c r="D200" s="1262"/>
      <c r="E200" s="1262"/>
      <c r="F200" s="1263" t="s">
        <v>411</v>
      </c>
      <c r="G200" s="1263"/>
      <c r="H200" s="1263"/>
      <c r="I200" s="1263"/>
      <c r="J200" s="1263"/>
      <c r="K200" s="1263"/>
      <c r="L200" s="1263"/>
      <c r="M200" s="1263"/>
      <c r="N200" s="1263"/>
      <c r="O200" s="1263"/>
      <c r="P200" s="1263"/>
      <c r="Q200" s="1263"/>
      <c r="R200" s="1263"/>
      <c r="S200" s="1263"/>
      <c r="T200" s="1263"/>
      <c r="U200" s="1263"/>
      <c r="V200" s="1263"/>
      <c r="W200" s="1263"/>
      <c r="X200" s="1263"/>
      <c r="Y200" s="1263"/>
      <c r="Z200" s="1263"/>
      <c r="AA200" s="1263"/>
      <c r="AB200" s="1263"/>
      <c r="AC200" s="1263"/>
      <c r="AD200" s="1263"/>
      <c r="AE200" s="318"/>
      <c r="AF200" s="318"/>
      <c r="AG200" s="318"/>
      <c r="AH200" s="92"/>
    </row>
    <row r="204" spans="1:42">
      <c r="AP204" s="82"/>
    </row>
    <row r="205" spans="1:42">
      <c r="AP205" s="82"/>
    </row>
    <row r="206" spans="1:42">
      <c r="AP206" s="82"/>
    </row>
    <row r="207" spans="1:42">
      <c r="AP207" s="82"/>
    </row>
    <row r="208" spans="1:42">
      <c r="AP208" s="82"/>
    </row>
    <row r="209" spans="42:42">
      <c r="AP209" s="82"/>
    </row>
    <row r="210" spans="42:42">
      <c r="AP210" s="82"/>
    </row>
    <row r="211" spans="42:42">
      <c r="AP211" s="82"/>
    </row>
    <row r="212" spans="42:42">
      <c r="AP212" s="82"/>
    </row>
    <row r="213" spans="42:42">
      <c r="AP213" s="82"/>
    </row>
    <row r="214" spans="42:42">
      <c r="AP214" s="82"/>
    </row>
    <row r="215" spans="42:42">
      <c r="AP215" s="82"/>
    </row>
    <row r="216" spans="42:42">
      <c r="AP216" s="82"/>
    </row>
    <row r="217" spans="42:42">
      <c r="AP217" s="82"/>
    </row>
    <row r="218" spans="42:42">
      <c r="AP218" s="92"/>
    </row>
    <row r="219" spans="42:42">
      <c r="AP219" s="92"/>
    </row>
    <row r="227" spans="42:42">
      <c r="AP227" s="82"/>
    </row>
    <row r="228" spans="42:42">
      <c r="AP228" s="82"/>
    </row>
    <row r="229" spans="42:42">
      <c r="AP229" s="82"/>
    </row>
    <row r="230" spans="42:42">
      <c r="AP230" s="82"/>
    </row>
    <row r="231" spans="42:42">
      <c r="AP231" s="82"/>
    </row>
    <row r="237" spans="42:42">
      <c r="AP237" s="92"/>
    </row>
    <row r="238" spans="42:42">
      <c r="AP238" s="82"/>
    </row>
    <row r="239" spans="42:42">
      <c r="AP239" s="92"/>
    </row>
    <row r="240" spans="42:42">
      <c r="AP240" s="82"/>
    </row>
    <row r="243" spans="42:42">
      <c r="AP243" s="92"/>
    </row>
    <row r="248" spans="42:42">
      <c r="AP248" s="92"/>
    </row>
    <row r="253" spans="42:42">
      <c r="AP253" s="92"/>
    </row>
    <row r="258" spans="42:42">
      <c r="AP258" s="92"/>
    </row>
    <row r="263" spans="42:42">
      <c r="AP263" s="92"/>
    </row>
    <row r="270" spans="42:42">
      <c r="AP270" s="82"/>
    </row>
    <row r="271" spans="42:42">
      <c r="AP271" s="82"/>
    </row>
    <row r="272" spans="42:42">
      <c r="AP272" s="79"/>
    </row>
    <row r="273" spans="42:42">
      <c r="AP273" s="79"/>
    </row>
    <row r="274" spans="42:42">
      <c r="AP274" s="79"/>
    </row>
    <row r="275" spans="42:42">
      <c r="AP275" s="79"/>
    </row>
    <row r="276" spans="42:42">
      <c r="AP276" s="79"/>
    </row>
    <row r="277" spans="42:42">
      <c r="AP277" s="81"/>
    </row>
    <row r="278" spans="42:42">
      <c r="AP278" s="82"/>
    </row>
    <row r="279" spans="42:42">
      <c r="AP279" s="82"/>
    </row>
    <row r="280" spans="42:42">
      <c r="AP280" s="82"/>
    </row>
    <row r="281" spans="42:42">
      <c r="AP281" s="82"/>
    </row>
    <row r="282" spans="42:42">
      <c r="AP282" s="82"/>
    </row>
    <row r="283" spans="42:42">
      <c r="AP283" s="82"/>
    </row>
    <row r="284" spans="42:42">
      <c r="AP284" s="82"/>
    </row>
    <row r="285" spans="42:42">
      <c r="AP285" s="82"/>
    </row>
    <row r="286" spans="42:42">
      <c r="AP286" s="82"/>
    </row>
    <row r="287" spans="42:42">
      <c r="AP287" s="82"/>
    </row>
    <row r="288" spans="42:42">
      <c r="AP288" s="82"/>
    </row>
    <row r="289" spans="42:42">
      <c r="AP289" s="82"/>
    </row>
    <row r="303" spans="42:42">
      <c r="AP303" s="79"/>
    </row>
    <row r="304" spans="42:42">
      <c r="AP304" s="82"/>
    </row>
    <row r="305" spans="42:42">
      <c r="AP305" s="82"/>
    </row>
    <row r="306" spans="42:42">
      <c r="AP306" s="82"/>
    </row>
    <row r="307" spans="42:42">
      <c r="AP307" s="82"/>
    </row>
    <row r="308" spans="42:42">
      <c r="AP308" s="81"/>
    </row>
    <row r="309" spans="42:42">
      <c r="AP309" s="78"/>
    </row>
    <row r="310" spans="42:42">
      <c r="AP310" s="82"/>
    </row>
    <row r="311" spans="42:42">
      <c r="AP311" s="78"/>
    </row>
    <row r="312" spans="42:42">
      <c r="AP312" s="82"/>
    </row>
    <row r="313" spans="42:42">
      <c r="AP313" s="82"/>
    </row>
    <row r="314" spans="42:42">
      <c r="AP314" s="78"/>
    </row>
    <row r="315" spans="42:42">
      <c r="AP315" s="82"/>
    </row>
    <row r="316" spans="42:42">
      <c r="AP316" s="78"/>
    </row>
    <row r="317" spans="42:42">
      <c r="AP317" s="78"/>
    </row>
    <row r="318" spans="42:42">
      <c r="AP318" s="82"/>
    </row>
    <row r="319" spans="42:42">
      <c r="AP319" s="82"/>
    </row>
  </sheetData>
  <sheetProtection algorithmName="SHA-512" hashValue="3gLFgEvlz3PJ51qA/IDqQWl2eb5YUto+CjiunXD8+QSOEHQl8AoZR7pnnBeuSptsgga46CrntmmQGO7wJ3rnQQ==" saltValue="Ct6g7JDxBq8xMyjtkN7ZGA==" spinCount="100000" sheet="1" objects="1" scenarios="1" selectLockedCells="1"/>
  <mergeCells count="459">
    <mergeCell ref="AK17:AL17"/>
    <mergeCell ref="A199:E199"/>
    <mergeCell ref="F199:AD199"/>
    <mergeCell ref="A200:E200"/>
    <mergeCell ref="F200:AD200"/>
    <mergeCell ref="J174:N174"/>
    <mergeCell ref="F169:Z169"/>
    <mergeCell ref="AA169:AD169"/>
    <mergeCell ref="A171:E171"/>
    <mergeCell ref="F171:AD171"/>
    <mergeCell ref="A167:E169"/>
    <mergeCell ref="A192:E195"/>
    <mergeCell ref="F192:AD192"/>
    <mergeCell ref="F193:AD193"/>
    <mergeCell ref="F194:AD194"/>
    <mergeCell ref="F195:AD195"/>
    <mergeCell ref="A197:E197"/>
    <mergeCell ref="F197:AD197"/>
    <mergeCell ref="A198:E198"/>
    <mergeCell ref="F198:AD198"/>
    <mergeCell ref="A184:E191"/>
    <mergeCell ref="F184:Z184"/>
    <mergeCell ref="AA159:AD159"/>
    <mergeCell ref="AA160:AD163"/>
    <mergeCell ref="F133:AD133"/>
    <mergeCell ref="F191:G191"/>
    <mergeCell ref="H191:Z191"/>
    <mergeCell ref="AA191:AD191"/>
    <mergeCell ref="AA185:AD185"/>
    <mergeCell ref="G186:Z186"/>
    <mergeCell ref="AA186:AD186"/>
    <mergeCell ref="F187:G187"/>
    <mergeCell ref="H187:Z187"/>
    <mergeCell ref="AA187:AD187"/>
    <mergeCell ref="F188:H188"/>
    <mergeCell ref="I188:Z188"/>
    <mergeCell ref="AA188:AD188"/>
    <mergeCell ref="O165:Q165"/>
    <mergeCell ref="H162:Z162"/>
    <mergeCell ref="F167:Z167"/>
    <mergeCell ref="A165:I165"/>
    <mergeCell ref="A157:AG157"/>
    <mergeCell ref="AA150:AD150"/>
    <mergeCell ref="AA151:AD151"/>
    <mergeCell ref="A154:I156"/>
    <mergeCell ref="G152:Z152"/>
    <mergeCell ref="F189:H189"/>
    <mergeCell ref="I189:Z189"/>
    <mergeCell ref="AA189:AD189"/>
    <mergeCell ref="F190:H190"/>
    <mergeCell ref="I190:Z190"/>
    <mergeCell ref="AA190:AD190"/>
    <mergeCell ref="AA167:AD167"/>
    <mergeCell ref="F168:Z168"/>
    <mergeCell ref="AA168:AD168"/>
    <mergeCell ref="AA184:AD184"/>
    <mergeCell ref="G185:Z185"/>
    <mergeCell ref="A178:I178"/>
    <mergeCell ref="J178:N178"/>
    <mergeCell ref="O178:Q178"/>
    <mergeCell ref="A179:E179"/>
    <mergeCell ref="F179:K179"/>
    <mergeCell ref="A180:AG180"/>
    <mergeCell ref="A183:E183"/>
    <mergeCell ref="F183:K183"/>
    <mergeCell ref="AJ47:AJ53"/>
    <mergeCell ref="AJ54:AJ56"/>
    <mergeCell ref="AJ57:AJ58"/>
    <mergeCell ref="O106:Q106"/>
    <mergeCell ref="A107:E107"/>
    <mergeCell ref="F107:K107"/>
    <mergeCell ref="J74:N74"/>
    <mergeCell ref="AA89:AD89"/>
    <mergeCell ref="AA90:AD90"/>
    <mergeCell ref="AA91:AD91"/>
    <mergeCell ref="AA92:AD92"/>
    <mergeCell ref="AA93:AD93"/>
    <mergeCell ref="AA94:AD94"/>
    <mergeCell ref="AA95:AD95"/>
    <mergeCell ref="F99:G99"/>
    <mergeCell ref="H99:Z99"/>
    <mergeCell ref="J106:N106"/>
    <mergeCell ref="J62:N62"/>
    <mergeCell ref="A103:E103"/>
    <mergeCell ref="F103:AD103"/>
    <mergeCell ref="J66:N66"/>
    <mergeCell ref="AA106:AD106"/>
    <mergeCell ref="A68:E69"/>
    <mergeCell ref="F68:Z68"/>
    <mergeCell ref="J165:N165"/>
    <mergeCell ref="J156:N156"/>
    <mergeCell ref="A182:I182"/>
    <mergeCell ref="J182:N182"/>
    <mergeCell ref="O182:Q182"/>
    <mergeCell ref="A174:I174"/>
    <mergeCell ref="A172:AD172"/>
    <mergeCell ref="A170:E170"/>
    <mergeCell ref="F170:AD170"/>
    <mergeCell ref="A176:AG176"/>
    <mergeCell ref="O174:Q174"/>
    <mergeCell ref="A158:E163"/>
    <mergeCell ref="A175:E175"/>
    <mergeCell ref="F175:K175"/>
    <mergeCell ref="O156:Q156"/>
    <mergeCell ref="F158:Z158"/>
    <mergeCell ref="AA158:AD158"/>
    <mergeCell ref="G159:Z159"/>
    <mergeCell ref="G160:Z160"/>
    <mergeCell ref="F161:G161"/>
    <mergeCell ref="H161:Z161"/>
    <mergeCell ref="F162:G162"/>
    <mergeCell ref="F163:G163"/>
    <mergeCell ref="H163:Z163"/>
    <mergeCell ref="AE111:AG111"/>
    <mergeCell ref="AE112:AG112"/>
    <mergeCell ref="F93:G93"/>
    <mergeCell ref="H93:Z93"/>
    <mergeCell ref="AA96:AD96"/>
    <mergeCell ref="AA97:AD97"/>
    <mergeCell ref="AA98:AD98"/>
    <mergeCell ref="AA99:AD99"/>
    <mergeCell ref="AA100:AD100"/>
    <mergeCell ref="AA101:AD101"/>
    <mergeCell ref="AA102:AD102"/>
    <mergeCell ref="F94:H94"/>
    <mergeCell ref="I94:Z94"/>
    <mergeCell ref="I95:Z95"/>
    <mergeCell ref="F96:H96"/>
    <mergeCell ref="I96:Z96"/>
    <mergeCell ref="I112:N112"/>
    <mergeCell ref="U111:Z111"/>
    <mergeCell ref="O111:T111"/>
    <mergeCell ref="AA111:AD111"/>
    <mergeCell ref="F95:H95"/>
    <mergeCell ref="I111:N111"/>
    <mergeCell ref="C112:H112"/>
    <mergeCell ref="A108:E110"/>
    <mergeCell ref="F108:Z108"/>
    <mergeCell ref="G123:Z123"/>
    <mergeCell ref="G146:Z146"/>
    <mergeCell ref="A120:I120"/>
    <mergeCell ref="F118:AD118"/>
    <mergeCell ref="F132:AD132"/>
    <mergeCell ref="F126:I129"/>
    <mergeCell ref="G109:Z109"/>
    <mergeCell ref="AA109:AD109"/>
    <mergeCell ref="G110:Z110"/>
    <mergeCell ref="A111:B116"/>
    <mergeCell ref="AA146:AD149"/>
    <mergeCell ref="A145:E152"/>
    <mergeCell ref="A144:AG144"/>
    <mergeCell ref="AE116:AG116"/>
    <mergeCell ref="C113:H113"/>
    <mergeCell ref="AA152:AD152"/>
    <mergeCell ref="G151:Z151"/>
    <mergeCell ref="F145:Z145"/>
    <mergeCell ref="K127:Z127"/>
    <mergeCell ref="F148:G148"/>
    <mergeCell ref="H148:Z148"/>
    <mergeCell ref="G138:Z138"/>
    <mergeCell ref="G139:Z139"/>
    <mergeCell ref="G97:Z97"/>
    <mergeCell ref="F98:G98"/>
    <mergeCell ref="H98:Z98"/>
    <mergeCell ref="H101:Z101"/>
    <mergeCell ref="F102:G102"/>
    <mergeCell ref="H102:Z102"/>
    <mergeCell ref="F100:G100"/>
    <mergeCell ref="H100:Z100"/>
    <mergeCell ref="F101:G101"/>
    <mergeCell ref="C111:H111"/>
    <mergeCell ref="F149:G149"/>
    <mergeCell ref="G150:Z150"/>
    <mergeCell ref="U112:Z112"/>
    <mergeCell ref="C114:H114"/>
    <mergeCell ref="C115:H115"/>
    <mergeCell ref="C116:H116"/>
    <mergeCell ref="AA122:AD122"/>
    <mergeCell ref="AA129:AD129"/>
    <mergeCell ref="G130:Z130"/>
    <mergeCell ref="AA130:AD130"/>
    <mergeCell ref="AA112:AD112"/>
    <mergeCell ref="I113:N113"/>
    <mergeCell ref="O113:T113"/>
    <mergeCell ref="U113:Z113"/>
    <mergeCell ref="AA113:AD113"/>
    <mergeCell ref="O120:Q120"/>
    <mergeCell ref="G124:Z124"/>
    <mergeCell ref="AA124:AD124"/>
    <mergeCell ref="G125:Z125"/>
    <mergeCell ref="AA125:AD125"/>
    <mergeCell ref="J126:Z126"/>
    <mergeCell ref="AA126:AD126"/>
    <mergeCell ref="AA127:AD127"/>
    <mergeCell ref="K128:Z128"/>
    <mergeCell ref="AA128:AD128"/>
    <mergeCell ref="K129:Z129"/>
    <mergeCell ref="AE113:AG113"/>
    <mergeCell ref="AE114:AG114"/>
    <mergeCell ref="AE115:AG115"/>
    <mergeCell ref="O112:T112"/>
    <mergeCell ref="I114:N114"/>
    <mergeCell ref="O114:T114"/>
    <mergeCell ref="U114:Z114"/>
    <mergeCell ref="AA114:AD114"/>
    <mergeCell ref="J120:N120"/>
    <mergeCell ref="O116:T116"/>
    <mergeCell ref="F117:AD117"/>
    <mergeCell ref="AE117:AG118"/>
    <mergeCell ref="AA108:AD108"/>
    <mergeCell ref="AA110:AD110"/>
    <mergeCell ref="A106:I106"/>
    <mergeCell ref="V106:Z106"/>
    <mergeCell ref="J82:N82"/>
    <mergeCell ref="F89:H89"/>
    <mergeCell ref="I89:Z89"/>
    <mergeCell ref="F90:H90"/>
    <mergeCell ref="I90:Z90"/>
    <mergeCell ref="F91:H91"/>
    <mergeCell ref="I91:Z91"/>
    <mergeCell ref="F92:H92"/>
    <mergeCell ref="I92:Z92"/>
    <mergeCell ref="AA84:AD84"/>
    <mergeCell ref="AA85:AD85"/>
    <mergeCell ref="F86:G86"/>
    <mergeCell ref="H86:Z86"/>
    <mergeCell ref="F87:H87"/>
    <mergeCell ref="F88:H88"/>
    <mergeCell ref="I88:Z88"/>
    <mergeCell ref="I87:Z87"/>
    <mergeCell ref="AA86:AD86"/>
    <mergeCell ref="G85:Z85"/>
    <mergeCell ref="AA87:AD87"/>
    <mergeCell ref="AA68:AD68"/>
    <mergeCell ref="F69:Z69"/>
    <mergeCell ref="AA69:AD69"/>
    <mergeCell ref="A70:E71"/>
    <mergeCell ref="F70:AD70"/>
    <mergeCell ref="O74:Q74"/>
    <mergeCell ref="O82:Q82"/>
    <mergeCell ref="A79:AG80"/>
    <mergeCell ref="A72:AD72"/>
    <mergeCell ref="A83:E83"/>
    <mergeCell ref="F83:K83"/>
    <mergeCell ref="A75:E75"/>
    <mergeCell ref="F75:K75"/>
    <mergeCell ref="F76:Z76"/>
    <mergeCell ref="AA76:AD76"/>
    <mergeCell ref="A76:E77"/>
    <mergeCell ref="F77:Z77"/>
    <mergeCell ref="AA77:AD77"/>
    <mergeCell ref="A78:E78"/>
    <mergeCell ref="F78:AD78"/>
    <mergeCell ref="AI48:AI50"/>
    <mergeCell ref="A63:E63"/>
    <mergeCell ref="F63:K63"/>
    <mergeCell ref="O62:Q62"/>
    <mergeCell ref="A46:E58"/>
    <mergeCell ref="F46:Z46"/>
    <mergeCell ref="AA46:AD46"/>
    <mergeCell ref="G47:Z47"/>
    <mergeCell ref="AA47:AD47"/>
    <mergeCell ref="F51:G51"/>
    <mergeCell ref="H51:Z51"/>
    <mergeCell ref="AA51:AD51"/>
    <mergeCell ref="F52:G52"/>
    <mergeCell ref="H52:Z52"/>
    <mergeCell ref="AA52:AD52"/>
    <mergeCell ref="F53:G53"/>
    <mergeCell ref="H53:Z53"/>
    <mergeCell ref="AA53:AD53"/>
    <mergeCell ref="G57:Z57"/>
    <mergeCell ref="AA57:AD57"/>
    <mergeCell ref="F58:G58"/>
    <mergeCell ref="H58:Z58"/>
    <mergeCell ref="AE46:AG46"/>
    <mergeCell ref="AA55:AD55"/>
    <mergeCell ref="A12:C12"/>
    <mergeCell ref="P6:R6"/>
    <mergeCell ref="S6:AD6"/>
    <mergeCell ref="P7:R7"/>
    <mergeCell ref="S7:AD7"/>
    <mergeCell ref="A10:C10"/>
    <mergeCell ref="D10:F10"/>
    <mergeCell ref="G10:H10"/>
    <mergeCell ref="I10:K10"/>
    <mergeCell ref="L10:N10"/>
    <mergeCell ref="A11:C11"/>
    <mergeCell ref="D11:N11"/>
    <mergeCell ref="D12:N12"/>
    <mergeCell ref="F14:G14"/>
    <mergeCell ref="H14:I14"/>
    <mergeCell ref="K14:L14"/>
    <mergeCell ref="M14:N14"/>
    <mergeCell ref="P14:Q14"/>
    <mergeCell ref="V21:Y21"/>
    <mergeCell ref="Z21:AF21"/>
    <mergeCell ref="V16:Y16"/>
    <mergeCell ref="B17:E17"/>
    <mergeCell ref="V20:Y20"/>
    <mergeCell ref="F19:U19"/>
    <mergeCell ref="B19:E19"/>
    <mergeCell ref="B16:E16"/>
    <mergeCell ref="R14:S14"/>
    <mergeCell ref="Z16:AF16"/>
    <mergeCell ref="V19:Y19"/>
    <mergeCell ref="Z19:AF19"/>
    <mergeCell ref="F17:U17"/>
    <mergeCell ref="V17:Y17"/>
    <mergeCell ref="Z17:AF17"/>
    <mergeCell ref="F20:U20"/>
    <mergeCell ref="F21:U21"/>
    <mergeCell ref="AK1:AL1"/>
    <mergeCell ref="V38:AF39"/>
    <mergeCell ref="AI17:AJ17"/>
    <mergeCell ref="F16:U16"/>
    <mergeCell ref="V18:AF18"/>
    <mergeCell ref="B20:E20"/>
    <mergeCell ref="B21:E21"/>
    <mergeCell ref="B22:E22"/>
    <mergeCell ref="Z20:AF20"/>
    <mergeCell ref="D13:Y13"/>
    <mergeCell ref="A14:C14"/>
    <mergeCell ref="AI16:AJ16"/>
    <mergeCell ref="A15:AF15"/>
    <mergeCell ref="A3:AD3"/>
    <mergeCell ref="W4:AD4"/>
    <mergeCell ref="A9:AG9"/>
    <mergeCell ref="V29:Y29"/>
    <mergeCell ref="Z25:AF25"/>
    <mergeCell ref="V27:Y27"/>
    <mergeCell ref="Z27:AF27"/>
    <mergeCell ref="Z24:AF24"/>
    <mergeCell ref="V25:Y25"/>
    <mergeCell ref="A13:C13"/>
    <mergeCell ref="D14:E14"/>
    <mergeCell ref="F84:Z84"/>
    <mergeCell ref="AA88:AD88"/>
    <mergeCell ref="A84:E102"/>
    <mergeCell ref="B23:E23"/>
    <mergeCell ref="B24:E24"/>
    <mergeCell ref="B25:E25"/>
    <mergeCell ref="B34:E34"/>
    <mergeCell ref="B33:E33"/>
    <mergeCell ref="F33:U33"/>
    <mergeCell ref="B27:E27"/>
    <mergeCell ref="B28:E28"/>
    <mergeCell ref="B29:E29"/>
    <mergeCell ref="F56:G56"/>
    <mergeCell ref="F55:G55"/>
    <mergeCell ref="J45:N45"/>
    <mergeCell ref="A43:AG43"/>
    <mergeCell ref="H55:Z55"/>
    <mergeCell ref="AA58:AD58"/>
    <mergeCell ref="G54:Z54"/>
    <mergeCell ref="AA54:AD54"/>
    <mergeCell ref="H56:Z56"/>
    <mergeCell ref="AA56:AD56"/>
    <mergeCell ref="AE47:AG53"/>
    <mergeCell ref="A44:AG44"/>
    <mergeCell ref="F22:U22"/>
    <mergeCell ref="F23:U23"/>
    <mergeCell ref="F24:U24"/>
    <mergeCell ref="A62:I62"/>
    <mergeCell ref="F31:U31"/>
    <mergeCell ref="F34:U34"/>
    <mergeCell ref="B32:E32"/>
    <mergeCell ref="F32:U32"/>
    <mergeCell ref="F25:U25"/>
    <mergeCell ref="F27:U27"/>
    <mergeCell ref="F28:U28"/>
    <mergeCell ref="F29:U29"/>
    <mergeCell ref="A45:I45"/>
    <mergeCell ref="O45:Q45"/>
    <mergeCell ref="H48:Z48"/>
    <mergeCell ref="F49:H49"/>
    <mergeCell ref="I49:Z49"/>
    <mergeCell ref="F50:H50"/>
    <mergeCell ref="I50:Z50"/>
    <mergeCell ref="Z34:AF34"/>
    <mergeCell ref="V36:AF37"/>
    <mergeCell ref="F38:U38"/>
    <mergeCell ref="V22:Y22"/>
    <mergeCell ref="Z22:AF22"/>
    <mergeCell ref="A64:AG64"/>
    <mergeCell ref="A66:I66"/>
    <mergeCell ref="F48:G48"/>
    <mergeCell ref="AA50:AD50"/>
    <mergeCell ref="A67:E67"/>
    <mergeCell ref="F67:K67"/>
    <mergeCell ref="O66:Q66"/>
    <mergeCell ref="V31:Y31"/>
    <mergeCell ref="Z31:AF31"/>
    <mergeCell ref="A59:E59"/>
    <mergeCell ref="F59:AG59"/>
    <mergeCell ref="A60:AG60"/>
    <mergeCell ref="V24:Y24"/>
    <mergeCell ref="V34:Y34"/>
    <mergeCell ref="Z29:AF29"/>
    <mergeCell ref="AE54:AG56"/>
    <mergeCell ref="AE57:AG58"/>
    <mergeCell ref="AA48:AD48"/>
    <mergeCell ref="AA49:AD49"/>
    <mergeCell ref="F39:U39"/>
    <mergeCell ref="A40:AF41"/>
    <mergeCell ref="A42:AG42"/>
    <mergeCell ref="A117:E118"/>
    <mergeCell ref="I115:N115"/>
    <mergeCell ref="O115:T115"/>
    <mergeCell ref="U115:Z115"/>
    <mergeCell ref="U116:Z116"/>
    <mergeCell ref="AA116:AD116"/>
    <mergeCell ref="AA115:AD115"/>
    <mergeCell ref="I116:N116"/>
    <mergeCell ref="A121:E121"/>
    <mergeCell ref="F121:K121"/>
    <mergeCell ref="A122:E130"/>
    <mergeCell ref="F122:Z122"/>
    <mergeCell ref="A131:E133"/>
    <mergeCell ref="X1:AG1"/>
    <mergeCell ref="A143:I143"/>
    <mergeCell ref="F71:AD71"/>
    <mergeCell ref="V23:Y23"/>
    <mergeCell ref="Z23:AF23"/>
    <mergeCell ref="V28:Y28"/>
    <mergeCell ref="Z28:AF28"/>
    <mergeCell ref="B36:E36"/>
    <mergeCell ref="B37:E37"/>
    <mergeCell ref="B38:E38"/>
    <mergeCell ref="B39:E39"/>
    <mergeCell ref="B31:E31"/>
    <mergeCell ref="V33:Y33"/>
    <mergeCell ref="Z33:AF33"/>
    <mergeCell ref="F36:U36"/>
    <mergeCell ref="F37:U37"/>
    <mergeCell ref="V32:Y32"/>
    <mergeCell ref="Z32:AF32"/>
    <mergeCell ref="F131:AD131"/>
    <mergeCell ref="AA123:AD123"/>
    <mergeCell ref="A137:E140"/>
    <mergeCell ref="AA145:AD145"/>
    <mergeCell ref="A135:I135"/>
    <mergeCell ref="H149:Z149"/>
    <mergeCell ref="O143:Q143"/>
    <mergeCell ref="A136:E136"/>
    <mergeCell ref="F136:K136"/>
    <mergeCell ref="F137:Z137"/>
    <mergeCell ref="AA137:AD137"/>
    <mergeCell ref="AA138:AD138"/>
    <mergeCell ref="AA139:AD139"/>
    <mergeCell ref="AA140:AD140"/>
    <mergeCell ref="A141:E141"/>
    <mergeCell ref="F141:AD141"/>
    <mergeCell ref="O135:Q135"/>
    <mergeCell ref="J143:N143"/>
    <mergeCell ref="J135:N135"/>
    <mergeCell ref="F147:G147"/>
    <mergeCell ref="H147:Z147"/>
    <mergeCell ref="G140:Z140"/>
  </mergeCells>
  <phoneticPr fontId="1"/>
  <conditionalFormatting sqref="AA48:AD48 AA49:AA50">
    <cfRule type="expression" dxfId="91" priority="36">
      <formula>SUM($AI$71:$AI$71)&gt;0</formula>
    </cfRule>
  </conditionalFormatting>
  <conditionalFormatting sqref="AA58:AD58">
    <cfRule type="expression" dxfId="90" priority="40">
      <formula>$AI$74=1</formula>
    </cfRule>
  </conditionalFormatting>
  <conditionalFormatting sqref="AA51:AD51">
    <cfRule type="expression" dxfId="89" priority="41">
      <formula>OR($AI$48,$AI$52,$AI$53)</formula>
    </cfRule>
  </conditionalFormatting>
  <conditionalFormatting sqref="AA52:AD52">
    <cfRule type="expression" dxfId="88" priority="42">
      <formula>OR($AI$48,$AI$51,$AI$53)</formula>
    </cfRule>
  </conditionalFormatting>
  <conditionalFormatting sqref="AA55:AD55">
    <cfRule type="expression" dxfId="87" priority="38">
      <formula>$AI$56</formula>
    </cfRule>
  </conditionalFormatting>
  <conditionalFormatting sqref="AA56:AD56">
    <cfRule type="expression" dxfId="86" priority="37">
      <formula>$AI$55</formula>
    </cfRule>
  </conditionalFormatting>
  <conditionalFormatting sqref="AA87:AD92">
    <cfRule type="expression" dxfId="85" priority="35">
      <formula>$AI$93</formula>
    </cfRule>
  </conditionalFormatting>
  <conditionalFormatting sqref="AA127:AD129">
    <cfRule type="expression" dxfId="84" priority="29">
      <formula>$AA$125&lt;&gt;"×"</formula>
    </cfRule>
  </conditionalFormatting>
  <conditionalFormatting sqref="AE112:AG116">
    <cfRule type="containsText" dxfId="83" priority="24" operator="containsText" text="誤り">
      <formula>NOT(ISERROR(SEARCH("誤り",AE112)))</formula>
    </cfRule>
  </conditionalFormatting>
  <conditionalFormatting sqref="AE117:AG118">
    <cfRule type="containsText" dxfId="82" priority="23" operator="containsText" text="不一致">
      <formula>NOT(ISERROR(SEARCH("不一致",AE117)))</formula>
    </cfRule>
  </conditionalFormatting>
  <conditionalFormatting sqref="AA53:AD53">
    <cfRule type="expression" dxfId="81" priority="214">
      <formula>OR($AI$48,$AI$51,$AI$52)</formula>
    </cfRule>
  </conditionalFormatting>
  <conditionalFormatting sqref="AA94:AD96">
    <cfRule type="expression" dxfId="80" priority="21">
      <formula>$AI$86</formula>
    </cfRule>
  </conditionalFormatting>
  <conditionalFormatting sqref="AA189:AD189">
    <cfRule type="expression" dxfId="79" priority="20">
      <formula>$AI$188</formula>
    </cfRule>
  </conditionalFormatting>
  <conditionalFormatting sqref="AA188:AD188">
    <cfRule type="expression" dxfId="78" priority="19">
      <formula>$AI$189</formula>
    </cfRule>
  </conditionalFormatting>
  <conditionalFormatting sqref="AA191:AD191">
    <cfRule type="expression" dxfId="77" priority="18">
      <formula>$AI$187</formula>
    </cfRule>
  </conditionalFormatting>
  <conditionalFormatting sqref="B17:E17">
    <cfRule type="containsText" dxfId="76" priority="2" operator="containsText" text="エラー">
      <formula>NOT(ISERROR(SEARCH("エラー",B17)))</formula>
    </cfRule>
    <cfRule type="containsText" dxfId="75" priority="17" operator="containsText" text="×">
      <formula>NOT(ISERROR(SEARCH("×",B17)))</formula>
    </cfRule>
  </conditionalFormatting>
  <conditionalFormatting sqref="Z29:AF29">
    <cfRule type="containsText" dxfId="74" priority="16" operator="containsText" text="変更有">
      <formula>NOT(ISERROR(SEARCH("変更有",Z29)))</formula>
    </cfRule>
  </conditionalFormatting>
  <conditionalFormatting sqref="B19:E19">
    <cfRule type="containsText" dxfId="73" priority="15" operator="containsText" text="エラー">
      <formula>NOT(ISERROR(SEARCH("エラー",B19)))</formula>
    </cfRule>
  </conditionalFormatting>
  <conditionalFormatting sqref="B20:E20">
    <cfRule type="containsText" dxfId="72" priority="14" operator="containsText" text="エラー">
      <formula>NOT(ISERROR(SEARCH("エラー",B20)))</formula>
    </cfRule>
  </conditionalFormatting>
  <conditionalFormatting sqref="B21:E21">
    <cfRule type="containsText" dxfId="71" priority="13" operator="containsText" text="エラー">
      <formula>NOT(ISERROR(SEARCH("エラー",B21)))</formula>
    </cfRule>
  </conditionalFormatting>
  <conditionalFormatting sqref="B22:E22">
    <cfRule type="containsText" dxfId="70" priority="12" operator="containsText" text="エラー">
      <formula>NOT(ISERROR(SEARCH("エラー",B22)))</formula>
    </cfRule>
  </conditionalFormatting>
  <conditionalFormatting sqref="B23:E23">
    <cfRule type="containsText" dxfId="69" priority="11" operator="containsText" text="エラー">
      <formula>NOT(ISERROR(SEARCH("エラー",B23)))</formula>
    </cfRule>
  </conditionalFormatting>
  <conditionalFormatting sqref="B24:E24">
    <cfRule type="containsText" dxfId="68" priority="10" operator="containsText" text="エラー">
      <formula>NOT(ISERROR(SEARCH("エラー",B24)))</formula>
    </cfRule>
  </conditionalFormatting>
  <conditionalFormatting sqref="B25:E25">
    <cfRule type="containsText" dxfId="67" priority="9" operator="containsText" text="エラー">
      <formula>NOT(ISERROR(SEARCH("エラー",B25)))</formula>
    </cfRule>
  </conditionalFormatting>
  <conditionalFormatting sqref="B27:E27">
    <cfRule type="containsText" dxfId="66" priority="8" operator="containsText" text="エラー">
      <formula>NOT(ISERROR(SEARCH("エラー",B27)))</formula>
    </cfRule>
  </conditionalFormatting>
  <conditionalFormatting sqref="B28:E28">
    <cfRule type="containsText" dxfId="65" priority="7" operator="containsText" text="エラー">
      <formula>NOT(ISERROR(SEARCH("エラー",B28)))</formula>
    </cfRule>
  </conditionalFormatting>
  <conditionalFormatting sqref="B29:E29">
    <cfRule type="containsText" dxfId="64" priority="6" operator="containsText" text="エラー">
      <formula>NOT(ISERROR(SEARCH("エラー",B29)))</formula>
    </cfRule>
  </conditionalFormatting>
  <conditionalFormatting sqref="B31:E32">
    <cfRule type="containsText" dxfId="63" priority="5" operator="containsText" text="エラー">
      <formula>NOT(ISERROR(SEARCH("エラー",B31)))</formula>
    </cfRule>
  </conditionalFormatting>
  <conditionalFormatting sqref="B33:E33">
    <cfRule type="containsText" dxfId="62" priority="4" operator="containsText" text="エラー">
      <formula>NOT(ISERROR(SEARCH("エラー",B33)))</formula>
    </cfRule>
  </conditionalFormatting>
  <conditionalFormatting sqref="J45:N45">
    <cfRule type="containsText" dxfId="61" priority="3" operator="containsText" text="×">
      <formula>NOT(ISERROR(SEARCH("×",J45)))</formula>
    </cfRule>
  </conditionalFormatting>
  <conditionalFormatting sqref="AA188:AD189">
    <cfRule type="expression" dxfId="60" priority="1">
      <formula>AND($AI$188,$AI$189)</formula>
    </cfRule>
  </conditionalFormatting>
  <dataValidations count="8">
    <dataValidation allowBlank="1" showInputMessage="1" showErrorMessage="1" promptTitle="入力時のポイント" prompt="記載例を削除して入力してください。" sqref="F171" xr:uid="{00000000-0002-0000-0400-000000000000}"/>
    <dataValidation type="list" allowBlank="1" showInputMessage="1" showErrorMessage="1" sqref="I10" xr:uid="{00000000-0002-0000-0400-000001000000}">
      <formula1>$AK$2:$AK$14</formula1>
    </dataValidation>
    <dataValidation type="list" allowBlank="1" showErrorMessage="1" prompt="_x000a_" sqref="AA112:AD116 V19:Y25 V27:Y28 V31:Y34" xr:uid="{00000000-0002-0000-0400-000002000000}">
      <formula1>$AK$2:$AK$14</formula1>
    </dataValidation>
    <dataValidation type="list" allowBlank="1" showInputMessage="1" showErrorMessage="1" sqref="D11:N11" xr:uid="{00000000-0002-0000-0400-000003000000}">
      <formula1>$AM$2:$AM$12</formula1>
    </dataValidation>
    <dataValidation type="list" allowBlank="1" showInputMessage="1" showErrorMessage="1" sqref="AA51:AD53 AA188:AD189 AA185:AD185 AA58:AD58 AA159:AD159 AA150:AD152 AA138:AD140 AA127:AD129 AA123:AD125 AA98:AD102 AA94:AD96 AA87:AD92 AA191:AD191 AA55:AD56" xr:uid="{00000000-0002-0000-0400-000004000000}">
      <formula1>$AO$2:$AO$4</formula1>
    </dataValidation>
    <dataValidation type="list" allowBlank="1" showInputMessage="1" showErrorMessage="1" sqref="F63:K63 F67:K67 F175:K175 F136:K136 F121:K121 F107:K107 F83:K83 F183:K183 F75:K75 F179:K179" xr:uid="{00000000-0002-0000-0400-000005000000}">
      <formula1>$AP$2:$AP$4</formula1>
    </dataValidation>
    <dataValidation type="list" showInputMessage="1" showErrorMessage="1" sqref="V29:Y29" xr:uid="{00000000-0002-0000-0400-000006000000}">
      <formula1>$AL$2:$AL$14</formula1>
    </dataValidation>
    <dataValidation type="list" allowBlank="1" showInputMessage="1" showErrorMessage="1" sqref="D12:N12" xr:uid="{00000000-0002-0000-0400-000007000000}">
      <formula1>INDIRECT($D$11&amp;$AN$2)</formula1>
    </dataValidation>
  </dataValidations>
  <printOptions horizontalCentered="1"/>
  <pageMargins left="0.59055118110236227" right="0.19685039370078741" top="0.39370078740157483" bottom="0.39370078740157483" header="0.31496062992125984" footer="0.31496062992125984"/>
  <pageSetup paperSize="9" fitToHeight="0" orientation="portrait" r:id="rId1"/>
  <rowBreaks count="5" manualBreakCount="5">
    <brk id="41" min="4" max="32" man="1"/>
    <brk id="81" min="4" max="32" man="1"/>
    <brk id="104" min="4" max="32" man="1"/>
    <brk id="141" min="4" max="32" man="1"/>
    <brk id="172" min="4" max="3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pageSetUpPr fitToPage="1"/>
  </sheetPr>
  <dimension ref="A1:AP30"/>
  <sheetViews>
    <sheetView view="pageBreakPreview" zoomScale="85" zoomScaleNormal="100" zoomScaleSheetLayoutView="85" workbookViewId="0">
      <selection activeCell="E5" sqref="E5"/>
    </sheetView>
  </sheetViews>
  <sheetFormatPr defaultColWidth="9" defaultRowHeight="12" outlineLevelCol="1"/>
  <cols>
    <col min="1" max="1" width="10.625" style="135" customWidth="1"/>
    <col min="2" max="3" width="18.25" style="135" customWidth="1"/>
    <col min="4" max="4" width="11" style="135" customWidth="1"/>
    <col min="5" max="5" width="18.875" style="135" bestFit="1" customWidth="1"/>
    <col min="6" max="6" width="12" style="135" customWidth="1"/>
    <col min="7" max="7" width="18.25" style="135" customWidth="1"/>
    <col min="8" max="8" width="11.375" style="135" bestFit="1" customWidth="1"/>
    <col min="9" max="9" width="50.625" style="135" customWidth="1"/>
    <col min="10" max="10" width="9" style="135" hidden="1" customWidth="1" outlineLevel="1"/>
    <col min="11" max="39" width="3.625" style="170" hidden="1" customWidth="1" outlineLevel="1"/>
    <col min="40" max="41" width="3.625" style="135" hidden="1" customWidth="1" outlineLevel="1"/>
    <col min="42" max="42" width="9" style="135" collapsed="1"/>
    <col min="43" max="16384" width="9" style="135"/>
  </cols>
  <sheetData>
    <row r="1" spans="1:41" ht="20.100000000000001" customHeight="1">
      <c r="A1" s="167" t="s">
        <v>429</v>
      </c>
      <c r="B1" s="168"/>
      <c r="C1" s="168"/>
      <c r="D1" s="168"/>
      <c r="E1" s="168"/>
      <c r="F1" s="1269" t="str">
        <f>J2&amp;"別紙2"&amp;J3</f>
        <v>加-23_月申-別紙2-家_Ver.2.00</v>
      </c>
      <c r="G1" s="1269"/>
      <c r="H1" s="1269"/>
      <c r="J1" s="721" t="s">
        <v>654</v>
      </c>
      <c r="K1" s="169" t="s">
        <v>47</v>
      </c>
      <c r="AM1" s="135"/>
    </row>
    <row r="2" spans="1:41" ht="20.100000000000001" customHeight="1">
      <c r="A2" s="171" t="s">
        <v>446</v>
      </c>
      <c r="B2" s="171"/>
      <c r="C2" s="168"/>
      <c r="D2" s="168"/>
      <c r="E2" s="168"/>
      <c r="F2" s="172"/>
      <c r="G2" s="172"/>
      <c r="H2" s="172"/>
      <c r="J2" s="721" t="str">
        <f>【様式１】総括表・個票!$AI$2</f>
        <v>加-23_月申-</v>
      </c>
      <c r="K2" s="169"/>
      <c r="AM2" s="135"/>
    </row>
    <row r="3" spans="1:41" ht="20.100000000000001" customHeight="1" thickBot="1">
      <c r="A3" s="173" t="s">
        <v>273</v>
      </c>
      <c r="B3" s="168"/>
      <c r="C3" s="174" t="e">
        <f>DATE(K4,M4,1)</f>
        <v>#VALUE!</v>
      </c>
      <c r="D3" s="168"/>
      <c r="E3" s="168"/>
      <c r="F3" s="168"/>
      <c r="G3" s="175"/>
      <c r="H3" s="176"/>
      <c r="J3" s="721" t="str">
        <f>【様式１】総括表・個票!$AI$3</f>
        <v>-家_Ver.2.00</v>
      </c>
      <c r="K3" s="169" t="s">
        <v>447</v>
      </c>
      <c r="AM3" s="135"/>
    </row>
    <row r="4" spans="1:41" ht="20.100000000000001" customHeight="1" thickBot="1">
      <c r="A4" s="178" t="s">
        <v>448</v>
      </c>
      <c r="B4" s="179" t="s">
        <v>274</v>
      </c>
      <c r="C4" s="179" t="s">
        <v>275</v>
      </c>
      <c r="D4" s="180" t="s">
        <v>276</v>
      </c>
      <c r="E4" s="181" t="s">
        <v>277</v>
      </c>
      <c r="F4" s="180" t="s">
        <v>128</v>
      </c>
      <c r="G4" s="175"/>
      <c r="H4" s="176"/>
      <c r="K4" s="182" t="str">
        <f>【様式１】総括表・個票!D10</f>
        <v/>
      </c>
      <c r="L4" s="183" t="s">
        <v>11</v>
      </c>
      <c r="M4" s="183">
        <f>【様式１】総括表・個票!I10</f>
        <v>0</v>
      </c>
      <c r="N4" s="184" t="s">
        <v>278</v>
      </c>
    </row>
    <row r="5" spans="1:41" ht="20.100000000000001" customHeight="1">
      <c r="A5" s="882"/>
      <c r="B5" s="185">
        <v>1</v>
      </c>
      <c r="C5" s="186" t="e">
        <f>HLOOKUP($B5,$K$6:$AO$7,2,FALSE)</f>
        <v>#N/A</v>
      </c>
      <c r="D5" s="187" t="e">
        <f>IF(C5="無","×",IF(HLOOKUP($B5,$K$6:$AO$8,3,FALSE)="○","祝日",IF($A5="○","特例","平日")))</f>
        <v>#N/A</v>
      </c>
      <c r="E5" s="188"/>
      <c r="F5" s="189" t="e">
        <f>IF(AND($D5="平日",OR($E5=0,ISTEXT($E5))),"○",IF(AND($D5&lt;&gt;"平日",E5&gt;0),"エラー",""))</f>
        <v>#N/A</v>
      </c>
      <c r="G5" s="175"/>
      <c r="H5" s="176"/>
      <c r="J5" s="169" t="s">
        <v>279</v>
      </c>
      <c r="K5" s="190" t="e">
        <f>IF(K7&lt;&gt;"",IF(WEEKDAY(DATE($K$4,$M$4,K$7))=7,1,0),0)</f>
        <v>#VALUE!</v>
      </c>
      <c r="L5" s="190" t="e">
        <f t="shared" ref="L5:AO5" si="0">IF(L7&lt;&gt;"",IF(WEEKDAY(DATE($K$4,$M$4,L$7))=7,1,0),0)</f>
        <v>#VALUE!</v>
      </c>
      <c r="M5" s="190" t="e">
        <f t="shared" si="0"/>
        <v>#VALUE!</v>
      </c>
      <c r="N5" s="190" t="e">
        <f t="shared" si="0"/>
        <v>#VALUE!</v>
      </c>
      <c r="O5" s="190" t="e">
        <f t="shared" si="0"/>
        <v>#VALUE!</v>
      </c>
      <c r="P5" s="190" t="e">
        <f t="shared" si="0"/>
        <v>#VALUE!</v>
      </c>
      <c r="Q5" s="190" t="e">
        <f t="shared" si="0"/>
        <v>#VALUE!</v>
      </c>
      <c r="R5" s="190" t="e">
        <f t="shared" si="0"/>
        <v>#VALUE!</v>
      </c>
      <c r="S5" s="190" t="e">
        <f t="shared" si="0"/>
        <v>#VALUE!</v>
      </c>
      <c r="T5" s="190" t="e">
        <f t="shared" si="0"/>
        <v>#VALUE!</v>
      </c>
      <c r="U5" s="190" t="e">
        <f t="shared" si="0"/>
        <v>#VALUE!</v>
      </c>
      <c r="V5" s="190" t="e">
        <f t="shared" si="0"/>
        <v>#VALUE!</v>
      </c>
      <c r="W5" s="190" t="e">
        <f t="shared" si="0"/>
        <v>#VALUE!</v>
      </c>
      <c r="X5" s="190" t="e">
        <f t="shared" si="0"/>
        <v>#VALUE!</v>
      </c>
      <c r="Y5" s="190" t="e">
        <f t="shared" si="0"/>
        <v>#VALUE!</v>
      </c>
      <c r="Z5" s="190" t="e">
        <f t="shared" si="0"/>
        <v>#VALUE!</v>
      </c>
      <c r="AA5" s="190" t="e">
        <f t="shared" si="0"/>
        <v>#VALUE!</v>
      </c>
      <c r="AB5" s="190" t="e">
        <f t="shared" si="0"/>
        <v>#VALUE!</v>
      </c>
      <c r="AC5" s="190" t="e">
        <f t="shared" si="0"/>
        <v>#VALUE!</v>
      </c>
      <c r="AD5" s="190" t="e">
        <f t="shared" si="0"/>
        <v>#VALUE!</v>
      </c>
      <c r="AE5" s="190" t="e">
        <f t="shared" si="0"/>
        <v>#VALUE!</v>
      </c>
      <c r="AF5" s="190" t="e">
        <f t="shared" si="0"/>
        <v>#VALUE!</v>
      </c>
      <c r="AG5" s="190" t="e">
        <f t="shared" si="0"/>
        <v>#VALUE!</v>
      </c>
      <c r="AH5" s="190" t="e">
        <f t="shared" si="0"/>
        <v>#VALUE!</v>
      </c>
      <c r="AI5" s="190" t="e">
        <f t="shared" si="0"/>
        <v>#VALUE!</v>
      </c>
      <c r="AJ5" s="190" t="e">
        <f t="shared" si="0"/>
        <v>#VALUE!</v>
      </c>
      <c r="AK5" s="190" t="e">
        <f t="shared" si="0"/>
        <v>#VALUE!</v>
      </c>
      <c r="AL5" s="190" t="e">
        <f t="shared" si="0"/>
        <v>#VALUE!</v>
      </c>
      <c r="AM5" s="190" t="e">
        <f t="shared" si="0"/>
        <v>#VALUE!</v>
      </c>
      <c r="AN5" s="190" t="e">
        <f t="shared" si="0"/>
        <v>#VALUE!</v>
      </c>
      <c r="AO5" s="190">
        <f t="shared" si="0"/>
        <v>0</v>
      </c>
    </row>
    <row r="6" spans="1:41" ht="20.100000000000001" customHeight="1">
      <c r="A6" s="883"/>
      <c r="B6" s="191">
        <v>2</v>
      </c>
      <c r="C6" s="192" t="e">
        <f>HLOOKUP($B6,$K$6:$AO$7,2,FALSE)</f>
        <v>#N/A</v>
      </c>
      <c r="D6" s="193" t="e">
        <f>IF(C6="無","×",IF(HLOOKUP($B6,$K$6:$AO$8,3,FALSE)="○","祝日",IF($A6="○","特例","平日")))</f>
        <v>#N/A</v>
      </c>
      <c r="E6" s="194"/>
      <c r="F6" s="195" t="e">
        <f t="shared" ref="F6:F9" si="1">IF(AND($D6="平日",OR($E6=0,ISTEXT($E6))),"○",IF(AND($D6&lt;&gt;"平日",E6&gt;0),"エラー",""))</f>
        <v>#N/A</v>
      </c>
      <c r="G6" s="175"/>
      <c r="H6" s="176"/>
      <c r="J6" s="169" t="s">
        <v>280</v>
      </c>
      <c r="K6" s="196" t="e">
        <f>IF(K5&lt;&gt;1,0,COUNTIF($K$5:K5,1))</f>
        <v>#VALUE!</v>
      </c>
      <c r="L6" s="196" t="e">
        <f>IF(L5&lt;&gt;1,0,COUNTIF($K$5:L5,1))</f>
        <v>#VALUE!</v>
      </c>
      <c r="M6" s="196" t="e">
        <f>IF(M5&lt;&gt;1,0,COUNTIF($K$5:M5,1))</f>
        <v>#VALUE!</v>
      </c>
      <c r="N6" s="196" t="e">
        <f>IF(N5&lt;&gt;1,0,COUNTIF($K$5:N5,1))</f>
        <v>#VALUE!</v>
      </c>
      <c r="O6" s="196" t="e">
        <f>IF(O5&lt;&gt;1,0,COUNTIF($K$5:O5,1))</f>
        <v>#VALUE!</v>
      </c>
      <c r="P6" s="196" t="e">
        <f>IF(P5&lt;&gt;1,0,COUNTIF($K$5:P5,1))</f>
        <v>#VALUE!</v>
      </c>
      <c r="Q6" s="196" t="e">
        <f>IF(Q5&lt;&gt;1,0,COUNTIF($K$5:Q5,1))</f>
        <v>#VALUE!</v>
      </c>
      <c r="R6" s="196" t="e">
        <f>IF(R5&lt;&gt;1,0,COUNTIF($K$5:R5,1))</f>
        <v>#VALUE!</v>
      </c>
      <c r="S6" s="196" t="e">
        <f>IF(S5&lt;&gt;1,0,COUNTIF($K$5:S5,1))</f>
        <v>#VALUE!</v>
      </c>
      <c r="T6" s="196" t="e">
        <f>IF(T5&lt;&gt;1,0,COUNTIF($K$5:T5,1))</f>
        <v>#VALUE!</v>
      </c>
      <c r="U6" s="196" t="e">
        <f>IF(U5&lt;&gt;1,0,COUNTIF($K$5:U5,1))</f>
        <v>#VALUE!</v>
      </c>
      <c r="V6" s="196" t="e">
        <f>IF(V5&lt;&gt;1,0,COUNTIF($K$5:V5,1))</f>
        <v>#VALUE!</v>
      </c>
      <c r="W6" s="196" t="e">
        <f>IF(W5&lt;&gt;1,0,COUNTIF($K$5:W5,1))</f>
        <v>#VALUE!</v>
      </c>
      <c r="X6" s="196" t="e">
        <f>IF(X5&lt;&gt;1,0,COUNTIF($K$5:X5,1))</f>
        <v>#VALUE!</v>
      </c>
      <c r="Y6" s="196" t="e">
        <f>IF(Y5&lt;&gt;1,0,COUNTIF($K$5:Y5,1))</f>
        <v>#VALUE!</v>
      </c>
      <c r="Z6" s="196" t="e">
        <f>IF(Z5&lt;&gt;1,0,COUNTIF($K$5:Z5,1))</f>
        <v>#VALUE!</v>
      </c>
      <c r="AA6" s="196" t="e">
        <f>IF(AA5&lt;&gt;1,0,COUNTIF($K$5:AA5,1))</f>
        <v>#VALUE!</v>
      </c>
      <c r="AB6" s="196" t="e">
        <f>IF(AB5&lt;&gt;1,0,COUNTIF($K$5:AB5,1))</f>
        <v>#VALUE!</v>
      </c>
      <c r="AC6" s="196" t="e">
        <f>IF(AC5&lt;&gt;1,0,COUNTIF($K$5:AC5,1))</f>
        <v>#VALUE!</v>
      </c>
      <c r="AD6" s="196" t="e">
        <f>IF(AD5&lt;&gt;1,0,COUNTIF($K$5:AD5,1))</f>
        <v>#VALUE!</v>
      </c>
      <c r="AE6" s="196" t="e">
        <f>IF(AE5&lt;&gt;1,0,COUNTIF($K$5:AE5,1))</f>
        <v>#VALUE!</v>
      </c>
      <c r="AF6" s="196" t="e">
        <f>IF(AF5&lt;&gt;1,0,COUNTIF($K$5:AF5,1))</f>
        <v>#VALUE!</v>
      </c>
      <c r="AG6" s="196" t="e">
        <f>IF(AG5&lt;&gt;1,0,COUNTIF($K$5:AG5,1))</f>
        <v>#VALUE!</v>
      </c>
      <c r="AH6" s="196" t="e">
        <f>IF(AH5&lt;&gt;1,0,COUNTIF($K$5:AH5,1))</f>
        <v>#VALUE!</v>
      </c>
      <c r="AI6" s="196" t="e">
        <f>IF(AI5&lt;&gt;1,0,COUNTIF($K$5:AI5,1))</f>
        <v>#VALUE!</v>
      </c>
      <c r="AJ6" s="196" t="e">
        <f>IF(AJ5&lt;&gt;1,0,COUNTIF($K$5:AJ5,1))</f>
        <v>#VALUE!</v>
      </c>
      <c r="AK6" s="196" t="e">
        <f>IF(AK5&lt;&gt;1,0,COUNTIF($K$5:AK5,1))</f>
        <v>#VALUE!</v>
      </c>
      <c r="AL6" s="196" t="e">
        <f>IF(AL5&lt;&gt;1,0,COUNTIF($K$5:AL5,1))</f>
        <v>#VALUE!</v>
      </c>
      <c r="AM6" s="196" t="e">
        <f>IF(AM5&lt;&gt;1,0,COUNTIF($K$5:AM5,1))</f>
        <v>#VALUE!</v>
      </c>
      <c r="AN6" s="196" t="e">
        <f>IF(AN5&lt;&gt;1,0,COUNTIF($K$5:AN5,1))</f>
        <v>#VALUE!</v>
      </c>
      <c r="AO6" s="196">
        <f>IF(AO5&lt;&gt;1,0,COUNTIF($K$5:AO5,1))</f>
        <v>0</v>
      </c>
    </row>
    <row r="7" spans="1:41" ht="20.100000000000001" customHeight="1">
      <c r="A7" s="883"/>
      <c r="B7" s="191">
        <v>3</v>
      </c>
      <c r="C7" s="192" t="e">
        <f>HLOOKUP($B7,$K$6:$AO$7,2,FALSE)</f>
        <v>#N/A</v>
      </c>
      <c r="D7" s="193" t="e">
        <f>IF(C7="無","×",IF(HLOOKUP($B7,$K$6:$AO$8,3,FALSE)="○","祝日",IF($A7="○","特例","平日")))</f>
        <v>#N/A</v>
      </c>
      <c r="E7" s="194"/>
      <c r="F7" s="195" t="e">
        <f t="shared" si="1"/>
        <v>#N/A</v>
      </c>
      <c r="G7" s="175"/>
      <c r="H7" s="176"/>
      <c r="J7" s="169" t="s">
        <v>275</v>
      </c>
      <c r="K7" s="197">
        <v>1</v>
      </c>
      <c r="L7" s="197">
        <v>2</v>
      </c>
      <c r="M7" s="197">
        <v>3</v>
      </c>
      <c r="N7" s="197">
        <v>4</v>
      </c>
      <c r="O7" s="197">
        <v>5</v>
      </c>
      <c r="P7" s="197">
        <v>6</v>
      </c>
      <c r="Q7" s="197">
        <v>7</v>
      </c>
      <c r="R7" s="197">
        <v>8</v>
      </c>
      <c r="S7" s="197">
        <v>9</v>
      </c>
      <c r="T7" s="197">
        <v>10</v>
      </c>
      <c r="U7" s="197">
        <v>11</v>
      </c>
      <c r="V7" s="197">
        <v>12</v>
      </c>
      <c r="W7" s="197">
        <v>13</v>
      </c>
      <c r="X7" s="197">
        <v>14</v>
      </c>
      <c r="Y7" s="197">
        <v>15</v>
      </c>
      <c r="Z7" s="197">
        <v>16</v>
      </c>
      <c r="AA7" s="197">
        <v>17</v>
      </c>
      <c r="AB7" s="197">
        <v>18</v>
      </c>
      <c r="AC7" s="197">
        <v>19</v>
      </c>
      <c r="AD7" s="197">
        <v>20</v>
      </c>
      <c r="AE7" s="197">
        <v>21</v>
      </c>
      <c r="AF7" s="197">
        <v>22</v>
      </c>
      <c r="AG7" s="197">
        <v>23</v>
      </c>
      <c r="AH7" s="197">
        <v>24</v>
      </c>
      <c r="AI7" s="197">
        <v>25</v>
      </c>
      <c r="AJ7" s="197">
        <v>26</v>
      </c>
      <c r="AK7" s="197">
        <v>27</v>
      </c>
      <c r="AL7" s="197">
        <v>28</v>
      </c>
      <c r="AM7" s="197" t="e">
        <f>IF(MONTH(DATE(K4,M4,AL7+1))=M4,AL7+1,"")</f>
        <v>#VALUE!</v>
      </c>
      <c r="AN7" s="197" t="e">
        <f>IF(M4&lt;&gt;2,IF(AM7&lt;&gt;"",AM7+1,""),"")</f>
        <v>#VALUE!</v>
      </c>
      <c r="AO7" s="197" t="str">
        <f>IF(OR(M4=1,M4=3,M4=5,M4=7,M4=8,M4=10,M4=12),AN7+1,"")</f>
        <v/>
      </c>
    </row>
    <row r="8" spans="1:41" ht="20.100000000000001" customHeight="1">
      <c r="A8" s="883"/>
      <c r="B8" s="191">
        <v>4</v>
      </c>
      <c r="C8" s="192" t="e">
        <f>HLOOKUP($B8,$K$6:$AO$7,2,FALSE)</f>
        <v>#N/A</v>
      </c>
      <c r="D8" s="193" t="e">
        <f>IF(C8="無","×",IF(HLOOKUP($B8,$K$6:$AO$8,3,FALSE)="○","祝日",IF($A8="○","特例","平日")))</f>
        <v>#N/A</v>
      </c>
      <c r="E8" s="194"/>
      <c r="F8" s="195" t="e">
        <f t="shared" si="1"/>
        <v>#N/A</v>
      </c>
      <c r="G8" s="175"/>
      <c r="H8" s="176"/>
      <c r="J8" s="198" t="s">
        <v>281</v>
      </c>
      <c r="K8" s="199" t="e">
        <f>IF(K7&lt;&gt;"",IF(OR(WEEKDAY(DATE($K$4,$M$4,K$7),2)&gt;6,COUNTIF('休日情報(要更新) '!$A$5:$J$32,DATE($K$4,$M$4,K$7)) &gt;=1),"○",""),"")</f>
        <v>#VALUE!</v>
      </c>
      <c r="L8" s="199" t="e">
        <f>IF(L7&lt;&gt;"",IF(OR(WEEKDAY(DATE($K$4,$M$4,L$7),2)&gt;6,COUNTIF('休日情報(要更新) '!$A$5:$J$32,DATE($K$4,$M$4,L$7)) &gt;=1),"○",""),"")</f>
        <v>#VALUE!</v>
      </c>
      <c r="M8" s="199" t="e">
        <f>IF(M7&lt;&gt;"",IF(OR(WEEKDAY(DATE($K$4,$M$4,M$7),2)&gt;6,COUNTIF('休日情報(要更新) '!$A$5:$J$32,DATE($K$4,$M$4,M$7)) &gt;=1),"○",""),"")</f>
        <v>#VALUE!</v>
      </c>
      <c r="N8" s="199" t="e">
        <f>IF(N7&lt;&gt;"",IF(OR(WEEKDAY(DATE($K$4,$M$4,N$7),2)&gt;6,COUNTIF('休日情報(要更新) '!$A$5:$J$32,DATE($K$4,$M$4,N$7)) &gt;=1),"○",""),"")</f>
        <v>#VALUE!</v>
      </c>
      <c r="O8" s="199" t="e">
        <f>IF(O7&lt;&gt;"",IF(OR(WEEKDAY(DATE($K$4,$M$4,O$7),2)&gt;6,COUNTIF('休日情報(要更新) '!$A$5:$J$32,DATE($K$4,$M$4,O$7)) &gt;=1),"○",""),"")</f>
        <v>#VALUE!</v>
      </c>
      <c r="P8" s="199" t="e">
        <f>IF(P7&lt;&gt;"",IF(OR(WEEKDAY(DATE($K$4,$M$4,P$7),2)&gt;6,COUNTIF('休日情報(要更新) '!$A$5:$J$32,DATE($K$4,$M$4,P$7)) &gt;=1),"○",""),"")</f>
        <v>#VALUE!</v>
      </c>
      <c r="Q8" s="199" t="e">
        <f>IF(Q7&lt;&gt;"",IF(OR(WEEKDAY(DATE($K$4,$M$4,Q$7),2)&gt;6,COUNTIF('休日情報(要更新) '!$A$5:$J$32,DATE($K$4,$M$4,Q$7)) &gt;=1),"○",""),"")</f>
        <v>#VALUE!</v>
      </c>
      <c r="R8" s="199" t="e">
        <f>IF(R7&lt;&gt;"",IF(OR(WEEKDAY(DATE($K$4,$M$4,R$7),2)&gt;6,COUNTIF('休日情報(要更新) '!$A$5:$J$32,DATE($K$4,$M$4,R$7)) &gt;=1),"○",""),"")</f>
        <v>#VALUE!</v>
      </c>
      <c r="S8" s="199" t="e">
        <f>IF(S7&lt;&gt;"",IF(OR(WEEKDAY(DATE($K$4,$M$4,S$7),2)&gt;6,COUNTIF('休日情報(要更新) '!$A$5:$J$32,DATE($K$4,$M$4,S$7)) &gt;=1),"○",""),"")</f>
        <v>#VALUE!</v>
      </c>
      <c r="T8" s="199" t="e">
        <f>IF(T7&lt;&gt;"",IF(OR(WEEKDAY(DATE($K$4,$M$4,T$7),2)&gt;6,COUNTIF('休日情報(要更新) '!$A$5:$J$32,DATE($K$4,$M$4,T$7)) &gt;=1),"○",""),"")</f>
        <v>#VALUE!</v>
      </c>
      <c r="U8" s="199" t="e">
        <f>IF(U7&lt;&gt;"",IF(OR(WEEKDAY(DATE($K$4,$M$4,U$7),2)&gt;6,COUNTIF('休日情報(要更新) '!$A$5:$J$32,DATE($K$4,$M$4,U$7)) &gt;=1),"○",""),"")</f>
        <v>#VALUE!</v>
      </c>
      <c r="V8" s="199" t="e">
        <f>IF(V7&lt;&gt;"",IF(OR(WEEKDAY(DATE($K$4,$M$4,V$7),2)&gt;6,COUNTIF('休日情報(要更新) '!$A$5:$J$32,DATE($K$4,$M$4,V$7)) &gt;=1),"○",""),"")</f>
        <v>#VALUE!</v>
      </c>
      <c r="W8" s="199" t="e">
        <f>IF(W7&lt;&gt;"",IF(OR(WEEKDAY(DATE($K$4,$M$4,W$7),2)&gt;6,COUNTIF('休日情報(要更新) '!$A$5:$J$32,DATE($K$4,$M$4,W$7)) &gt;=1),"○",""),"")</f>
        <v>#VALUE!</v>
      </c>
      <c r="X8" s="199" t="e">
        <f>IF(X7&lt;&gt;"",IF(OR(WEEKDAY(DATE($K$4,$M$4,X$7),2)&gt;6,COUNTIF('休日情報(要更新) '!$A$5:$J$32,DATE($K$4,$M$4,X$7)) &gt;=1),"○",""),"")</f>
        <v>#VALUE!</v>
      </c>
      <c r="Y8" s="199" t="e">
        <f>IF(Y7&lt;&gt;"",IF(OR(WEEKDAY(DATE($K$4,$M$4,Y$7),2)&gt;6,COUNTIF('休日情報(要更新) '!$A$5:$J$32,DATE($K$4,$M$4,Y$7)) &gt;=1),"○",""),"")</f>
        <v>#VALUE!</v>
      </c>
      <c r="Z8" s="199" t="e">
        <f>IF(Z7&lt;&gt;"",IF(OR(WEEKDAY(DATE($K$4,$M$4,Z$7),2)&gt;6,COUNTIF('休日情報(要更新) '!$A$5:$J$32,DATE($K$4,$M$4,Z$7)) &gt;=1),"○",""),"")</f>
        <v>#VALUE!</v>
      </c>
      <c r="AA8" s="199" t="e">
        <f>IF(AA7&lt;&gt;"",IF(OR(WEEKDAY(DATE($K$4,$M$4,AA$7),2)&gt;6,COUNTIF('休日情報(要更新) '!$A$5:$J$32,DATE($K$4,$M$4,AA$7)) &gt;=1),"○",""),"")</f>
        <v>#VALUE!</v>
      </c>
      <c r="AB8" s="199" t="e">
        <f>IF(AB7&lt;&gt;"",IF(OR(WEEKDAY(DATE($K$4,$M$4,AB$7),2)&gt;6,COUNTIF('休日情報(要更新) '!$A$5:$J$32,DATE($K$4,$M$4,AB$7)) &gt;=1),"○",""),"")</f>
        <v>#VALUE!</v>
      </c>
      <c r="AC8" s="199" t="e">
        <f>IF(AC7&lt;&gt;"",IF(OR(WEEKDAY(DATE($K$4,$M$4,AC$7),2)&gt;6,COUNTIF('休日情報(要更新) '!$A$5:$J$32,DATE($K$4,$M$4,AC$7)) &gt;=1),"○",""),"")</f>
        <v>#VALUE!</v>
      </c>
      <c r="AD8" s="199" t="e">
        <f>IF(AD7&lt;&gt;"",IF(OR(WEEKDAY(DATE($K$4,$M$4,AD$7),2)&gt;6,COUNTIF('休日情報(要更新) '!$A$5:$J$32,DATE($K$4,$M$4,AD$7)) &gt;=1),"○",""),"")</f>
        <v>#VALUE!</v>
      </c>
      <c r="AE8" s="199" t="e">
        <f>IF(AE7&lt;&gt;"",IF(OR(WEEKDAY(DATE($K$4,$M$4,AE$7),2)&gt;6,COUNTIF('休日情報(要更新) '!$A$5:$J$32,DATE($K$4,$M$4,AE$7)) &gt;=1),"○",""),"")</f>
        <v>#VALUE!</v>
      </c>
      <c r="AF8" s="199" t="e">
        <f>IF(AF7&lt;&gt;"",IF(OR(WEEKDAY(DATE($K$4,$M$4,AF$7),2)&gt;6,COUNTIF('休日情報(要更新) '!$A$5:$J$32,DATE($K$4,$M$4,AF$7)) &gt;=1),"○",""),"")</f>
        <v>#VALUE!</v>
      </c>
      <c r="AG8" s="199" t="e">
        <f>IF(AG7&lt;&gt;"",IF(OR(WEEKDAY(DATE($K$4,$M$4,AG$7),2)&gt;6,COUNTIF('休日情報(要更新) '!$A$5:$J$32,DATE($K$4,$M$4,AG$7)) &gt;=1),"○",""),"")</f>
        <v>#VALUE!</v>
      </c>
      <c r="AH8" s="199" t="e">
        <f>IF(AH7&lt;&gt;"",IF(OR(WEEKDAY(DATE($K$4,$M$4,AH$7),2)&gt;6,COUNTIF('休日情報(要更新) '!$A$5:$J$32,DATE($K$4,$M$4,AH$7)) &gt;=1),"○",""),"")</f>
        <v>#VALUE!</v>
      </c>
      <c r="AI8" s="199" t="e">
        <f>IF(AI7&lt;&gt;"",IF(OR(WEEKDAY(DATE($K$4,$M$4,AI$7),2)&gt;6,COUNTIF('休日情報(要更新) '!$A$5:$J$32,DATE($K$4,$M$4,AI$7)) &gt;=1),"○",""),"")</f>
        <v>#VALUE!</v>
      </c>
      <c r="AJ8" s="199" t="e">
        <f>IF(AJ7&lt;&gt;"",IF(OR(WEEKDAY(DATE($K$4,$M$4,AJ$7),2)&gt;6,COUNTIF('休日情報(要更新) '!$A$5:$J$32,DATE($K$4,$M$4,AJ$7)) &gt;=1),"○",""),"")</f>
        <v>#VALUE!</v>
      </c>
      <c r="AK8" s="199" t="e">
        <f>IF(AK7&lt;&gt;"",IF(OR(WEEKDAY(DATE($K$4,$M$4,AK$7),2)&gt;6,COUNTIF('休日情報(要更新) '!$A$5:$J$32,DATE($K$4,$M$4,AK$7)) &gt;=1),"○",""),"")</f>
        <v>#VALUE!</v>
      </c>
      <c r="AL8" s="199" t="e">
        <f>IF(AL7&lt;&gt;"",IF(OR(WEEKDAY(DATE($K$4,$M$4,AL$7),2)&gt;6,COUNTIF('休日情報(要更新) '!$A$5:$J$32,DATE($K$4,$M$4,AL$7)) &gt;=1),"○",""),"")</f>
        <v>#VALUE!</v>
      </c>
      <c r="AM8" s="199" t="e">
        <f>IF(AM7&lt;&gt;"",IF(OR(WEEKDAY(DATE($K$4,$M$4,AM$7),2)&gt;6,COUNTIF('休日情報(要更新) '!$A$5:$J$32,DATE($K$4,$M$4,AM$7)) &gt;=1),"○",""),"")</f>
        <v>#VALUE!</v>
      </c>
      <c r="AN8" s="199" t="e">
        <f>IF(AN7&lt;&gt;"",IF(OR(WEEKDAY(DATE($K$4,$M$4,AN$7),2)&gt;6,COUNTIF('休日情報(要更新) '!$A$5:$J$32,DATE($K$4,$M$4,AN$7)) &gt;=1),"○",""),"")</f>
        <v>#VALUE!</v>
      </c>
      <c r="AO8" s="199" t="str">
        <f>IF(AO7&lt;&gt;"",IF(OR(WEEKDAY(DATE($K$4,$M$4,AO$7),2)&gt;6,COUNTIF('休日情報(要更新) '!$A$5:$J$32,DATE($K$4,$M$4,AO$7)) &gt;=1),"○",""),"")</f>
        <v/>
      </c>
    </row>
    <row r="9" spans="1:41" ht="20.100000000000001" customHeight="1">
      <c r="A9" s="884"/>
      <c r="B9" s="200">
        <v>5</v>
      </c>
      <c r="C9" s="201" t="str">
        <f>IF(ISERROR(HLOOKUP($B9,$K$6:$AO$7,2,FALSE)),"無",HLOOKUP($B9,$K$6:$AO$7,2,FALSE))</f>
        <v>無</v>
      </c>
      <c r="D9" s="202" t="str">
        <f>IF(C9="無","×",IF(HLOOKUP($B9,$K$6:$AO$8,3,FALSE)="○","祝日",IF($A9="○","特例","平日")))</f>
        <v>×</v>
      </c>
      <c r="E9" s="203"/>
      <c r="F9" s="204" t="str">
        <f t="shared" si="1"/>
        <v/>
      </c>
      <c r="G9" s="175"/>
      <c r="H9" s="176"/>
      <c r="K9" s="205"/>
    </row>
    <row r="10" spans="1:41" ht="20.100000000000001" customHeight="1">
      <c r="A10" s="1270" t="s">
        <v>15</v>
      </c>
      <c r="B10" s="1271"/>
      <c r="C10" s="1271"/>
      <c r="D10" s="206">
        <f>COUNTIF(D5:D9,"平日")+COUNTIF(D5:D9,"特例")</f>
        <v>0</v>
      </c>
      <c r="E10" s="207"/>
      <c r="F10" s="206">
        <f>COUNTIF(F5:F9,"○")</f>
        <v>0</v>
      </c>
      <c r="G10" s="175"/>
      <c r="H10" s="176"/>
      <c r="K10" s="205"/>
    </row>
    <row r="11" spans="1:41" ht="20.100000000000001" customHeight="1" thickBot="1">
      <c r="A11" s="173"/>
      <c r="B11" s="208" t="s">
        <v>282</v>
      </c>
      <c r="C11" s="208" t="str">
        <f>IF(F10=D10,"全て",IF(F10&gt;=3,"3日以上",IF(F10=2,"2日",IF(F10=1,"1日","×"))))</f>
        <v>全て</v>
      </c>
      <c r="D11" s="209"/>
      <c r="E11" s="210"/>
      <c r="F11" s="209"/>
      <c r="G11" s="175"/>
      <c r="H11" s="176"/>
      <c r="K11" s="205"/>
    </row>
    <row r="12" spans="1:41" ht="20.100000000000001" customHeight="1" thickTop="1" thickBot="1">
      <c r="A12" s="173"/>
      <c r="B12" s="168"/>
      <c r="C12" s="168"/>
      <c r="D12" s="168"/>
      <c r="E12" s="168"/>
      <c r="F12" s="168"/>
      <c r="G12" s="175"/>
      <c r="H12" s="176"/>
      <c r="K12" s="182" t="e">
        <f>YEAR(DATE($K$4,$M$4,1)-1)</f>
        <v>#VALUE!</v>
      </c>
      <c r="L12" s="183" t="s">
        <v>11</v>
      </c>
      <c r="M12" s="183" t="e">
        <f>MONTH(DATE($K$4,$M$4,1)-1)</f>
        <v>#VALUE!</v>
      </c>
      <c r="N12" s="184" t="s">
        <v>278</v>
      </c>
    </row>
    <row r="13" spans="1:41" ht="20.100000000000001" customHeight="1">
      <c r="A13" s="173" t="s">
        <v>283</v>
      </c>
      <c r="B13" s="168"/>
      <c r="C13" s="174" t="e">
        <f>C3-1</f>
        <v>#VALUE!</v>
      </c>
      <c r="D13" s="168"/>
      <c r="E13" s="168"/>
      <c r="F13" s="168"/>
      <c r="G13" s="175"/>
      <c r="H13" s="176"/>
      <c r="J13" s="169" t="s">
        <v>279</v>
      </c>
      <c r="K13" s="190" t="e">
        <f>IF(K15&lt;&gt;"",IF(WEEKDAY(DATE($K$12,$M$12,K$15))=7,1,0),0)</f>
        <v>#VALUE!</v>
      </c>
      <c r="L13" s="190" t="e">
        <f t="shared" ref="L13:AO13" si="2">IF(L15&lt;&gt;"",IF(WEEKDAY(DATE($K$12,$M$12,L$15))=7,1,0),0)</f>
        <v>#VALUE!</v>
      </c>
      <c r="M13" s="190" t="e">
        <f t="shared" si="2"/>
        <v>#VALUE!</v>
      </c>
      <c r="N13" s="190" t="e">
        <f t="shared" si="2"/>
        <v>#VALUE!</v>
      </c>
      <c r="O13" s="190" t="e">
        <f t="shared" si="2"/>
        <v>#VALUE!</v>
      </c>
      <c r="P13" s="190" t="e">
        <f t="shared" si="2"/>
        <v>#VALUE!</v>
      </c>
      <c r="Q13" s="190" t="e">
        <f t="shared" si="2"/>
        <v>#VALUE!</v>
      </c>
      <c r="R13" s="190" t="e">
        <f t="shared" si="2"/>
        <v>#VALUE!</v>
      </c>
      <c r="S13" s="190" t="e">
        <f t="shared" si="2"/>
        <v>#VALUE!</v>
      </c>
      <c r="T13" s="190" t="e">
        <f t="shared" si="2"/>
        <v>#VALUE!</v>
      </c>
      <c r="U13" s="190" t="e">
        <f t="shared" si="2"/>
        <v>#VALUE!</v>
      </c>
      <c r="V13" s="190" t="e">
        <f t="shared" si="2"/>
        <v>#VALUE!</v>
      </c>
      <c r="W13" s="190" t="e">
        <f t="shared" si="2"/>
        <v>#VALUE!</v>
      </c>
      <c r="X13" s="190" t="e">
        <f t="shared" si="2"/>
        <v>#VALUE!</v>
      </c>
      <c r="Y13" s="190" t="e">
        <f t="shared" si="2"/>
        <v>#VALUE!</v>
      </c>
      <c r="Z13" s="190" t="e">
        <f t="shared" si="2"/>
        <v>#VALUE!</v>
      </c>
      <c r="AA13" s="190" t="e">
        <f t="shared" si="2"/>
        <v>#VALUE!</v>
      </c>
      <c r="AB13" s="190" t="e">
        <f t="shared" si="2"/>
        <v>#VALUE!</v>
      </c>
      <c r="AC13" s="190" t="e">
        <f t="shared" si="2"/>
        <v>#VALUE!</v>
      </c>
      <c r="AD13" s="190" t="e">
        <f t="shared" si="2"/>
        <v>#VALUE!</v>
      </c>
      <c r="AE13" s="190" t="e">
        <f t="shared" si="2"/>
        <v>#VALUE!</v>
      </c>
      <c r="AF13" s="190" t="e">
        <f t="shared" si="2"/>
        <v>#VALUE!</v>
      </c>
      <c r="AG13" s="190" t="e">
        <f t="shared" si="2"/>
        <v>#VALUE!</v>
      </c>
      <c r="AH13" s="190" t="e">
        <f t="shared" si="2"/>
        <v>#VALUE!</v>
      </c>
      <c r="AI13" s="190" t="e">
        <f t="shared" si="2"/>
        <v>#VALUE!</v>
      </c>
      <c r="AJ13" s="190" t="e">
        <f t="shared" si="2"/>
        <v>#VALUE!</v>
      </c>
      <c r="AK13" s="190" t="e">
        <f t="shared" si="2"/>
        <v>#VALUE!</v>
      </c>
      <c r="AL13" s="190" t="e">
        <f t="shared" si="2"/>
        <v>#VALUE!</v>
      </c>
      <c r="AM13" s="190" t="e">
        <f t="shared" si="2"/>
        <v>#VALUE!</v>
      </c>
      <c r="AN13" s="190" t="e">
        <f t="shared" si="2"/>
        <v>#VALUE!</v>
      </c>
      <c r="AO13" s="190" t="e">
        <f t="shared" si="2"/>
        <v>#VALUE!</v>
      </c>
    </row>
    <row r="14" spans="1:41" ht="20.100000000000001" customHeight="1">
      <c r="A14" s="178" t="s">
        <v>448</v>
      </c>
      <c r="B14" s="179" t="s">
        <v>274</v>
      </c>
      <c r="C14" s="179" t="s">
        <v>275</v>
      </c>
      <c r="D14" s="180" t="s">
        <v>276</v>
      </c>
      <c r="E14" s="181" t="s">
        <v>277</v>
      </c>
      <c r="F14" s="180" t="s">
        <v>284</v>
      </c>
      <c r="G14" s="181" t="s">
        <v>285</v>
      </c>
      <c r="H14" s="180" t="s">
        <v>428</v>
      </c>
      <c r="J14" s="169" t="s">
        <v>280</v>
      </c>
      <c r="K14" s="196" t="e">
        <f>IF(K13&lt;&gt;1,0,COUNTIF($K$13:K13,1))</f>
        <v>#VALUE!</v>
      </c>
      <c r="L14" s="196" t="e">
        <f>IF(L13&lt;&gt;1,0,COUNTIF($K$13:L13,1))</f>
        <v>#VALUE!</v>
      </c>
      <c r="M14" s="196" t="e">
        <f>IF(M13&lt;&gt;1,0,COUNTIF($K$13:M13,1))</f>
        <v>#VALUE!</v>
      </c>
      <c r="N14" s="196" t="e">
        <f>IF(N13&lt;&gt;1,0,COUNTIF($K$13:N13,1))</f>
        <v>#VALUE!</v>
      </c>
      <c r="O14" s="196" t="e">
        <f>IF(O13&lt;&gt;1,0,COUNTIF($K$13:O13,1))</f>
        <v>#VALUE!</v>
      </c>
      <c r="P14" s="196" t="e">
        <f>IF(P13&lt;&gt;1,0,COUNTIF($K$13:P13,1))</f>
        <v>#VALUE!</v>
      </c>
      <c r="Q14" s="196" t="e">
        <f>IF(Q13&lt;&gt;1,0,COUNTIF($K$13:Q13,1))</f>
        <v>#VALUE!</v>
      </c>
      <c r="R14" s="196" t="e">
        <f>IF(R13&lt;&gt;1,0,COUNTIF($K$13:R13,1))</f>
        <v>#VALUE!</v>
      </c>
      <c r="S14" s="196" t="e">
        <f>IF(S13&lt;&gt;1,0,COUNTIF($K$13:S13,1))</f>
        <v>#VALUE!</v>
      </c>
      <c r="T14" s="196" t="e">
        <f>IF(T13&lt;&gt;1,0,COUNTIF($K$13:T13,1))</f>
        <v>#VALUE!</v>
      </c>
      <c r="U14" s="196" t="e">
        <f>IF(U13&lt;&gt;1,0,COUNTIF($K$13:U13,1))</f>
        <v>#VALUE!</v>
      </c>
      <c r="V14" s="196" t="e">
        <f>IF(V13&lt;&gt;1,0,COUNTIF($K$13:V13,1))</f>
        <v>#VALUE!</v>
      </c>
      <c r="W14" s="196" t="e">
        <f>IF(W13&lt;&gt;1,0,COUNTIF($K$13:W13,1))</f>
        <v>#VALUE!</v>
      </c>
      <c r="X14" s="196" t="e">
        <f>IF(X13&lt;&gt;1,0,COUNTIF($K$13:X13,1))</f>
        <v>#VALUE!</v>
      </c>
      <c r="Y14" s="196" t="e">
        <f>IF(Y13&lt;&gt;1,0,COUNTIF($K$13:Y13,1))</f>
        <v>#VALUE!</v>
      </c>
      <c r="Z14" s="196" t="e">
        <f>IF(Z13&lt;&gt;1,0,COUNTIF($K$13:Z13,1))</f>
        <v>#VALUE!</v>
      </c>
      <c r="AA14" s="196" t="e">
        <f>IF(AA13&lt;&gt;1,0,COUNTIF($K$13:AA13,1))</f>
        <v>#VALUE!</v>
      </c>
      <c r="AB14" s="196" t="e">
        <f>IF(AB13&lt;&gt;1,0,COUNTIF($K$13:AB13,1))</f>
        <v>#VALUE!</v>
      </c>
      <c r="AC14" s="196" t="e">
        <f>IF(AC13&lt;&gt;1,0,COUNTIF($K$13:AC13,1))</f>
        <v>#VALUE!</v>
      </c>
      <c r="AD14" s="196" t="e">
        <f>IF(AD13&lt;&gt;1,0,COUNTIF($K$13:AD13,1))</f>
        <v>#VALUE!</v>
      </c>
      <c r="AE14" s="196" t="e">
        <f>IF(AE13&lt;&gt;1,0,COUNTIF($K$13:AE13,1))</f>
        <v>#VALUE!</v>
      </c>
      <c r="AF14" s="196" t="e">
        <f>IF(AF13&lt;&gt;1,0,COUNTIF($K$13:AF13,1))</f>
        <v>#VALUE!</v>
      </c>
      <c r="AG14" s="196" t="e">
        <f>IF(AG13&lt;&gt;1,0,COUNTIF($K$13:AG13,1))</f>
        <v>#VALUE!</v>
      </c>
      <c r="AH14" s="196" t="e">
        <f>IF(AH13&lt;&gt;1,0,COUNTIF($K$13:AH13,1))</f>
        <v>#VALUE!</v>
      </c>
      <c r="AI14" s="196" t="e">
        <f>IF(AI13&lt;&gt;1,0,COUNTIF($K$13:AI13,1))</f>
        <v>#VALUE!</v>
      </c>
      <c r="AJ14" s="196" t="e">
        <f>IF(AJ13&lt;&gt;1,0,COUNTIF($K$13:AJ13,1))</f>
        <v>#VALUE!</v>
      </c>
      <c r="AK14" s="196" t="e">
        <f>IF(AK13&lt;&gt;1,0,COUNTIF($K$13:AK13,1))</f>
        <v>#VALUE!</v>
      </c>
      <c r="AL14" s="196" t="e">
        <f>IF(AL13&lt;&gt;1,0,COUNTIF($K$13:AL13,1))</f>
        <v>#VALUE!</v>
      </c>
      <c r="AM14" s="196" t="e">
        <f>IF(AM13&lt;&gt;1,0,COUNTIF($K$13:AM13,1))</f>
        <v>#VALUE!</v>
      </c>
      <c r="AN14" s="196" t="e">
        <f>IF(AN13&lt;&gt;1,0,COUNTIF($K$13:AN13,1))</f>
        <v>#VALUE!</v>
      </c>
      <c r="AO14" s="196" t="e">
        <f>IF(AO13&lt;&gt;1,0,COUNTIF($K$13:AO13,1))</f>
        <v>#VALUE!</v>
      </c>
    </row>
    <row r="15" spans="1:41" ht="20.100000000000001" customHeight="1">
      <c r="A15" s="882"/>
      <c r="B15" s="185">
        <v>1</v>
      </c>
      <c r="C15" s="186" t="e">
        <f>HLOOKUP($B15,$K$14:$AO$15,2,FALSE)</f>
        <v>#N/A</v>
      </c>
      <c r="D15" s="187" t="e">
        <f>IF(C15="無","×",IF(HLOOKUP($B15,$K$14:$AO$16,3,FALSE)="○","祝日",IF($A15="○","特例","平日")))</f>
        <v>#N/A</v>
      </c>
      <c r="E15" s="188"/>
      <c r="F15" s="189" t="e">
        <f>IF(AND($D15="平日",OR($E15=0,ISTEXT($E15))),"○",IF(AND($D15&lt;&gt;"平日",E15&gt;0),"エラー",""))</f>
        <v>#N/A</v>
      </c>
      <c r="G15" s="188"/>
      <c r="H15" s="189" t="e">
        <f>IF(AND($D15="平日",OR($G15=0,ISTEXT($G15))),"○",IF(AND($D15&lt;&gt;"平日",$G15&gt;0),"エラー",""))</f>
        <v>#N/A</v>
      </c>
      <c r="J15" s="169" t="s">
        <v>275</v>
      </c>
      <c r="K15" s="197">
        <v>1</v>
      </c>
      <c r="L15" s="197">
        <v>2</v>
      </c>
      <c r="M15" s="197">
        <v>3</v>
      </c>
      <c r="N15" s="197">
        <v>4</v>
      </c>
      <c r="O15" s="197">
        <v>5</v>
      </c>
      <c r="P15" s="197">
        <v>6</v>
      </c>
      <c r="Q15" s="197">
        <v>7</v>
      </c>
      <c r="R15" s="197">
        <v>8</v>
      </c>
      <c r="S15" s="197">
        <v>9</v>
      </c>
      <c r="T15" s="197">
        <v>10</v>
      </c>
      <c r="U15" s="197">
        <v>11</v>
      </c>
      <c r="V15" s="197">
        <v>12</v>
      </c>
      <c r="W15" s="197">
        <v>13</v>
      </c>
      <c r="X15" s="197">
        <v>14</v>
      </c>
      <c r="Y15" s="197">
        <v>15</v>
      </c>
      <c r="Z15" s="197">
        <v>16</v>
      </c>
      <c r="AA15" s="197">
        <v>17</v>
      </c>
      <c r="AB15" s="197">
        <v>18</v>
      </c>
      <c r="AC15" s="197">
        <v>19</v>
      </c>
      <c r="AD15" s="197">
        <v>20</v>
      </c>
      <c r="AE15" s="197">
        <v>21</v>
      </c>
      <c r="AF15" s="197">
        <v>22</v>
      </c>
      <c r="AG15" s="197">
        <v>23</v>
      </c>
      <c r="AH15" s="197">
        <v>24</v>
      </c>
      <c r="AI15" s="197">
        <v>25</v>
      </c>
      <c r="AJ15" s="197">
        <v>26</v>
      </c>
      <c r="AK15" s="197">
        <v>27</v>
      </c>
      <c r="AL15" s="197">
        <v>28</v>
      </c>
      <c r="AM15" s="197" t="e">
        <f>IF(MONTH(DATE(K12,M12,AL15+1))=M12,AL15+1,"")</f>
        <v>#VALUE!</v>
      </c>
      <c r="AN15" s="197" t="e">
        <f>IF(M12&lt;&gt;2,IF(AM15&lt;&gt;"",AM15+1,""),"")</f>
        <v>#VALUE!</v>
      </c>
      <c r="AO15" s="197" t="e">
        <f>IF(OR(M12=1,M12=3,M12=5,M12=7,M12=8,M12=10,M12=12),AN15+1,"")</f>
        <v>#VALUE!</v>
      </c>
    </row>
    <row r="16" spans="1:41" ht="20.100000000000001" customHeight="1">
      <c r="A16" s="883"/>
      <c r="B16" s="191">
        <v>2</v>
      </c>
      <c r="C16" s="192" t="e">
        <f>HLOOKUP($B16,$K$14:$AO$15,2,FALSE)</f>
        <v>#N/A</v>
      </c>
      <c r="D16" s="193" t="e">
        <f t="shared" ref="D16:D19" si="3">IF(C16="無","×",IF(HLOOKUP($B16,$K$14:$AO$16,3,FALSE)="○","祝日",IF($A16="○","特例","平日")))</f>
        <v>#N/A</v>
      </c>
      <c r="E16" s="194"/>
      <c r="F16" s="195" t="e">
        <f t="shared" ref="F16:F19" si="4">IF(AND($D16="平日",OR($E16=0,ISTEXT($E16))),"○",IF(AND($D16&lt;&gt;"平日",E16&gt;0),"エラー",""))</f>
        <v>#N/A</v>
      </c>
      <c r="G16" s="194"/>
      <c r="H16" s="195" t="e">
        <f t="shared" ref="H16:H19" si="5">IF(AND($D16="平日",OR($G16=0,ISTEXT($G16))),"○",IF(AND($D16&lt;&gt;"平日",$G16&gt;0),"エラー",""))</f>
        <v>#N/A</v>
      </c>
      <c r="J16" s="198" t="s">
        <v>281</v>
      </c>
      <c r="K16" s="199" t="e">
        <f>IF(K15&lt;&gt;"",IF(OR(WEEKDAY(DATE($K$12,$M$12,K$15),2)&gt;6,COUNTIF('休日情報(要更新) '!$A$5:$J$32,DATE($K$12,$M$12,K$15)) &gt;=1),"○",""),"")</f>
        <v>#VALUE!</v>
      </c>
      <c r="L16" s="199" t="e">
        <f>IF(L15&lt;&gt;"",IF(OR(WEEKDAY(DATE($K$12,$M$12,L$15),2)&gt;6,COUNTIF('休日情報(要更新) '!$A$5:$J$32,DATE($K$12,$M$12,L$15)) &gt;=1),"○",""),"")</f>
        <v>#VALUE!</v>
      </c>
      <c r="M16" s="199" t="e">
        <f>IF(M15&lt;&gt;"",IF(OR(WEEKDAY(DATE($K$12,$M$12,M$15),2)&gt;6,COUNTIF('休日情報(要更新) '!$A$5:$J$32,DATE($K$12,$M$12,M$15)) &gt;=1),"○",""),"")</f>
        <v>#VALUE!</v>
      </c>
      <c r="N16" s="199" t="e">
        <f>IF(N15&lt;&gt;"",IF(OR(WEEKDAY(DATE($K$12,$M$12,N$15),2)&gt;6,COUNTIF('休日情報(要更新) '!$A$5:$J$32,DATE($K$12,$M$12,N$15)) &gt;=1),"○",""),"")</f>
        <v>#VALUE!</v>
      </c>
      <c r="O16" s="199" t="e">
        <f>IF(O15&lt;&gt;"",IF(OR(WEEKDAY(DATE($K$12,$M$12,O$15),2)&gt;6,COUNTIF('休日情報(要更新) '!$A$5:$J$32,DATE($K$12,$M$12,O$15)) &gt;=1),"○",""),"")</f>
        <v>#VALUE!</v>
      </c>
      <c r="P16" s="199" t="e">
        <f>IF(P15&lt;&gt;"",IF(OR(WEEKDAY(DATE($K$12,$M$12,P$15),2)&gt;6,COUNTIF('休日情報(要更新) '!$A$5:$J$32,DATE($K$12,$M$12,P$15)) &gt;=1),"○",""),"")</f>
        <v>#VALUE!</v>
      </c>
      <c r="Q16" s="199" t="e">
        <f>IF(Q15&lt;&gt;"",IF(OR(WEEKDAY(DATE($K$12,$M$12,Q$15),2)&gt;6,COUNTIF('休日情報(要更新) '!$A$5:$J$32,DATE($K$12,$M$12,Q$15)) &gt;=1),"○",""),"")</f>
        <v>#VALUE!</v>
      </c>
      <c r="R16" s="199" t="e">
        <f>IF(R15&lt;&gt;"",IF(OR(WEEKDAY(DATE($K$12,$M$12,R$15),2)&gt;6,COUNTIF('休日情報(要更新) '!$A$5:$J$32,DATE($K$12,$M$12,R$15)) &gt;=1),"○",""),"")</f>
        <v>#VALUE!</v>
      </c>
      <c r="S16" s="199" t="e">
        <f>IF(S15&lt;&gt;"",IF(OR(WEEKDAY(DATE($K$12,$M$12,S$15),2)&gt;6,COUNTIF('休日情報(要更新) '!$A$5:$J$32,DATE($K$12,$M$12,S$15)) &gt;=1),"○",""),"")</f>
        <v>#VALUE!</v>
      </c>
      <c r="T16" s="199" t="e">
        <f>IF(T15&lt;&gt;"",IF(OR(WEEKDAY(DATE($K$12,$M$12,T$15),2)&gt;6,COUNTIF('休日情報(要更新) '!$A$5:$J$32,DATE($K$12,$M$12,T$15)) &gt;=1),"○",""),"")</f>
        <v>#VALUE!</v>
      </c>
      <c r="U16" s="199" t="e">
        <f>IF(U15&lt;&gt;"",IF(OR(WEEKDAY(DATE($K$12,$M$12,U$15),2)&gt;6,COUNTIF('休日情報(要更新) '!$A$5:$J$32,DATE($K$12,$M$12,U$15)) &gt;=1),"○",""),"")</f>
        <v>#VALUE!</v>
      </c>
      <c r="V16" s="199" t="e">
        <f>IF(V15&lt;&gt;"",IF(OR(WEEKDAY(DATE($K$12,$M$12,V$15),2)&gt;6,COUNTIF('休日情報(要更新) '!$A$5:$J$32,DATE($K$12,$M$12,V$15)) &gt;=1),"○",""),"")</f>
        <v>#VALUE!</v>
      </c>
      <c r="W16" s="199" t="e">
        <f>IF(W15&lt;&gt;"",IF(OR(WEEKDAY(DATE($K$12,$M$12,W$15),2)&gt;6,COUNTIF('休日情報(要更新) '!$A$5:$J$32,DATE($K$12,$M$12,W$15)) &gt;=1),"○",""),"")</f>
        <v>#VALUE!</v>
      </c>
      <c r="X16" s="199" t="e">
        <f>IF(X15&lt;&gt;"",IF(OR(WEEKDAY(DATE($K$12,$M$12,X$15),2)&gt;6,COUNTIF('休日情報(要更新) '!$A$5:$J$32,DATE($K$12,$M$12,X$15)) &gt;=1),"○",""),"")</f>
        <v>#VALUE!</v>
      </c>
      <c r="Y16" s="199" t="e">
        <f>IF(Y15&lt;&gt;"",IF(OR(WEEKDAY(DATE($K$12,$M$12,Y$15),2)&gt;6,COUNTIF('休日情報(要更新) '!$A$5:$J$32,DATE($K$12,$M$12,Y$15)) &gt;=1),"○",""),"")</f>
        <v>#VALUE!</v>
      </c>
      <c r="Z16" s="199" t="e">
        <f>IF(Z15&lt;&gt;"",IF(OR(WEEKDAY(DATE($K$12,$M$12,Z$15),2)&gt;6,COUNTIF('休日情報(要更新) '!$A$5:$J$32,DATE($K$12,$M$12,Z$15)) &gt;=1),"○",""),"")</f>
        <v>#VALUE!</v>
      </c>
      <c r="AA16" s="199" t="e">
        <f>IF(AA15&lt;&gt;"",IF(OR(WEEKDAY(DATE($K$12,$M$12,AA$15),2)&gt;6,COUNTIF('休日情報(要更新) '!$A$5:$J$32,DATE($K$12,$M$12,AA$15)) &gt;=1),"○",""),"")</f>
        <v>#VALUE!</v>
      </c>
      <c r="AB16" s="199" t="e">
        <f>IF(AB15&lt;&gt;"",IF(OR(WEEKDAY(DATE($K$12,$M$12,AB$15),2)&gt;6,COUNTIF('休日情報(要更新) '!$A$5:$J$32,DATE($K$12,$M$12,AB$15)) &gt;=1),"○",""),"")</f>
        <v>#VALUE!</v>
      </c>
      <c r="AC16" s="199" t="e">
        <f>IF(AC15&lt;&gt;"",IF(OR(WEEKDAY(DATE($K$12,$M$12,AC$15),2)&gt;6,COUNTIF('休日情報(要更新) '!$A$5:$J$32,DATE($K$12,$M$12,AC$15)) &gt;=1),"○",""),"")</f>
        <v>#VALUE!</v>
      </c>
      <c r="AD16" s="199" t="e">
        <f>IF(AD15&lt;&gt;"",IF(OR(WEEKDAY(DATE($K$12,$M$12,AD$15),2)&gt;6,COUNTIF('休日情報(要更新) '!$A$5:$J$32,DATE($K$12,$M$12,AD$15)) &gt;=1),"○",""),"")</f>
        <v>#VALUE!</v>
      </c>
      <c r="AE16" s="199" t="e">
        <f>IF(AE15&lt;&gt;"",IF(OR(WEEKDAY(DATE($K$12,$M$12,AE$15),2)&gt;6,COUNTIF('休日情報(要更新) '!$A$5:$J$32,DATE($K$12,$M$12,AE$15)) &gt;=1),"○",""),"")</f>
        <v>#VALUE!</v>
      </c>
      <c r="AF16" s="199" t="e">
        <f>IF(AF15&lt;&gt;"",IF(OR(WEEKDAY(DATE($K$12,$M$12,AF$15),2)&gt;6,COUNTIF('休日情報(要更新) '!$A$5:$J$32,DATE($K$12,$M$12,AF$15)) &gt;=1),"○",""),"")</f>
        <v>#VALUE!</v>
      </c>
      <c r="AG16" s="199" t="e">
        <f>IF(AG15&lt;&gt;"",IF(OR(WEEKDAY(DATE($K$12,$M$12,AG$15),2)&gt;6,COUNTIF('休日情報(要更新) '!$A$5:$J$32,DATE($K$12,$M$12,AG$15)) &gt;=1),"○",""),"")</f>
        <v>#VALUE!</v>
      </c>
      <c r="AH16" s="199" t="e">
        <f>IF(AH15&lt;&gt;"",IF(OR(WEEKDAY(DATE($K$12,$M$12,AH$15),2)&gt;6,COUNTIF('休日情報(要更新) '!$A$5:$J$32,DATE($K$12,$M$12,AH$15)) &gt;=1),"○",""),"")</f>
        <v>#VALUE!</v>
      </c>
      <c r="AI16" s="199" t="e">
        <f>IF(AI15&lt;&gt;"",IF(OR(WEEKDAY(DATE($K$12,$M$12,AI$15),2)&gt;6,COUNTIF('休日情報(要更新) '!$A$5:$J$32,DATE($K$12,$M$12,AI$15)) &gt;=1),"○",""),"")</f>
        <v>#VALUE!</v>
      </c>
      <c r="AJ16" s="199" t="e">
        <f>IF(AJ15&lt;&gt;"",IF(OR(WEEKDAY(DATE($K$12,$M$12,AJ$15),2)&gt;6,COUNTIF('休日情報(要更新) '!$A$5:$J$32,DATE($K$12,$M$12,AJ$15)) &gt;=1),"○",""),"")</f>
        <v>#VALUE!</v>
      </c>
      <c r="AK16" s="199" t="e">
        <f>IF(AK15&lt;&gt;"",IF(OR(WEEKDAY(DATE($K$12,$M$12,AK$15),2)&gt;6,COUNTIF('休日情報(要更新) '!$A$5:$J$32,DATE($K$12,$M$12,AK$15)) &gt;=1),"○",""),"")</f>
        <v>#VALUE!</v>
      </c>
      <c r="AL16" s="199" t="e">
        <f>IF(AL15&lt;&gt;"",IF(OR(WEEKDAY(DATE($K$12,$M$12,AL$15),2)&gt;6,COUNTIF('休日情報(要更新) '!$A$5:$J$32,DATE($K$12,$M$12,AL$15)) &gt;=1),"○",""),"")</f>
        <v>#VALUE!</v>
      </c>
      <c r="AM16" s="199" t="e">
        <f>IF(AM15&lt;&gt;"",IF(OR(WEEKDAY(DATE($K$12,$M$12,AM$15),2)&gt;6,COUNTIF('休日情報(要更新) '!$A$5:$J$32,DATE($K$12,$M$12,AM$15)) &gt;=1),"○",""),"")</f>
        <v>#VALUE!</v>
      </c>
      <c r="AN16" s="199" t="e">
        <f>IF(AN15&lt;&gt;"",IF(OR(WEEKDAY(DATE($K$12,$M$12,AN$15),2)&gt;6,COUNTIF('休日情報(要更新) '!$A$5:$J$32,DATE($K$12,$M$12,AN$15)) &gt;=1),"○",""),"")</f>
        <v>#VALUE!</v>
      </c>
      <c r="AO16" s="199" t="e">
        <f>IF(AO15&lt;&gt;"",IF(OR(WEEKDAY(DATE($K$12,$M$12,AO$15),2)&gt;6,COUNTIF('休日情報(要更新) '!$A$5:$J$32,DATE($K$12,$M$12,AO$15)) &gt;=1),"○",""),"")</f>
        <v>#VALUE!</v>
      </c>
    </row>
    <row r="17" spans="1:11" ht="20.100000000000001" customHeight="1">
      <c r="A17" s="883"/>
      <c r="B17" s="191">
        <v>3</v>
      </c>
      <c r="C17" s="192" t="e">
        <f>HLOOKUP($B17,$K$14:$AO$15,2,FALSE)</f>
        <v>#N/A</v>
      </c>
      <c r="D17" s="193" t="e">
        <f t="shared" si="3"/>
        <v>#N/A</v>
      </c>
      <c r="E17" s="194"/>
      <c r="F17" s="195" t="e">
        <f t="shared" si="4"/>
        <v>#N/A</v>
      </c>
      <c r="G17" s="194"/>
      <c r="H17" s="195" t="e">
        <f t="shared" si="5"/>
        <v>#N/A</v>
      </c>
      <c r="K17" s="205"/>
    </row>
    <row r="18" spans="1:11" ht="20.100000000000001" customHeight="1">
      <c r="A18" s="883"/>
      <c r="B18" s="191">
        <v>4</v>
      </c>
      <c r="C18" s="192" t="e">
        <f>HLOOKUP($B18,$K$14:$AO$15,2,FALSE)</f>
        <v>#N/A</v>
      </c>
      <c r="D18" s="193" t="e">
        <f t="shared" si="3"/>
        <v>#N/A</v>
      </c>
      <c r="E18" s="194"/>
      <c r="F18" s="195" t="e">
        <f t="shared" si="4"/>
        <v>#N/A</v>
      </c>
      <c r="G18" s="194"/>
      <c r="H18" s="195" t="e">
        <f t="shared" si="5"/>
        <v>#N/A</v>
      </c>
      <c r="K18" s="205"/>
    </row>
    <row r="19" spans="1:11" ht="20.100000000000001" customHeight="1">
      <c r="A19" s="884"/>
      <c r="B19" s="200">
        <v>5</v>
      </c>
      <c r="C19" s="201" t="str">
        <f>IF(ISERROR(HLOOKUP($B19,$K$14:$AO$15,2,FALSE)),"無",HLOOKUP($B19,$K$14:$AO$15,2,FALSE))</f>
        <v>無</v>
      </c>
      <c r="D19" s="202" t="str">
        <f t="shared" si="3"/>
        <v>×</v>
      </c>
      <c r="E19" s="203"/>
      <c r="F19" s="204" t="str">
        <f t="shared" si="4"/>
        <v/>
      </c>
      <c r="G19" s="203"/>
      <c r="H19" s="204" t="str">
        <f t="shared" si="5"/>
        <v/>
      </c>
      <c r="K19" s="205"/>
    </row>
    <row r="20" spans="1:11" ht="20.100000000000001" customHeight="1">
      <c r="A20" s="1041" t="s">
        <v>15</v>
      </c>
      <c r="B20" s="1042"/>
      <c r="C20" s="1042"/>
      <c r="D20" s="206">
        <f>COUNTIF(D15:D19,"平日")+COUNTIF(D15:D19,"特例")</f>
        <v>0</v>
      </c>
      <c r="E20" s="207"/>
      <c r="F20" s="206">
        <f>COUNTIF(F15:F19,"○")</f>
        <v>0</v>
      </c>
      <c r="G20" s="207"/>
      <c r="H20" s="206">
        <f>COUNTIF(H15:H19,"○")</f>
        <v>0</v>
      </c>
      <c r="K20" s="205"/>
    </row>
    <row r="21" spans="1:11" ht="20.100000000000001" customHeight="1">
      <c r="A21" s="173"/>
      <c r="B21" s="732"/>
      <c r="C21" s="732"/>
      <c r="D21" s="209"/>
      <c r="E21" s="210"/>
      <c r="F21" s="209"/>
      <c r="G21" s="210"/>
      <c r="H21" s="209"/>
      <c r="K21" s="205"/>
    </row>
    <row r="22" spans="1:11" ht="20.100000000000001" customHeight="1" thickBot="1">
      <c r="A22" s="173"/>
      <c r="B22" s="211" t="s">
        <v>286</v>
      </c>
      <c r="C22" s="211" t="str">
        <f>IF(F20=D20,"全て",IF(F20&gt;=3,"3日以上",IF(F20=2,"2日",IF(F20=1,"1日","×"))))</f>
        <v>全て</v>
      </c>
      <c r="D22" s="212" t="s">
        <v>449</v>
      </c>
      <c r="E22" s="211" t="s">
        <v>287</v>
      </c>
      <c r="F22" s="211" t="str">
        <f>IF(D20=H20,"全て",IF(H20&gt;=3,"3日以上",IF(H20=2,"2日",IF(H20=1,"1日","×"))))</f>
        <v>全て</v>
      </c>
      <c r="G22" s="213" t="str">
        <f>IF(J22,"(変更無)","(変更有)")</f>
        <v>(変更無)</v>
      </c>
      <c r="H22" s="176"/>
      <c r="J22" s="169" t="b">
        <f>F22=C22</f>
        <v>1</v>
      </c>
      <c r="K22" s="205"/>
    </row>
    <row r="23" spans="1:11" ht="20.100000000000001" customHeight="1" thickTop="1">
      <c r="A23" s="173"/>
      <c r="B23" s="168"/>
      <c r="C23" s="168"/>
      <c r="D23" s="168"/>
      <c r="E23" s="168"/>
      <c r="F23" s="168"/>
      <c r="G23" s="175"/>
      <c r="H23" s="176"/>
      <c r="K23" s="205"/>
    </row>
    <row r="24" spans="1:11" ht="20.100000000000001" customHeight="1">
      <c r="A24" s="168" t="s">
        <v>450</v>
      </c>
      <c r="B24" s="168"/>
      <c r="C24" s="168"/>
      <c r="D24" s="168"/>
      <c r="E24" s="168"/>
      <c r="F24" s="168"/>
      <c r="G24" s="175"/>
      <c r="H24" s="176"/>
      <c r="K24" s="205"/>
    </row>
    <row r="25" spans="1:11" ht="20.100000000000001" customHeight="1">
      <c r="A25" s="1268" t="s">
        <v>427</v>
      </c>
      <c r="B25" s="1268"/>
      <c r="C25" s="1268"/>
      <c r="D25" s="1268"/>
      <c r="E25" s="1268"/>
      <c r="F25" s="1268"/>
      <c r="G25" s="1268"/>
      <c r="H25" s="1268"/>
    </row>
    <row r="26" spans="1:11" ht="20.100000000000001" customHeight="1">
      <c r="A26" s="1268"/>
      <c r="B26" s="1268"/>
      <c r="C26" s="1268"/>
      <c r="D26" s="1268"/>
      <c r="E26" s="1268"/>
      <c r="F26" s="1268"/>
      <c r="G26" s="1268"/>
      <c r="H26" s="1268"/>
    </row>
    <row r="27" spans="1:11" ht="20.100000000000001" customHeight="1">
      <c r="A27" s="1070" t="s">
        <v>451</v>
      </c>
      <c r="B27" s="1070"/>
      <c r="C27" s="1070"/>
      <c r="D27" s="1070"/>
      <c r="E27" s="1070"/>
      <c r="F27" s="1070"/>
      <c r="G27" s="1070"/>
      <c r="H27" s="1070"/>
    </row>
    <row r="28" spans="1:11" ht="20.100000000000001" customHeight="1">
      <c r="A28" s="1070"/>
      <c r="B28" s="1070"/>
      <c r="C28" s="1070"/>
      <c r="D28" s="1070"/>
      <c r="E28" s="1070"/>
      <c r="F28" s="1070"/>
      <c r="G28" s="1070"/>
      <c r="H28" s="1070"/>
    </row>
    <row r="29" spans="1:11" ht="20.100000000000001" customHeight="1">
      <c r="A29" s="214" t="s">
        <v>452</v>
      </c>
      <c r="B29" s="214"/>
      <c r="C29" s="214"/>
      <c r="D29" s="214"/>
      <c r="E29" s="214"/>
      <c r="F29" s="214"/>
      <c r="G29" s="214"/>
      <c r="H29" s="214"/>
    </row>
    <row r="30" spans="1:11" ht="20.100000000000001" hidden="1" customHeight="1">
      <c r="A30" s="1268" t="s">
        <v>453</v>
      </c>
      <c r="B30" s="1268"/>
      <c r="C30" s="1268"/>
      <c r="D30" s="1268"/>
      <c r="E30" s="1268"/>
      <c r="F30" s="1268"/>
      <c r="G30" s="1268"/>
      <c r="H30" s="1268"/>
    </row>
  </sheetData>
  <sheetProtection algorithmName="SHA-512" hashValue="Y7anMV7BUzXTc7N3rl0Z9R0PpXnGO9kuqIaHohOwSeRg/vkcGhJu5Bo2Z2olqCjEKzwl05M8FpSzOQXgj2F3ag==" saltValue="zdbZl6bYA+dSnJaK8aprpQ==" spinCount="100000" sheet="1" objects="1" scenarios="1"/>
  <mergeCells count="6">
    <mergeCell ref="A30:H30"/>
    <mergeCell ref="F1:H1"/>
    <mergeCell ref="A10:C10"/>
    <mergeCell ref="A20:C20"/>
    <mergeCell ref="A25:H26"/>
    <mergeCell ref="A27:H28"/>
  </mergeCells>
  <phoneticPr fontId="1"/>
  <conditionalFormatting sqref="E5:E9">
    <cfRule type="expression" dxfId="59" priority="8">
      <formula>$D5&lt;&gt;"平日"</formula>
    </cfRule>
  </conditionalFormatting>
  <conditionalFormatting sqref="E15:E19">
    <cfRule type="expression" dxfId="58" priority="7">
      <formula>$D15&lt;&gt;"平日"</formula>
    </cfRule>
  </conditionalFormatting>
  <conditionalFormatting sqref="K7:AO7">
    <cfRule type="expression" dxfId="57" priority="6">
      <formula>K$5="○"</formula>
    </cfRule>
  </conditionalFormatting>
  <conditionalFormatting sqref="K5:AO5">
    <cfRule type="expression" dxfId="56" priority="5">
      <formula>K$5="○"</formula>
    </cfRule>
  </conditionalFormatting>
  <conditionalFormatting sqref="K15:AO15">
    <cfRule type="expression" dxfId="55" priority="4">
      <formula>K$5="○"</formula>
    </cfRule>
  </conditionalFormatting>
  <conditionalFormatting sqref="K13:AO13">
    <cfRule type="expression" dxfId="54" priority="3">
      <formula>K$5="○"</formula>
    </cfRule>
  </conditionalFormatting>
  <conditionalFormatting sqref="G15:G19">
    <cfRule type="expression" dxfId="53" priority="2">
      <formula>$D15&lt;&gt;"平日"</formula>
    </cfRule>
  </conditionalFormatting>
  <conditionalFormatting sqref="F5:F9 F15:F19 H15:H19">
    <cfRule type="containsText" dxfId="52" priority="1" operator="containsText" text="エラー">
      <formula>NOT(ISERROR(SEARCH("エラー",F5)))</formula>
    </cfRule>
  </conditionalFormatting>
  <dataValidations count="2">
    <dataValidation type="whole" operator="greaterThanOrEqual" allowBlank="1" showInputMessage="1" showErrorMessage="1" sqref="E5:E9 E15:E19 G15:G19" xr:uid="{00000000-0002-0000-0500-000000000000}">
      <formula1>0</formula1>
    </dataValidation>
    <dataValidation type="list" showInputMessage="1" showErrorMessage="1" sqref="A5:A9 A15:A19" xr:uid="{00000000-0002-0000-0500-000001000000}">
      <formula1>$K$2:$K$3</formula1>
    </dataValidation>
  </dataValidations>
  <printOptions horizontalCentered="1"/>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pageSetUpPr fitToPage="1"/>
  </sheetPr>
  <dimension ref="A1:AE157"/>
  <sheetViews>
    <sheetView view="pageBreakPreview" zoomScale="85" zoomScaleNormal="85" zoomScaleSheetLayoutView="85" workbookViewId="0">
      <selection activeCell="B1" sqref="B1"/>
    </sheetView>
  </sheetViews>
  <sheetFormatPr defaultColWidth="9" defaultRowHeight="13.5" outlineLevelCol="1"/>
  <cols>
    <col min="1" max="1" width="3" style="116" customWidth="1"/>
    <col min="2" max="2" width="18.125" style="116" customWidth="1"/>
    <col min="3" max="10" width="15.625" style="116" customWidth="1"/>
    <col min="11" max="11" width="61.875" style="116" customWidth="1"/>
    <col min="12" max="12" width="6.25" style="116" hidden="1" customWidth="1" outlineLevel="1"/>
    <col min="13" max="13" width="6.5" style="135" hidden="1" customWidth="1" outlineLevel="1"/>
    <col min="14" max="14" width="7.125" style="135" hidden="1" customWidth="1" outlineLevel="1"/>
    <col min="15" max="15" width="7.5" style="116" hidden="1" customWidth="1" outlineLevel="1"/>
    <col min="16" max="17" width="9" style="116" hidden="1" customWidth="1" outlineLevel="1"/>
    <col min="18" max="18" width="9" style="777" hidden="1" customWidth="1" outlineLevel="1"/>
    <col min="19" max="26" width="9" style="116" hidden="1" customWidth="1" outlineLevel="1"/>
    <col min="27" max="27" width="12.75" style="116" hidden="1" customWidth="1" outlineLevel="1"/>
    <col min="28" max="28" width="14.875" style="116" hidden="1" customWidth="1" outlineLevel="1"/>
    <col min="29" max="30" width="9" style="116" hidden="1" customWidth="1" outlineLevel="1"/>
    <col min="31" max="31" width="9" style="154" customWidth="1" collapsed="1"/>
    <col min="32" max="32" width="9" style="116" customWidth="1"/>
    <col min="33" max="16384" width="9" style="116"/>
  </cols>
  <sheetData>
    <row r="1" spans="1:20" ht="15" customHeight="1">
      <c r="A1" s="215" t="s">
        <v>356</v>
      </c>
      <c r="B1" s="216"/>
      <c r="C1" s="216"/>
      <c r="D1" s="216"/>
      <c r="E1" s="216"/>
      <c r="F1" s="216"/>
      <c r="G1" s="216"/>
      <c r="H1" s="1331" t="str">
        <f>L2&amp;"様式2"&amp;L3</f>
        <v>加-23_月申-様式2-家_Ver.2.00</v>
      </c>
      <c r="I1" s="1331"/>
      <c r="J1" s="1331"/>
      <c r="K1" s="217"/>
      <c r="L1" s="721" t="s">
        <v>654</v>
      </c>
      <c r="M1" s="116"/>
      <c r="N1" s="116"/>
      <c r="O1" s="135"/>
      <c r="P1" s="135"/>
      <c r="Q1" s="135"/>
      <c r="S1" s="135"/>
      <c r="T1" s="135"/>
    </row>
    <row r="2" spans="1:20" ht="15" customHeight="1">
      <c r="A2" s="1332" t="str">
        <f>【様式１】総括表・個票!AJ2&amp;"年度"</f>
        <v>2023年度</v>
      </c>
      <c r="B2" s="1332"/>
      <c r="C2" s="1332"/>
      <c r="D2" s="1332"/>
      <c r="E2" s="1333" t="s">
        <v>10</v>
      </c>
      <c r="F2" s="1333"/>
      <c r="G2" s="218" t="str">
        <f>+"【"&amp;【様式１】総括表・個票!I10&amp;"月分】"</f>
        <v>【月分】</v>
      </c>
      <c r="H2" s="215"/>
      <c r="I2" s="219"/>
      <c r="J2" s="219"/>
      <c r="K2" s="217"/>
      <c r="L2" s="721" t="str">
        <f>【様式１】総括表・個票!$AI$2</f>
        <v>加-23_月申-</v>
      </c>
      <c r="M2" s="116"/>
      <c r="N2" s="116"/>
      <c r="O2" s="135"/>
      <c r="P2" s="135"/>
      <c r="Q2" s="135"/>
      <c r="S2" s="135"/>
      <c r="T2" s="135"/>
    </row>
    <row r="3" spans="1:20" s="135" customFormat="1" ht="15" customHeight="1" thickBot="1">
      <c r="A3" s="220" t="s">
        <v>454</v>
      </c>
      <c r="B3" s="216"/>
      <c r="C3" s="216"/>
      <c r="D3" s="216"/>
      <c r="E3" s="216"/>
      <c r="F3" s="216"/>
      <c r="G3" s="216"/>
      <c r="H3" s="216"/>
      <c r="I3" s="216"/>
      <c r="J3" s="216"/>
      <c r="K3" s="116"/>
      <c r="L3" s="721" t="str">
        <f>【様式１】総括表・個票!$AI$3</f>
        <v>-家_Ver.2.00</v>
      </c>
      <c r="R3" s="777"/>
    </row>
    <row r="4" spans="1:20" s="135" customFormat="1" ht="15" customHeight="1" thickBot="1">
      <c r="A4" s="215"/>
      <c r="B4" s="1334" t="s">
        <v>455</v>
      </c>
      <c r="C4" s="1335"/>
      <c r="D4" s="1335"/>
      <c r="E4" s="1335"/>
      <c r="F4" s="1335"/>
      <c r="G4" s="1335"/>
      <c r="H4" s="1335"/>
      <c r="I4" s="1335"/>
      <c r="J4" s="1336"/>
      <c r="P4" s="777"/>
    </row>
    <row r="5" spans="1:20" s="135" customFormat="1" ht="15" customHeight="1">
      <c r="A5" s="221"/>
      <c r="B5" s="1337" t="s">
        <v>456</v>
      </c>
      <c r="C5" s="1338"/>
      <c r="D5" s="1339"/>
      <c r="E5" s="222" t="s">
        <v>457</v>
      </c>
      <c r="F5" s="1346"/>
      <c r="G5" s="1347"/>
      <c r="H5" s="1347"/>
      <c r="I5" s="1347"/>
      <c r="J5" s="778" t="s">
        <v>131</v>
      </c>
      <c r="P5" s="777"/>
    </row>
    <row r="6" spans="1:20" s="135" customFormat="1" ht="15" customHeight="1">
      <c r="A6" s="221"/>
      <c r="B6" s="1340"/>
      <c r="C6" s="1341"/>
      <c r="D6" s="1342"/>
      <c r="E6" s="1348" t="str">
        <f>IF(AND(F5&lt;150,F5&gt;0),"根拠・理由","")</f>
        <v/>
      </c>
      <c r="F6" s="1350"/>
      <c r="G6" s="1351"/>
      <c r="H6" s="1351"/>
      <c r="I6" s="1351"/>
      <c r="J6" s="1352"/>
      <c r="P6" s="777"/>
    </row>
    <row r="7" spans="1:20" s="135" customFormat="1" ht="15" customHeight="1" thickBot="1">
      <c r="A7" s="221"/>
      <c r="B7" s="1343"/>
      <c r="C7" s="1344"/>
      <c r="D7" s="1345"/>
      <c r="E7" s="1349"/>
      <c r="F7" s="1353"/>
      <c r="G7" s="1354"/>
      <c r="H7" s="1354"/>
      <c r="I7" s="1354"/>
      <c r="J7" s="1355"/>
      <c r="P7" s="777"/>
    </row>
    <row r="8" spans="1:20" s="135" customFormat="1" ht="15" customHeight="1">
      <c r="A8" s="221"/>
      <c r="B8" s="1314" t="s">
        <v>61</v>
      </c>
      <c r="C8" s="1317" t="s">
        <v>458</v>
      </c>
      <c r="D8" s="1318"/>
      <c r="E8" s="1318"/>
      <c r="F8" s="1319"/>
      <c r="G8" s="1320" t="s">
        <v>459</v>
      </c>
      <c r="H8" s="1320"/>
      <c r="I8" s="1320"/>
      <c r="J8" s="1321"/>
    </row>
    <row r="9" spans="1:20" s="135" customFormat="1" ht="15" customHeight="1">
      <c r="A9" s="215"/>
      <c r="B9" s="1315"/>
      <c r="C9" s="1322" t="s">
        <v>8</v>
      </c>
      <c r="D9" s="1323"/>
      <c r="E9" s="1324"/>
      <c r="F9" s="1325" t="s">
        <v>460</v>
      </c>
      <c r="G9" s="722" t="s">
        <v>8</v>
      </c>
      <c r="H9" s="1327" t="s">
        <v>461</v>
      </c>
      <c r="I9" s="1328"/>
      <c r="J9" s="1329" t="s">
        <v>462</v>
      </c>
      <c r="N9" s="777"/>
    </row>
    <row r="10" spans="1:20" s="135" customFormat="1" ht="15" customHeight="1" thickBot="1">
      <c r="A10" s="215"/>
      <c r="B10" s="1316"/>
      <c r="C10" s="223" t="s">
        <v>99</v>
      </c>
      <c r="D10" s="224" t="s">
        <v>100</v>
      </c>
      <c r="E10" s="225" t="s">
        <v>7</v>
      </c>
      <c r="F10" s="1326"/>
      <c r="G10" s="723" t="s">
        <v>384</v>
      </c>
      <c r="H10" s="621" t="s">
        <v>463</v>
      </c>
      <c r="I10" s="225" t="s">
        <v>459</v>
      </c>
      <c r="J10" s="1330"/>
      <c r="N10" s="777"/>
    </row>
    <row r="11" spans="1:20" s="135" customFormat="1" ht="15" customHeight="1">
      <c r="A11" s="221"/>
      <c r="B11" s="609" t="s">
        <v>603</v>
      </c>
      <c r="C11" s="610">
        <f t="shared" ref="C11:D15" si="0">S139</f>
        <v>0</v>
      </c>
      <c r="D11" s="611">
        <f t="shared" si="0"/>
        <v>0</v>
      </c>
      <c r="E11" s="611">
        <f t="shared" ref="E11:E16" si="1">SUM(U139,V139)</f>
        <v>0</v>
      </c>
      <c r="F11" s="727">
        <f t="shared" ref="F11:F16" si="2">W139</f>
        <v>0</v>
      </c>
      <c r="G11" s="724">
        <f t="shared" ref="G11:H15" si="3">Q139</f>
        <v>0</v>
      </c>
      <c r="H11" s="826">
        <f t="shared" si="3"/>
        <v>0</v>
      </c>
      <c r="I11" s="779">
        <f t="shared" ref="I11:I16" si="4">IFERROR(H11/$F$5,0)</f>
        <v>0</v>
      </c>
      <c r="J11" s="612">
        <f>SUM(G11,I11)</f>
        <v>0</v>
      </c>
      <c r="N11" s="777"/>
    </row>
    <row r="12" spans="1:20" s="135" customFormat="1" ht="15" customHeight="1">
      <c r="A12" s="221"/>
      <c r="B12" s="613" t="s">
        <v>604</v>
      </c>
      <c r="C12" s="614">
        <f t="shared" si="0"/>
        <v>0</v>
      </c>
      <c r="D12" s="615">
        <f t="shared" si="0"/>
        <v>0</v>
      </c>
      <c r="E12" s="615">
        <f t="shared" si="1"/>
        <v>0</v>
      </c>
      <c r="F12" s="728">
        <f t="shared" si="2"/>
        <v>0</v>
      </c>
      <c r="G12" s="725">
        <f t="shared" si="3"/>
        <v>0</v>
      </c>
      <c r="H12" s="827">
        <f t="shared" si="3"/>
        <v>0</v>
      </c>
      <c r="I12" s="780">
        <f t="shared" si="4"/>
        <v>0</v>
      </c>
      <c r="J12" s="616">
        <f>SUM(G12,I12)</f>
        <v>0</v>
      </c>
      <c r="N12" s="777"/>
    </row>
    <row r="13" spans="1:20" s="135" customFormat="1" ht="15" customHeight="1">
      <c r="A13" s="221"/>
      <c r="B13" s="613" t="s">
        <v>6</v>
      </c>
      <c r="C13" s="614">
        <f t="shared" si="0"/>
        <v>0</v>
      </c>
      <c r="D13" s="615">
        <f t="shared" si="0"/>
        <v>0</v>
      </c>
      <c r="E13" s="615">
        <f t="shared" si="1"/>
        <v>0</v>
      </c>
      <c r="F13" s="728">
        <f t="shared" si="2"/>
        <v>0</v>
      </c>
      <c r="G13" s="725">
        <f t="shared" si="3"/>
        <v>0</v>
      </c>
      <c r="H13" s="827">
        <f t="shared" si="3"/>
        <v>0</v>
      </c>
      <c r="I13" s="780">
        <f t="shared" si="4"/>
        <v>0</v>
      </c>
      <c r="J13" s="616">
        <f t="shared" ref="J13:J16" si="5">SUM(G13,I13)</f>
        <v>0</v>
      </c>
      <c r="N13" s="777"/>
    </row>
    <row r="14" spans="1:20" s="135" customFormat="1" ht="15" customHeight="1">
      <c r="A14" s="221"/>
      <c r="B14" s="613" t="s">
        <v>98</v>
      </c>
      <c r="C14" s="614">
        <f t="shared" si="0"/>
        <v>0</v>
      </c>
      <c r="D14" s="615">
        <f t="shared" si="0"/>
        <v>0</v>
      </c>
      <c r="E14" s="615">
        <f t="shared" si="1"/>
        <v>0</v>
      </c>
      <c r="F14" s="728">
        <f t="shared" si="2"/>
        <v>0</v>
      </c>
      <c r="G14" s="725">
        <f t="shared" si="3"/>
        <v>0</v>
      </c>
      <c r="H14" s="827">
        <f t="shared" si="3"/>
        <v>0</v>
      </c>
      <c r="I14" s="780">
        <f t="shared" si="4"/>
        <v>0</v>
      </c>
      <c r="J14" s="616">
        <f t="shared" si="5"/>
        <v>0</v>
      </c>
      <c r="N14" s="777"/>
    </row>
    <row r="15" spans="1:20" s="135" customFormat="1" ht="15" customHeight="1">
      <c r="A15" s="221"/>
      <c r="B15" s="613" t="s">
        <v>464</v>
      </c>
      <c r="C15" s="614">
        <f t="shared" si="0"/>
        <v>0</v>
      </c>
      <c r="D15" s="615">
        <f t="shared" si="0"/>
        <v>0</v>
      </c>
      <c r="E15" s="615">
        <f t="shared" si="1"/>
        <v>0</v>
      </c>
      <c r="F15" s="728">
        <f t="shared" si="2"/>
        <v>0</v>
      </c>
      <c r="G15" s="725">
        <f t="shared" si="3"/>
        <v>0</v>
      </c>
      <c r="H15" s="827">
        <f t="shared" si="3"/>
        <v>0</v>
      </c>
      <c r="I15" s="780">
        <f t="shared" si="4"/>
        <v>0</v>
      </c>
      <c r="J15" s="616">
        <f t="shared" si="5"/>
        <v>0</v>
      </c>
      <c r="N15" s="777"/>
    </row>
    <row r="16" spans="1:20" s="135" customFormat="1" ht="15" customHeight="1">
      <c r="A16" s="221"/>
      <c r="B16" s="617" t="s">
        <v>7</v>
      </c>
      <c r="C16" s="618">
        <f>S144</f>
        <v>0</v>
      </c>
      <c r="D16" s="619">
        <f>T144</f>
        <v>0</v>
      </c>
      <c r="E16" s="619">
        <f t="shared" si="1"/>
        <v>0</v>
      </c>
      <c r="F16" s="729">
        <f t="shared" si="2"/>
        <v>0</v>
      </c>
      <c r="G16" s="726">
        <f>Q144</f>
        <v>0</v>
      </c>
      <c r="H16" s="828">
        <f>R144</f>
        <v>0</v>
      </c>
      <c r="I16" s="781">
        <f t="shared" si="4"/>
        <v>0</v>
      </c>
      <c r="J16" s="620">
        <f t="shared" si="5"/>
        <v>0</v>
      </c>
    </row>
    <row r="17" spans="1:30" s="135" customFormat="1" ht="15" customHeight="1">
      <c r="A17" s="221"/>
      <c r="B17" s="1312" t="s">
        <v>465</v>
      </c>
      <c r="C17" s="1312"/>
      <c r="D17" s="1312"/>
      <c r="E17" s="1312"/>
      <c r="F17" s="1312"/>
      <c r="G17" s="1312"/>
      <c r="H17" s="1312"/>
      <c r="I17" s="1312"/>
      <c r="J17" s="1312"/>
    </row>
    <row r="18" spans="1:30" s="135" customFormat="1" ht="15" customHeight="1">
      <c r="A18" s="226" t="s">
        <v>466</v>
      </c>
      <c r="B18" s="227"/>
      <c r="C18" s="228"/>
      <c r="D18" s="228"/>
      <c r="E18" s="228"/>
      <c r="F18" s="228"/>
      <c r="G18" s="228"/>
      <c r="H18" s="229"/>
      <c r="I18" s="229"/>
      <c r="J18" s="782"/>
      <c r="K18" s="230"/>
      <c r="L18" s="231"/>
    </row>
    <row r="19" spans="1:30" s="135" customFormat="1" ht="15" customHeight="1">
      <c r="A19" s="1313" t="s">
        <v>467</v>
      </c>
      <c r="B19" s="1313"/>
      <c r="C19" s="1313"/>
      <c r="D19" s="1313"/>
      <c r="E19" s="1313"/>
      <c r="F19" s="1313"/>
      <c r="G19" s="1313"/>
      <c r="H19" s="1313"/>
      <c r="I19" s="1313"/>
      <c r="J19" s="1313"/>
      <c r="K19" s="163"/>
      <c r="L19" s="163"/>
    </row>
    <row r="20" spans="1:30" s="135" customFormat="1" ht="15" customHeight="1">
      <c r="A20" s="1313" t="s">
        <v>468</v>
      </c>
      <c r="B20" s="1313"/>
      <c r="C20" s="1313"/>
      <c r="D20" s="1313"/>
      <c r="E20" s="1313"/>
      <c r="F20" s="1313"/>
      <c r="G20" s="1313"/>
      <c r="H20" s="1313"/>
      <c r="I20" s="1313"/>
      <c r="J20" s="1313"/>
      <c r="K20" s="163"/>
      <c r="L20" s="163"/>
    </row>
    <row r="21" spans="1:30" s="135" customFormat="1" ht="15" customHeight="1">
      <c r="A21" s="1313" t="s">
        <v>469</v>
      </c>
      <c r="B21" s="1313"/>
      <c r="C21" s="1313"/>
      <c r="D21" s="1313"/>
      <c r="E21" s="1313"/>
      <c r="F21" s="1313"/>
      <c r="G21" s="1313"/>
      <c r="H21" s="1313"/>
      <c r="I21" s="1313"/>
      <c r="J21" s="1313"/>
      <c r="K21" s="163"/>
      <c r="L21" s="163"/>
    </row>
    <row r="22" spans="1:30" s="135" customFormat="1" ht="15" customHeight="1" thickBot="1">
      <c r="A22" s="1313" t="s">
        <v>470</v>
      </c>
      <c r="B22" s="1313"/>
      <c r="C22" s="1313"/>
      <c r="D22" s="1313"/>
      <c r="E22" s="1313"/>
      <c r="F22" s="1313"/>
      <c r="G22" s="1313"/>
      <c r="H22" s="1313"/>
      <c r="I22" s="1313"/>
      <c r="J22" s="1313"/>
      <c r="K22" s="136"/>
      <c r="L22" s="136"/>
    </row>
    <row r="23" spans="1:30" s="135" customFormat="1" ht="15" customHeight="1" thickBot="1">
      <c r="A23" s="221"/>
      <c r="B23" s="783" t="s">
        <v>471</v>
      </c>
      <c r="C23" s="228"/>
      <c r="D23" s="228"/>
      <c r="E23" s="228"/>
      <c r="F23" s="229"/>
      <c r="G23" s="229"/>
      <c r="H23" s="782"/>
      <c r="I23" s="233"/>
      <c r="J23" s="234"/>
      <c r="L23" s="1304" t="s">
        <v>417</v>
      </c>
      <c r="M23" s="1305"/>
      <c r="N23" s="1305" t="s">
        <v>126</v>
      </c>
      <c r="O23" s="1306"/>
      <c r="P23" s="777"/>
      <c r="Q23" s="1307" t="s">
        <v>472</v>
      </c>
      <c r="R23" s="1308"/>
      <c r="S23" s="1309" t="s">
        <v>224</v>
      </c>
      <c r="T23" s="1310"/>
      <c r="U23" s="1310"/>
      <c r="V23" s="1310"/>
      <c r="W23" s="1311"/>
      <c r="Y23" s="1301" t="s">
        <v>473</v>
      </c>
      <c r="Z23" s="1302"/>
      <c r="AA23" s="1302"/>
      <c r="AB23" s="1302"/>
      <c r="AC23" s="1302"/>
      <c r="AD23" s="1303"/>
    </row>
    <row r="24" spans="1:30" s="135" customFormat="1" ht="15" customHeight="1" thickTop="1" thickBot="1">
      <c r="A24" s="173"/>
      <c r="B24" s="168" t="s">
        <v>655</v>
      </c>
      <c r="C24" s="168"/>
      <c r="D24" s="168"/>
      <c r="E24" s="168"/>
      <c r="F24" s="168"/>
      <c r="G24" s="168"/>
      <c r="H24" s="168"/>
      <c r="I24" s="168"/>
      <c r="J24" s="168"/>
      <c r="L24" s="757" t="s">
        <v>474</v>
      </c>
      <c r="M24" s="758" t="s">
        <v>9</v>
      </c>
      <c r="N24" s="758" t="s">
        <v>419</v>
      </c>
      <c r="O24" s="759" t="s">
        <v>420</v>
      </c>
      <c r="P24" s="777"/>
      <c r="Q24" s="235"/>
      <c r="R24" s="759" t="s">
        <v>475</v>
      </c>
      <c r="S24" s="236"/>
      <c r="T24" s="237"/>
      <c r="U24" s="237"/>
      <c r="V24" s="237"/>
      <c r="W24" s="238"/>
      <c r="Y24" s="784" t="s">
        <v>476</v>
      </c>
      <c r="Z24" s="785" t="s">
        <v>477</v>
      </c>
      <c r="AA24" s="786" t="s">
        <v>132</v>
      </c>
      <c r="AB24" s="787" t="s">
        <v>8</v>
      </c>
      <c r="AC24" s="787" t="s">
        <v>9</v>
      </c>
      <c r="AD24" s="788" t="s">
        <v>478</v>
      </c>
    </row>
    <row r="25" spans="1:30" s="135" customFormat="1" ht="15" customHeight="1">
      <c r="A25" s="1287" t="s">
        <v>479</v>
      </c>
      <c r="B25" s="1288"/>
      <c r="C25" s="1289" t="s">
        <v>55</v>
      </c>
      <c r="D25" s="1288"/>
      <c r="E25" s="1289" t="s">
        <v>480</v>
      </c>
      <c r="F25" s="1290"/>
      <c r="G25" s="1288"/>
      <c r="H25" s="756" t="s">
        <v>481</v>
      </c>
      <c r="I25" s="1289" t="s">
        <v>482</v>
      </c>
      <c r="J25" s="1293" t="s">
        <v>483</v>
      </c>
      <c r="L25" s="239" t="str">
        <f>$Z26</f>
        <v>有給</v>
      </c>
      <c r="M25" s="240" t="s">
        <v>475</v>
      </c>
      <c r="N25" s="240"/>
      <c r="O25" s="241" t="s">
        <v>475</v>
      </c>
      <c r="P25" s="777"/>
      <c r="Q25" s="242"/>
      <c r="R25" s="243"/>
      <c r="S25" s="244"/>
      <c r="T25" s="245"/>
      <c r="U25" s="245"/>
      <c r="V25" s="245"/>
      <c r="W25" s="246"/>
      <c r="Y25" s="247"/>
      <c r="Z25" s="248"/>
      <c r="AA25" s="248"/>
      <c r="AB25" s="249"/>
      <c r="AC25" s="249"/>
      <c r="AD25" s="250" t="s">
        <v>54</v>
      </c>
    </row>
    <row r="26" spans="1:30" s="135" customFormat="1" ht="15" customHeight="1">
      <c r="A26" s="1296" t="s">
        <v>484</v>
      </c>
      <c r="B26" s="1298" t="s">
        <v>485</v>
      </c>
      <c r="C26" s="1272" t="s">
        <v>352</v>
      </c>
      <c r="D26" s="1274" t="s">
        <v>486</v>
      </c>
      <c r="E26" s="1300" t="s">
        <v>475</v>
      </c>
      <c r="F26" s="1278" t="s">
        <v>487</v>
      </c>
      <c r="G26" s="1280" t="s">
        <v>488</v>
      </c>
      <c r="H26" s="1282" t="e">
        <f>"("&amp;TEXT($AD$26,"YYYY/M/D")&amp;"以前)"</f>
        <v>#VALUE!</v>
      </c>
      <c r="I26" s="1291"/>
      <c r="J26" s="1294"/>
      <c r="L26" s="251"/>
      <c r="M26" s="199"/>
      <c r="N26" s="199"/>
      <c r="O26" s="252"/>
      <c r="P26" s="777"/>
      <c r="Q26" s="253"/>
      <c r="R26" s="252"/>
      <c r="S26" s="254"/>
      <c r="T26" s="255"/>
      <c r="U26" s="255"/>
      <c r="V26" s="255"/>
      <c r="W26" s="256"/>
      <c r="Y26" s="247" t="s">
        <v>603</v>
      </c>
      <c r="Z26" s="257" t="s">
        <v>57</v>
      </c>
      <c r="AA26" s="257" t="s">
        <v>8</v>
      </c>
      <c r="AB26" s="258" t="s">
        <v>99</v>
      </c>
      <c r="AC26" s="249" t="s">
        <v>489</v>
      </c>
      <c r="AD26" s="259" t="e">
        <f>DATE(【様式１】総括表・個票!D10,【様式１】総括表・個票!I10,1)</f>
        <v>#VALUE!</v>
      </c>
    </row>
    <row r="27" spans="1:30" ht="15" customHeight="1" thickBot="1">
      <c r="A27" s="1297"/>
      <c r="B27" s="1299"/>
      <c r="C27" s="1273"/>
      <c r="D27" s="1275"/>
      <c r="E27" s="1273"/>
      <c r="F27" s="1279"/>
      <c r="G27" s="1281"/>
      <c r="H27" s="1283"/>
      <c r="I27" s="1292"/>
      <c r="J27" s="1295"/>
      <c r="K27" s="135"/>
      <c r="L27" s="260"/>
      <c r="M27" s="261"/>
      <c r="N27" s="261"/>
      <c r="O27" s="262"/>
      <c r="P27" s="777"/>
      <c r="Q27" s="263"/>
      <c r="R27" s="262"/>
      <c r="S27" s="264"/>
      <c r="T27" s="265"/>
      <c r="U27" s="265"/>
      <c r="V27" s="265"/>
      <c r="W27" s="266"/>
      <c r="X27" s="135"/>
      <c r="Y27" s="267" t="s">
        <v>604</v>
      </c>
      <c r="Z27" s="268" t="s">
        <v>490</v>
      </c>
      <c r="AA27" s="257" t="s">
        <v>9</v>
      </c>
      <c r="AB27" s="258" t="s">
        <v>100</v>
      </c>
      <c r="AC27" s="258" t="s">
        <v>491</v>
      </c>
      <c r="AD27" s="269"/>
    </row>
    <row r="28" spans="1:30" ht="15" customHeight="1">
      <c r="A28" s="608">
        <f t="shared" ref="A28:A33" si="6">ROW()-ROW($A$27)</f>
        <v>1</v>
      </c>
      <c r="B28" s="270"/>
      <c r="C28" s="789" t="s">
        <v>603</v>
      </c>
      <c r="D28" s="271"/>
      <c r="E28" s="789" t="str">
        <f>IF($D28="有給","委託","")</f>
        <v/>
      </c>
      <c r="F28" s="790" t="str">
        <f>IF(G28&gt;0,"要添付書類➡","-")</f>
        <v>-</v>
      </c>
      <c r="G28" s="795"/>
      <c r="H28" s="272"/>
      <c r="I28" s="273"/>
      <c r="J28" s="678" t="str">
        <f>IF(L28,IF(OR(O28,N28),"エラー",C28),"-")</f>
        <v>-</v>
      </c>
      <c r="K28" s="135"/>
      <c r="L28" s="605" t="b">
        <f t="shared" ref="L28:L33" si="7">$D28=$L$25</f>
        <v>0</v>
      </c>
      <c r="M28" s="606">
        <f>IF($E28&lt;&gt;$M$25,0,COUNTIF($E28:E$28,$M$25))</f>
        <v>0</v>
      </c>
      <c r="N28" s="606" t="e">
        <f t="shared" ref="N28:N33" si="8">$H28&gt;$H$26</f>
        <v>#VALUE!</v>
      </c>
      <c r="O28" s="607" t="b">
        <f t="shared" ref="O28:O33" si="9">OR(B28=0,C28=0,E28=0,AND($E28=O$25,OR($G28=0,ISTEXT($G28))),$H28=0)</f>
        <v>1</v>
      </c>
      <c r="P28" s="777"/>
      <c r="Q28" s="277"/>
      <c r="R28" s="361">
        <f>IF($E28=R$24,$G28,0)</f>
        <v>0</v>
      </c>
      <c r="S28" s="277"/>
      <c r="T28" s="279"/>
      <c r="U28" s="279"/>
      <c r="V28" s="279"/>
      <c r="W28" s="280"/>
      <c r="X28" s="135"/>
      <c r="Y28" s="267" t="s">
        <v>6</v>
      </c>
      <c r="Z28" s="268" t="s">
        <v>425</v>
      </c>
      <c r="AA28" s="257"/>
      <c r="AB28" s="258" t="s">
        <v>492</v>
      </c>
      <c r="AC28" s="258" t="s">
        <v>493</v>
      </c>
      <c r="AD28" s="269"/>
    </row>
    <row r="29" spans="1:30" ht="15" customHeight="1" thickBot="1">
      <c r="A29" s="281">
        <f t="shared" si="6"/>
        <v>2</v>
      </c>
      <c r="B29" s="270"/>
      <c r="C29" s="789" t="s">
        <v>604</v>
      </c>
      <c r="D29" s="271"/>
      <c r="E29" s="789" t="str">
        <f>IF($D29="有給","委託","")</f>
        <v/>
      </c>
      <c r="F29" s="790" t="str">
        <f>IF(G29&gt;0,"要添付書類➡","-")</f>
        <v>-</v>
      </c>
      <c r="G29" s="795"/>
      <c r="H29" s="272"/>
      <c r="I29" s="273"/>
      <c r="J29" s="678" t="str">
        <f>IF(L29,IF(OR(O29,N29),"エラー",C29),"-")</f>
        <v>-</v>
      </c>
      <c r="K29" s="135"/>
      <c r="L29" s="286" t="b">
        <f t="shared" si="7"/>
        <v>0</v>
      </c>
      <c r="M29" s="287">
        <f>IF($E29&lt;&gt;$M$25,0,COUNTIF($E$28:E29,$M$25))</f>
        <v>0</v>
      </c>
      <c r="N29" s="287" t="e">
        <f t="shared" si="8"/>
        <v>#VALUE!</v>
      </c>
      <c r="O29" s="288" t="b">
        <f t="shared" si="9"/>
        <v>1</v>
      </c>
      <c r="P29" s="777"/>
      <c r="Q29" s="604"/>
      <c r="R29" s="366">
        <f>IF($E29=R$24,$G29,0)</f>
        <v>0</v>
      </c>
      <c r="S29" s="604"/>
      <c r="T29" s="292"/>
      <c r="U29" s="292"/>
      <c r="V29" s="292"/>
      <c r="W29" s="293"/>
      <c r="X29" s="135"/>
      <c r="Y29" s="267" t="s">
        <v>98</v>
      </c>
      <c r="Z29" s="294" t="s">
        <v>58</v>
      </c>
      <c r="AA29" s="205"/>
      <c r="AB29" s="295" t="s">
        <v>495</v>
      </c>
      <c r="AC29" s="295" t="s">
        <v>495</v>
      </c>
      <c r="AD29" s="269"/>
    </row>
    <row r="30" spans="1:30" ht="15" customHeight="1" thickTop="1">
      <c r="A30" s="281">
        <f t="shared" si="6"/>
        <v>3</v>
      </c>
      <c r="B30" s="282"/>
      <c r="C30" s="791" t="s">
        <v>494</v>
      </c>
      <c r="D30" s="283"/>
      <c r="E30" s="791" t="str">
        <f t="shared" ref="E30:E33" si="10">IF($D30="有給","委託","")</f>
        <v/>
      </c>
      <c r="F30" s="792" t="str">
        <f t="shared" ref="F30:F33" si="11">IF(G30&gt;0,"要添付書類➡","-")</f>
        <v>-</v>
      </c>
      <c r="G30" s="796"/>
      <c r="H30" s="151"/>
      <c r="I30" s="285"/>
      <c r="J30" s="678" t="str">
        <f t="shared" ref="J30" si="12">IF(L30,IF(OR(O30,N30),"エラー",C30),"-")</f>
        <v>-</v>
      </c>
      <c r="K30" s="135"/>
      <c r="L30" s="286" t="b">
        <f t="shared" si="7"/>
        <v>0</v>
      </c>
      <c r="M30" s="287">
        <f>IF($E30&lt;&gt;$M$25,0,COUNTIF($E$28:E30,$M$25))</f>
        <v>0</v>
      </c>
      <c r="N30" s="287" t="e">
        <f t="shared" si="8"/>
        <v>#VALUE!</v>
      </c>
      <c r="O30" s="288" t="b">
        <f t="shared" si="9"/>
        <v>1</v>
      </c>
      <c r="P30" s="777"/>
      <c r="Q30" s="289"/>
      <c r="R30" s="290">
        <f>IF($E30=R$35,$G30,0)</f>
        <v>0</v>
      </c>
      <c r="S30" s="289"/>
      <c r="T30" s="291"/>
      <c r="U30" s="291"/>
      <c r="V30" s="292"/>
      <c r="W30" s="293"/>
      <c r="X30" s="135"/>
      <c r="Y30" s="267" t="s">
        <v>223</v>
      </c>
      <c r="Z30" s="294"/>
      <c r="AA30" s="205"/>
      <c r="AB30" s="1284" t="s">
        <v>497</v>
      </c>
      <c r="AC30" s="1284"/>
      <c r="AD30" s="269"/>
    </row>
    <row r="31" spans="1:30" ht="15" customHeight="1">
      <c r="A31" s="281">
        <f t="shared" si="6"/>
        <v>4</v>
      </c>
      <c r="B31" s="282"/>
      <c r="C31" s="791" t="s">
        <v>496</v>
      </c>
      <c r="D31" s="283"/>
      <c r="E31" s="791" t="str">
        <f t="shared" si="10"/>
        <v/>
      </c>
      <c r="F31" s="792" t="str">
        <f t="shared" si="11"/>
        <v>-</v>
      </c>
      <c r="G31" s="796"/>
      <c r="H31" s="151"/>
      <c r="I31" s="285"/>
      <c r="J31" s="349" t="str">
        <f>IF(L31,IF(OR(O31,N31),"エラー",C31),"-")</f>
        <v>-</v>
      </c>
      <c r="K31" s="135"/>
      <c r="L31" s="286" t="b">
        <f t="shared" si="7"/>
        <v>0</v>
      </c>
      <c r="M31" s="287">
        <f>IF($E31&lt;&gt;$M$25,0,COUNTIF($E$28:E31,$M$25))</f>
        <v>0</v>
      </c>
      <c r="N31" s="287" t="e">
        <f t="shared" si="8"/>
        <v>#VALUE!</v>
      </c>
      <c r="O31" s="288" t="b">
        <f t="shared" si="9"/>
        <v>1</v>
      </c>
      <c r="P31" s="777"/>
      <c r="Q31" s="289"/>
      <c r="R31" s="290">
        <f>IF($E31=R$35,$G31,0)</f>
        <v>0</v>
      </c>
      <c r="S31" s="289"/>
      <c r="T31" s="291"/>
      <c r="U31" s="291"/>
      <c r="V31" s="292"/>
      <c r="W31" s="293"/>
      <c r="X31" s="135"/>
      <c r="Y31" s="296" t="s">
        <v>7</v>
      </c>
      <c r="Z31" s="294"/>
      <c r="AA31" s="205"/>
      <c r="AB31" s="1285"/>
      <c r="AC31" s="1285"/>
      <c r="AD31" s="269"/>
    </row>
    <row r="32" spans="1:30" ht="15" customHeight="1">
      <c r="A32" s="281">
        <f t="shared" si="6"/>
        <v>5</v>
      </c>
      <c r="B32" s="282"/>
      <c r="C32" s="791" t="s">
        <v>498</v>
      </c>
      <c r="D32" s="283"/>
      <c r="E32" s="791" t="str">
        <f t="shared" si="10"/>
        <v/>
      </c>
      <c r="F32" s="792" t="str">
        <f t="shared" si="11"/>
        <v>-</v>
      </c>
      <c r="G32" s="796"/>
      <c r="H32" s="151"/>
      <c r="I32" s="285"/>
      <c r="J32" s="349" t="str">
        <f>IF(L32,IF(OR(O32,N32),"エラー",C32),"-")</f>
        <v>-</v>
      </c>
      <c r="K32" s="135"/>
      <c r="L32" s="286" t="b">
        <f t="shared" si="7"/>
        <v>0</v>
      </c>
      <c r="M32" s="287">
        <f>IF($E32&lt;&gt;$M$25,0,COUNTIF($E$28:E32,$M$25))</f>
        <v>0</v>
      </c>
      <c r="N32" s="287" t="e">
        <f t="shared" si="8"/>
        <v>#VALUE!</v>
      </c>
      <c r="O32" s="288" t="b">
        <f t="shared" si="9"/>
        <v>1</v>
      </c>
      <c r="P32" s="777"/>
      <c r="Q32" s="289"/>
      <c r="R32" s="290">
        <f>IF($E32=R$35,$G32,0)</f>
        <v>0</v>
      </c>
      <c r="S32" s="289"/>
      <c r="T32" s="291"/>
      <c r="U32" s="291"/>
      <c r="V32" s="292"/>
      <c r="W32" s="293"/>
      <c r="Y32" s="311"/>
      <c r="Z32" s="205"/>
      <c r="AA32" s="205"/>
      <c r="AB32" s="1285"/>
      <c r="AC32" s="1285"/>
      <c r="AD32" s="269"/>
    </row>
    <row r="33" spans="1:30" ht="15" customHeight="1" thickBot="1">
      <c r="A33" s="297">
        <f t="shared" si="6"/>
        <v>6</v>
      </c>
      <c r="B33" s="298"/>
      <c r="C33" s="793" t="s">
        <v>499</v>
      </c>
      <c r="D33" s="299"/>
      <c r="E33" s="793" t="str">
        <f t="shared" si="10"/>
        <v/>
      </c>
      <c r="F33" s="794" t="str">
        <f t="shared" si="11"/>
        <v>-</v>
      </c>
      <c r="G33" s="797"/>
      <c r="H33" s="301"/>
      <c r="I33" s="302"/>
      <c r="J33" s="356" t="str">
        <f>IF(L33,IF(OR(O33,N33),"エラー",C33),"-")</f>
        <v>-</v>
      </c>
      <c r="K33" s="135"/>
      <c r="L33" s="303" t="b">
        <f t="shared" si="7"/>
        <v>0</v>
      </c>
      <c r="M33" s="304">
        <f>IF($E33&lt;&gt;$M$25,0,COUNTIF($E$28:E33,$M$25))</f>
        <v>0</v>
      </c>
      <c r="N33" s="304" t="e">
        <f t="shared" si="8"/>
        <v>#VALUE!</v>
      </c>
      <c r="O33" s="305" t="b">
        <f t="shared" si="9"/>
        <v>1</v>
      </c>
      <c r="P33" s="777"/>
      <c r="Q33" s="306"/>
      <c r="R33" s="307">
        <f>IF($E33=R$35,$G33,0)</f>
        <v>0</v>
      </c>
      <c r="S33" s="306"/>
      <c r="T33" s="308"/>
      <c r="U33" s="308"/>
      <c r="V33" s="309"/>
      <c r="W33" s="310"/>
      <c r="Y33" s="314"/>
      <c r="Z33" s="177"/>
      <c r="AA33" s="315"/>
      <c r="AB33" s="1286"/>
      <c r="AC33" s="1286"/>
      <c r="AD33" s="316"/>
    </row>
    <row r="34" spans="1:30" ht="15" customHeight="1" thickBot="1">
      <c r="A34" s="312"/>
      <c r="B34" s="730"/>
      <c r="C34" s="312"/>
      <c r="D34" s="312"/>
      <c r="E34" s="312"/>
      <c r="F34" s="312"/>
      <c r="G34" s="312"/>
      <c r="H34" s="312"/>
      <c r="I34" s="312"/>
      <c r="J34" s="312"/>
      <c r="K34" s="313"/>
      <c r="M34" s="116"/>
      <c r="N34" s="116"/>
      <c r="R34" s="116"/>
    </row>
    <row r="35" spans="1:30" ht="15" customHeight="1" thickBot="1">
      <c r="A35" s="312"/>
      <c r="B35" s="730" t="s">
        <v>500</v>
      </c>
      <c r="C35" s="312"/>
      <c r="D35" s="312"/>
      <c r="E35" s="312"/>
      <c r="F35" s="312"/>
      <c r="G35" s="312"/>
      <c r="H35" s="312"/>
      <c r="I35" s="312"/>
      <c r="J35" s="312"/>
      <c r="K35" s="313"/>
      <c r="L35" s="757" t="s">
        <v>474</v>
      </c>
      <c r="M35" s="758" t="s">
        <v>9</v>
      </c>
      <c r="N35" s="758" t="s">
        <v>419</v>
      </c>
      <c r="O35" s="759" t="s">
        <v>420</v>
      </c>
      <c r="P35" s="777"/>
      <c r="Q35" s="319" t="str">
        <f>AA26</f>
        <v>常勤</v>
      </c>
      <c r="R35" s="320" t="str">
        <f>AA27</f>
        <v>非常勤</v>
      </c>
      <c r="S35" s="321" t="str">
        <f>AA26</f>
        <v>常勤</v>
      </c>
      <c r="T35" s="322" t="str">
        <f>S35</f>
        <v>常勤</v>
      </c>
      <c r="U35" s="322" t="str">
        <f>T35</f>
        <v>常勤</v>
      </c>
      <c r="V35" s="322" t="str">
        <f>U35</f>
        <v>常勤</v>
      </c>
      <c r="W35" s="323" t="str">
        <f>AA27</f>
        <v>非常勤</v>
      </c>
    </row>
    <row r="36" spans="1:30" ht="15" customHeight="1">
      <c r="A36" s="1287" t="s">
        <v>375</v>
      </c>
      <c r="B36" s="1288"/>
      <c r="C36" s="1289" t="s">
        <v>55</v>
      </c>
      <c r="D36" s="1288"/>
      <c r="E36" s="1289" t="s">
        <v>480</v>
      </c>
      <c r="F36" s="1290"/>
      <c r="G36" s="1288"/>
      <c r="H36" s="756" t="s">
        <v>501</v>
      </c>
      <c r="I36" s="1289" t="s">
        <v>482</v>
      </c>
      <c r="J36" s="1293" t="s">
        <v>483</v>
      </c>
      <c r="K36" s="313"/>
      <c r="L36" s="239" t="str">
        <f>$Z26</f>
        <v>有給</v>
      </c>
      <c r="M36" s="240" t="str">
        <f>$AA$27</f>
        <v>非常勤</v>
      </c>
      <c r="N36" s="240"/>
      <c r="O36" s="241" t="str">
        <f>$AA$27</f>
        <v>非常勤</v>
      </c>
      <c r="P36" s="777"/>
      <c r="Q36" s="324"/>
      <c r="R36" s="243"/>
      <c r="S36" s="325" t="str">
        <f>AB26</f>
        <v>正職</v>
      </c>
      <c r="T36" s="326" t="str">
        <f>AB27</f>
        <v>臨職</v>
      </c>
      <c r="U36" s="326" t="str">
        <f>AB28</f>
        <v>派遣契約</v>
      </c>
      <c r="V36" s="326" t="str">
        <f>AB29</f>
        <v>嘱託契約</v>
      </c>
      <c r="W36" s="327"/>
    </row>
    <row r="37" spans="1:30" ht="15" customHeight="1">
      <c r="A37" s="1296" t="s">
        <v>484</v>
      </c>
      <c r="B37" s="1298">
        <f>COUNTA(B39:B138)</f>
        <v>0</v>
      </c>
      <c r="C37" s="1272" t="s">
        <v>352</v>
      </c>
      <c r="D37" s="1274" t="s">
        <v>59</v>
      </c>
      <c r="E37" s="1276" t="s">
        <v>502</v>
      </c>
      <c r="F37" s="1278" t="s">
        <v>503</v>
      </c>
      <c r="G37" s="1280" t="str">
        <f>IF(SUM($G$39:$G$138)&lt;&gt;'【様式３】シフト表 '!$AK$107,"エラー：シフト表と不一致","非常勤の勤務時間/月")</f>
        <v>非常勤の勤務時間/月</v>
      </c>
      <c r="H37" s="1282" t="e">
        <f>"("&amp;TEXT($AD$26,"YYYY/M/D")&amp;"以前)"</f>
        <v>#VALUE!</v>
      </c>
      <c r="I37" s="1291"/>
      <c r="J37" s="1294"/>
      <c r="K37" s="313"/>
      <c r="L37" s="251"/>
      <c r="M37" s="328"/>
      <c r="N37" s="199"/>
      <c r="O37" s="252"/>
      <c r="P37" s="777"/>
      <c r="Q37" s="251"/>
      <c r="R37" s="252"/>
      <c r="S37" s="329"/>
      <c r="T37" s="268"/>
      <c r="U37" s="268"/>
      <c r="V37" s="268"/>
      <c r="W37" s="330"/>
    </row>
    <row r="38" spans="1:30" ht="15" customHeight="1" thickBot="1">
      <c r="A38" s="1297"/>
      <c r="B38" s="1299"/>
      <c r="C38" s="1273"/>
      <c r="D38" s="1275"/>
      <c r="E38" s="1277"/>
      <c r="F38" s="1279"/>
      <c r="G38" s="1281"/>
      <c r="H38" s="1283"/>
      <c r="I38" s="1292"/>
      <c r="J38" s="1295"/>
      <c r="K38" s="313"/>
      <c r="L38" s="260"/>
      <c r="M38" s="261"/>
      <c r="N38" s="261"/>
      <c r="O38" s="262"/>
      <c r="P38" s="777"/>
      <c r="Q38" s="260"/>
      <c r="R38" s="262"/>
      <c r="S38" s="331"/>
      <c r="T38" s="332"/>
      <c r="U38" s="332"/>
      <c r="V38" s="332"/>
      <c r="W38" s="333"/>
    </row>
    <row r="39" spans="1:30" ht="15" customHeight="1">
      <c r="A39" s="334">
        <f>ROW()-ROW($A$38)</f>
        <v>1</v>
      </c>
      <c r="B39" s="335"/>
      <c r="C39" s="336"/>
      <c r="D39" s="337"/>
      <c r="E39" s="336"/>
      <c r="F39" s="338"/>
      <c r="G39" s="339">
        <f>IFERROR(INDEX('【様式３】シフト表 '!$AK$7:$AK$106,MATCH($M39,'【様式３】シフト表 '!$B$7:$B$106,0),1),0)</f>
        <v>0</v>
      </c>
      <c r="H39" s="340"/>
      <c r="I39" s="341"/>
      <c r="J39" s="342" t="str">
        <f>IF(L39,IF(OR(O39,N39),"エラー",C39),"-")</f>
        <v>-</v>
      </c>
      <c r="K39" s="161"/>
      <c r="L39" s="274" t="b">
        <f>$D39=$L$36</f>
        <v>0</v>
      </c>
      <c r="M39" s="275">
        <f>IF($E39&lt;&gt;$M$36,0,COUNTIF($E$39:E39,$M$36))</f>
        <v>0</v>
      </c>
      <c r="N39" s="275" t="e">
        <f t="shared" ref="N39:N70" si="13">OR($H39&gt;$H$37,AND($E39=$AA$26,$F39&lt;&gt;$AB$26,$F39&lt;&gt;$AB$27,$F39&lt;&gt;$AB$28,$F39&lt;&gt;$AB$29),AND($E39=$AA$27,$F39&lt;&gt;$AC$26,$F39&lt;&gt;$AC$27,$F39&lt;&gt;$AC$28,$F39&lt;&gt;$AC$29))</f>
        <v>#VALUE!</v>
      </c>
      <c r="O39" s="276" t="b">
        <f>OR($B39=0,$C39=0,$E39=0,AND($E39&lt;&gt;0,$F39=0),AND($E39=O$36,$G39=0),$H39=0)</f>
        <v>1</v>
      </c>
      <c r="P39" s="777"/>
      <c r="Q39" s="343">
        <f t="shared" ref="Q39:Q102" si="14">IF($E39=Q$35,1,0)</f>
        <v>0</v>
      </c>
      <c r="R39" s="278">
        <f t="shared" ref="R39:R102" si="15">IF($E39=R$35,$G39,0)</f>
        <v>0</v>
      </c>
      <c r="S39" s="343">
        <f>IF(AND($E39=S$35,$F39=S$36),$J39,0)</f>
        <v>0</v>
      </c>
      <c r="T39" s="344">
        <f>IF(AND($E39=T$35,$F39=T$36),$J39,0)</f>
        <v>0</v>
      </c>
      <c r="U39" s="344">
        <f t="shared" ref="S39:V58" si="16">IF(AND($E39=U$35,$F39=U$36),$J39,0)</f>
        <v>0</v>
      </c>
      <c r="V39" s="345">
        <f>IF(AND($E39=V$35,$F39=V$36),$J39,0)</f>
        <v>0</v>
      </c>
      <c r="W39" s="278">
        <f>IF($E39=W$35,$J39,0)</f>
        <v>0</v>
      </c>
    </row>
    <row r="40" spans="1:30" ht="15" customHeight="1">
      <c r="A40" s="346">
        <f>A39+1</f>
        <v>2</v>
      </c>
      <c r="B40" s="282"/>
      <c r="C40" s="347"/>
      <c r="D40" s="283"/>
      <c r="E40" s="347"/>
      <c r="F40" s="284"/>
      <c r="G40" s="348">
        <f>IFERROR(INDEX('【様式３】シフト表 '!$AK$7:$AK$106,MATCH($M40,'【様式３】シフト表 '!$B$7:$B$106,0),1),0)</f>
        <v>0</v>
      </c>
      <c r="H40" s="151"/>
      <c r="I40" s="285"/>
      <c r="J40" s="349" t="str">
        <f t="shared" ref="J40:J103" si="17">IF(L40,IF(OR(O40,N40),"エラー",C40),"-")</f>
        <v>-</v>
      </c>
      <c r="K40" s="161"/>
      <c r="L40" s="286" t="b">
        <f t="shared" ref="L40:L103" si="18">$D40=$L$36</f>
        <v>0</v>
      </c>
      <c r="M40" s="287">
        <f>IF($E40&lt;&gt;$M$36,0,COUNTIF($E$39:E40,$M$36))</f>
        <v>0</v>
      </c>
      <c r="N40" s="287" t="e">
        <f t="shared" si="13"/>
        <v>#VALUE!</v>
      </c>
      <c r="O40" s="288" t="b">
        <f t="shared" ref="O40:O103" si="19">OR($B40=0,$C40=0,$E40=0,AND($E40&lt;&gt;0,$F40=0),AND($E40=O$36,$G40=0),$H40=0)</f>
        <v>1</v>
      </c>
      <c r="P40" s="777"/>
      <c r="Q40" s="350">
        <f t="shared" si="14"/>
        <v>0</v>
      </c>
      <c r="R40" s="290">
        <f t="shared" si="15"/>
        <v>0</v>
      </c>
      <c r="S40" s="350">
        <f t="shared" si="16"/>
        <v>0</v>
      </c>
      <c r="T40" s="290">
        <f t="shared" si="16"/>
        <v>0</v>
      </c>
      <c r="U40" s="290">
        <f t="shared" si="16"/>
        <v>0</v>
      </c>
      <c r="V40" s="351">
        <f t="shared" si="16"/>
        <v>0</v>
      </c>
      <c r="W40" s="352">
        <f t="shared" ref="W40:W103" si="20">IF($E40=W$35,$J40,0)</f>
        <v>0</v>
      </c>
    </row>
    <row r="41" spans="1:30" ht="15" customHeight="1">
      <c r="A41" s="346">
        <f t="shared" ref="A41:A104" si="21">A40+1</f>
        <v>3</v>
      </c>
      <c r="B41" s="282"/>
      <c r="C41" s="347"/>
      <c r="D41" s="283"/>
      <c r="E41" s="347"/>
      <c r="F41" s="284"/>
      <c r="G41" s="348">
        <f>IFERROR(INDEX('【様式３】シフト表 '!$AK$7:$AK$106,MATCH($M41,'【様式３】シフト表 '!$B$7:$B$106,0),1),0)</f>
        <v>0</v>
      </c>
      <c r="H41" s="151"/>
      <c r="I41" s="285"/>
      <c r="J41" s="349" t="str">
        <f t="shared" si="17"/>
        <v>-</v>
      </c>
      <c r="K41" s="161"/>
      <c r="L41" s="286" t="b">
        <f t="shared" si="18"/>
        <v>0</v>
      </c>
      <c r="M41" s="287">
        <f>IF($E41&lt;&gt;$M$36,0,COUNTIF($E$39:E41,$M$36))</f>
        <v>0</v>
      </c>
      <c r="N41" s="287" t="e">
        <f t="shared" si="13"/>
        <v>#VALUE!</v>
      </c>
      <c r="O41" s="288" t="b">
        <f t="shared" si="19"/>
        <v>1</v>
      </c>
      <c r="P41" s="777"/>
      <c r="Q41" s="350">
        <f t="shared" si="14"/>
        <v>0</v>
      </c>
      <c r="R41" s="290">
        <f t="shared" si="15"/>
        <v>0</v>
      </c>
      <c r="S41" s="350">
        <f t="shared" si="16"/>
        <v>0</v>
      </c>
      <c r="T41" s="290">
        <f t="shared" si="16"/>
        <v>0</v>
      </c>
      <c r="U41" s="290">
        <f t="shared" si="16"/>
        <v>0</v>
      </c>
      <c r="V41" s="351">
        <f t="shared" si="16"/>
        <v>0</v>
      </c>
      <c r="W41" s="352">
        <f t="shared" si="20"/>
        <v>0</v>
      </c>
    </row>
    <row r="42" spans="1:30" ht="15" customHeight="1">
      <c r="A42" s="346">
        <f t="shared" si="21"/>
        <v>4</v>
      </c>
      <c r="B42" s="282"/>
      <c r="C42" s="347"/>
      <c r="D42" s="283"/>
      <c r="E42" s="347"/>
      <c r="F42" s="284"/>
      <c r="G42" s="348">
        <f>IFERROR(INDEX('【様式３】シフト表 '!$AK$7:$AK$106,MATCH($M42,'【様式３】シフト表 '!$B$7:$B$106,0),1),0)</f>
        <v>0</v>
      </c>
      <c r="H42" s="151"/>
      <c r="I42" s="285"/>
      <c r="J42" s="349" t="str">
        <f t="shared" si="17"/>
        <v>-</v>
      </c>
      <c r="K42" s="161"/>
      <c r="L42" s="286" t="b">
        <f t="shared" si="18"/>
        <v>0</v>
      </c>
      <c r="M42" s="287">
        <f>IF($E42&lt;&gt;$M$36,0,COUNTIF($E$39:E42,$M$36))</f>
        <v>0</v>
      </c>
      <c r="N42" s="287" t="e">
        <f t="shared" si="13"/>
        <v>#VALUE!</v>
      </c>
      <c r="O42" s="288" t="b">
        <f t="shared" si="19"/>
        <v>1</v>
      </c>
      <c r="P42" s="777"/>
      <c r="Q42" s="350">
        <f t="shared" si="14"/>
        <v>0</v>
      </c>
      <c r="R42" s="290">
        <f t="shared" si="15"/>
        <v>0</v>
      </c>
      <c r="S42" s="350">
        <f t="shared" si="16"/>
        <v>0</v>
      </c>
      <c r="T42" s="290">
        <f t="shared" si="16"/>
        <v>0</v>
      </c>
      <c r="U42" s="290">
        <f t="shared" si="16"/>
        <v>0</v>
      </c>
      <c r="V42" s="351">
        <f t="shared" si="16"/>
        <v>0</v>
      </c>
      <c r="W42" s="352">
        <f t="shared" si="20"/>
        <v>0</v>
      </c>
    </row>
    <row r="43" spans="1:30" ht="15" customHeight="1">
      <c r="A43" s="346">
        <f t="shared" si="21"/>
        <v>5</v>
      </c>
      <c r="B43" s="282"/>
      <c r="C43" s="347"/>
      <c r="D43" s="283"/>
      <c r="E43" s="347"/>
      <c r="F43" s="284"/>
      <c r="G43" s="348">
        <f>IFERROR(INDEX('【様式３】シフト表 '!$AK$7:$AK$106,MATCH($M43,'【様式３】シフト表 '!$B$7:$B$106,0),1),0)</f>
        <v>0</v>
      </c>
      <c r="H43" s="151"/>
      <c r="I43" s="285"/>
      <c r="J43" s="349" t="str">
        <f t="shared" si="17"/>
        <v>-</v>
      </c>
      <c r="K43" s="161"/>
      <c r="L43" s="286" t="b">
        <f t="shared" si="18"/>
        <v>0</v>
      </c>
      <c r="M43" s="287">
        <f>IF($E43&lt;&gt;$M$36,0,COUNTIF($E$39:E43,$M$36))</f>
        <v>0</v>
      </c>
      <c r="N43" s="287" t="e">
        <f t="shared" si="13"/>
        <v>#VALUE!</v>
      </c>
      <c r="O43" s="288" t="b">
        <f t="shared" si="19"/>
        <v>1</v>
      </c>
      <c r="P43" s="777"/>
      <c r="Q43" s="350">
        <f t="shared" si="14"/>
        <v>0</v>
      </c>
      <c r="R43" s="290">
        <f t="shared" si="15"/>
        <v>0</v>
      </c>
      <c r="S43" s="350">
        <f t="shared" si="16"/>
        <v>0</v>
      </c>
      <c r="T43" s="290">
        <f t="shared" si="16"/>
        <v>0</v>
      </c>
      <c r="U43" s="290">
        <f t="shared" si="16"/>
        <v>0</v>
      </c>
      <c r="V43" s="351">
        <f t="shared" si="16"/>
        <v>0</v>
      </c>
      <c r="W43" s="352">
        <f>IF($E43=W$35,$J43,0)</f>
        <v>0</v>
      </c>
    </row>
    <row r="44" spans="1:30" ht="15" customHeight="1">
      <c r="A44" s="346">
        <f t="shared" si="21"/>
        <v>6</v>
      </c>
      <c r="B44" s="282"/>
      <c r="C44" s="347"/>
      <c r="D44" s="283"/>
      <c r="E44" s="347"/>
      <c r="F44" s="284"/>
      <c r="G44" s="348">
        <f>IFERROR(INDEX('【様式３】シフト表 '!$AK$7:$AK$106,MATCH($M44,'【様式３】シフト表 '!$B$7:$B$106,0),1),0)</f>
        <v>0</v>
      </c>
      <c r="H44" s="151"/>
      <c r="I44" s="285"/>
      <c r="J44" s="349" t="str">
        <f t="shared" si="17"/>
        <v>-</v>
      </c>
      <c r="K44" s="161"/>
      <c r="L44" s="286" t="b">
        <f t="shared" si="18"/>
        <v>0</v>
      </c>
      <c r="M44" s="287">
        <f>IF($E44&lt;&gt;$M$36,0,COUNTIF($E$39:E44,$M$36))</f>
        <v>0</v>
      </c>
      <c r="N44" s="287" t="e">
        <f t="shared" si="13"/>
        <v>#VALUE!</v>
      </c>
      <c r="O44" s="288" t="b">
        <f t="shared" si="19"/>
        <v>1</v>
      </c>
      <c r="P44" s="777"/>
      <c r="Q44" s="350">
        <f t="shared" si="14"/>
        <v>0</v>
      </c>
      <c r="R44" s="290">
        <f t="shared" si="15"/>
        <v>0</v>
      </c>
      <c r="S44" s="350">
        <f t="shared" si="16"/>
        <v>0</v>
      </c>
      <c r="T44" s="290">
        <f t="shared" si="16"/>
        <v>0</v>
      </c>
      <c r="U44" s="290">
        <f t="shared" si="16"/>
        <v>0</v>
      </c>
      <c r="V44" s="351">
        <f t="shared" si="16"/>
        <v>0</v>
      </c>
      <c r="W44" s="352">
        <f t="shared" si="20"/>
        <v>0</v>
      </c>
    </row>
    <row r="45" spans="1:30" ht="15" customHeight="1">
      <c r="A45" s="346">
        <f t="shared" si="21"/>
        <v>7</v>
      </c>
      <c r="B45" s="282"/>
      <c r="C45" s="347"/>
      <c r="D45" s="283"/>
      <c r="E45" s="347"/>
      <c r="F45" s="284"/>
      <c r="G45" s="348">
        <f>IFERROR(INDEX('【様式３】シフト表 '!$AK$7:$AK$106,MATCH($M45,'【様式３】シフト表 '!$B$7:$B$106,0),1),0)</f>
        <v>0</v>
      </c>
      <c r="H45" s="151"/>
      <c r="I45" s="285"/>
      <c r="J45" s="349" t="str">
        <f t="shared" si="17"/>
        <v>-</v>
      </c>
      <c r="K45" s="161"/>
      <c r="L45" s="286" t="b">
        <f t="shared" si="18"/>
        <v>0</v>
      </c>
      <c r="M45" s="287">
        <f>IF($E45&lt;&gt;$M$36,0,COUNTIF($E$39:E45,$M$36))</f>
        <v>0</v>
      </c>
      <c r="N45" s="287" t="e">
        <f t="shared" si="13"/>
        <v>#VALUE!</v>
      </c>
      <c r="O45" s="288" t="b">
        <f t="shared" si="19"/>
        <v>1</v>
      </c>
      <c r="P45" s="777"/>
      <c r="Q45" s="350">
        <f t="shared" si="14"/>
        <v>0</v>
      </c>
      <c r="R45" s="290">
        <f t="shared" si="15"/>
        <v>0</v>
      </c>
      <c r="S45" s="350">
        <f t="shared" si="16"/>
        <v>0</v>
      </c>
      <c r="T45" s="290">
        <f t="shared" si="16"/>
        <v>0</v>
      </c>
      <c r="U45" s="290">
        <f t="shared" si="16"/>
        <v>0</v>
      </c>
      <c r="V45" s="351">
        <f t="shared" si="16"/>
        <v>0</v>
      </c>
      <c r="W45" s="352">
        <f t="shared" si="20"/>
        <v>0</v>
      </c>
      <c r="Z45" s="137"/>
    </row>
    <row r="46" spans="1:30" ht="15" customHeight="1">
      <c r="A46" s="346">
        <f t="shared" si="21"/>
        <v>8</v>
      </c>
      <c r="B46" s="282"/>
      <c r="C46" s="347"/>
      <c r="D46" s="283"/>
      <c r="E46" s="347"/>
      <c r="F46" s="284"/>
      <c r="G46" s="348">
        <f>IFERROR(INDEX('【様式３】シフト表 '!$AK$7:$AK$106,MATCH($M46,'【様式３】シフト表 '!$B$7:$B$106,0),1),0)</f>
        <v>0</v>
      </c>
      <c r="H46" s="151"/>
      <c r="I46" s="285"/>
      <c r="J46" s="349" t="str">
        <f t="shared" si="17"/>
        <v>-</v>
      </c>
      <c r="K46" s="161"/>
      <c r="L46" s="286" t="b">
        <f t="shared" si="18"/>
        <v>0</v>
      </c>
      <c r="M46" s="287">
        <f>IF($E46&lt;&gt;$M$36,0,COUNTIF($E$39:E46,$M$36))</f>
        <v>0</v>
      </c>
      <c r="N46" s="287" t="e">
        <f t="shared" si="13"/>
        <v>#VALUE!</v>
      </c>
      <c r="O46" s="288" t="b">
        <f t="shared" si="19"/>
        <v>1</v>
      </c>
      <c r="P46" s="777"/>
      <c r="Q46" s="350">
        <f t="shared" si="14"/>
        <v>0</v>
      </c>
      <c r="R46" s="290">
        <f t="shared" si="15"/>
        <v>0</v>
      </c>
      <c r="S46" s="350">
        <f t="shared" si="16"/>
        <v>0</v>
      </c>
      <c r="T46" s="290">
        <f t="shared" si="16"/>
        <v>0</v>
      </c>
      <c r="U46" s="290">
        <f t="shared" si="16"/>
        <v>0</v>
      </c>
      <c r="V46" s="351">
        <f t="shared" si="16"/>
        <v>0</v>
      </c>
      <c r="W46" s="352">
        <f t="shared" si="20"/>
        <v>0</v>
      </c>
      <c r="Z46" s="137"/>
    </row>
    <row r="47" spans="1:30" ht="15" customHeight="1">
      <c r="A47" s="346">
        <f t="shared" si="21"/>
        <v>9</v>
      </c>
      <c r="B47" s="282"/>
      <c r="C47" s="347"/>
      <c r="D47" s="283"/>
      <c r="E47" s="347"/>
      <c r="F47" s="284"/>
      <c r="G47" s="348">
        <f>IFERROR(INDEX('【様式３】シフト表 '!$AK$7:$AK$106,MATCH($M47,'【様式３】シフト表 '!$B$7:$B$106,0),1),0)</f>
        <v>0</v>
      </c>
      <c r="H47" s="151"/>
      <c r="I47" s="285"/>
      <c r="J47" s="349" t="str">
        <f t="shared" si="17"/>
        <v>-</v>
      </c>
      <c r="K47" s="161"/>
      <c r="L47" s="286" t="b">
        <f t="shared" si="18"/>
        <v>0</v>
      </c>
      <c r="M47" s="287">
        <f>IF($E47&lt;&gt;$M$36,0,COUNTIF($E$39:E47,$M$36))</f>
        <v>0</v>
      </c>
      <c r="N47" s="287" t="e">
        <f t="shared" si="13"/>
        <v>#VALUE!</v>
      </c>
      <c r="O47" s="288" t="b">
        <f t="shared" si="19"/>
        <v>1</v>
      </c>
      <c r="P47" s="777"/>
      <c r="Q47" s="350">
        <f t="shared" si="14"/>
        <v>0</v>
      </c>
      <c r="R47" s="290">
        <f t="shared" si="15"/>
        <v>0</v>
      </c>
      <c r="S47" s="350">
        <f t="shared" si="16"/>
        <v>0</v>
      </c>
      <c r="T47" s="290">
        <f t="shared" si="16"/>
        <v>0</v>
      </c>
      <c r="U47" s="290">
        <f t="shared" si="16"/>
        <v>0</v>
      </c>
      <c r="V47" s="351">
        <f t="shared" si="16"/>
        <v>0</v>
      </c>
      <c r="W47" s="352">
        <f t="shared" si="20"/>
        <v>0</v>
      </c>
      <c r="Y47" s="137"/>
      <c r="Z47" s="137"/>
    </row>
    <row r="48" spans="1:30" ht="15" customHeight="1">
      <c r="A48" s="346">
        <f t="shared" si="21"/>
        <v>10</v>
      </c>
      <c r="B48" s="282"/>
      <c r="C48" s="347"/>
      <c r="D48" s="283"/>
      <c r="E48" s="347"/>
      <c r="F48" s="284"/>
      <c r="G48" s="348">
        <f>IFERROR(INDEX('【様式３】シフト表 '!$AK$7:$AK$106,MATCH($M48,'【様式３】シフト表 '!$B$7:$B$106,0),1),0)</f>
        <v>0</v>
      </c>
      <c r="H48" s="151"/>
      <c r="I48" s="285"/>
      <c r="J48" s="349" t="str">
        <f t="shared" si="17"/>
        <v>-</v>
      </c>
      <c r="K48" s="161"/>
      <c r="L48" s="286" t="b">
        <f t="shared" si="18"/>
        <v>0</v>
      </c>
      <c r="M48" s="287">
        <f>IF($E48&lt;&gt;$M$36,0,COUNTIF($E$39:E48,$M$36))</f>
        <v>0</v>
      </c>
      <c r="N48" s="287" t="e">
        <f t="shared" si="13"/>
        <v>#VALUE!</v>
      </c>
      <c r="O48" s="288" t="b">
        <f t="shared" si="19"/>
        <v>1</v>
      </c>
      <c r="P48" s="777"/>
      <c r="Q48" s="350">
        <f t="shared" si="14"/>
        <v>0</v>
      </c>
      <c r="R48" s="290">
        <f t="shared" si="15"/>
        <v>0</v>
      </c>
      <c r="S48" s="350">
        <f t="shared" si="16"/>
        <v>0</v>
      </c>
      <c r="T48" s="290">
        <f t="shared" si="16"/>
        <v>0</v>
      </c>
      <c r="U48" s="290">
        <f t="shared" si="16"/>
        <v>0</v>
      </c>
      <c r="V48" s="351">
        <f t="shared" si="16"/>
        <v>0</v>
      </c>
      <c r="W48" s="352">
        <f t="shared" si="20"/>
        <v>0</v>
      </c>
      <c r="X48" s="137"/>
      <c r="Y48" s="137"/>
      <c r="Z48" s="137"/>
    </row>
    <row r="49" spans="1:26" ht="15" customHeight="1">
      <c r="A49" s="346">
        <f t="shared" si="21"/>
        <v>11</v>
      </c>
      <c r="B49" s="282"/>
      <c r="C49" s="347"/>
      <c r="D49" s="283"/>
      <c r="E49" s="347"/>
      <c r="F49" s="284"/>
      <c r="G49" s="348">
        <f>IFERROR(INDEX('【様式３】シフト表 '!$AK$7:$AK$106,MATCH($M49,'【様式３】シフト表 '!$B$7:$B$106,0),1),0)</f>
        <v>0</v>
      </c>
      <c r="H49" s="151"/>
      <c r="I49" s="285"/>
      <c r="J49" s="349" t="str">
        <f t="shared" si="17"/>
        <v>-</v>
      </c>
      <c r="K49" s="161"/>
      <c r="L49" s="286" t="b">
        <f t="shared" si="18"/>
        <v>0</v>
      </c>
      <c r="M49" s="287">
        <f>IF($E49&lt;&gt;$M$36,0,COUNTIF($E$39:E49,$M$36))</f>
        <v>0</v>
      </c>
      <c r="N49" s="287" t="e">
        <f t="shared" si="13"/>
        <v>#VALUE!</v>
      </c>
      <c r="O49" s="288" t="b">
        <f t="shared" si="19"/>
        <v>1</v>
      </c>
      <c r="P49" s="777"/>
      <c r="Q49" s="350">
        <f t="shared" si="14"/>
        <v>0</v>
      </c>
      <c r="R49" s="290">
        <f t="shared" si="15"/>
        <v>0</v>
      </c>
      <c r="S49" s="350">
        <f t="shared" si="16"/>
        <v>0</v>
      </c>
      <c r="T49" s="290">
        <f t="shared" si="16"/>
        <v>0</v>
      </c>
      <c r="U49" s="290">
        <f t="shared" si="16"/>
        <v>0</v>
      </c>
      <c r="V49" s="351">
        <f t="shared" si="16"/>
        <v>0</v>
      </c>
      <c r="W49" s="352">
        <f t="shared" si="20"/>
        <v>0</v>
      </c>
      <c r="X49" s="137"/>
      <c r="Y49" s="137"/>
      <c r="Z49" s="137"/>
    </row>
    <row r="50" spans="1:26" ht="15" customHeight="1">
      <c r="A50" s="346">
        <f t="shared" si="21"/>
        <v>12</v>
      </c>
      <c r="B50" s="282"/>
      <c r="C50" s="347"/>
      <c r="D50" s="283"/>
      <c r="E50" s="347"/>
      <c r="F50" s="284"/>
      <c r="G50" s="348">
        <f>IFERROR(INDEX('【様式３】シフト表 '!$AK$7:$AK$106,MATCH($M50,'【様式３】シフト表 '!$B$7:$B$106,0),1),0)</f>
        <v>0</v>
      </c>
      <c r="H50" s="151"/>
      <c r="I50" s="285"/>
      <c r="J50" s="349" t="str">
        <f t="shared" si="17"/>
        <v>-</v>
      </c>
      <c r="K50" s="161"/>
      <c r="L50" s="286" t="b">
        <f t="shared" si="18"/>
        <v>0</v>
      </c>
      <c r="M50" s="287">
        <f>IF($E50&lt;&gt;$M$36,0,COUNTIF($E$39:E50,$M$36))</f>
        <v>0</v>
      </c>
      <c r="N50" s="287" t="e">
        <f t="shared" si="13"/>
        <v>#VALUE!</v>
      </c>
      <c r="O50" s="288" t="b">
        <f t="shared" si="19"/>
        <v>1</v>
      </c>
      <c r="P50" s="777"/>
      <c r="Q50" s="350">
        <f t="shared" si="14"/>
        <v>0</v>
      </c>
      <c r="R50" s="290">
        <f t="shared" si="15"/>
        <v>0</v>
      </c>
      <c r="S50" s="350">
        <f t="shared" si="16"/>
        <v>0</v>
      </c>
      <c r="T50" s="290">
        <f t="shared" si="16"/>
        <v>0</v>
      </c>
      <c r="U50" s="290">
        <f t="shared" si="16"/>
        <v>0</v>
      </c>
      <c r="V50" s="351">
        <f t="shared" si="16"/>
        <v>0</v>
      </c>
      <c r="W50" s="352">
        <f t="shared" si="20"/>
        <v>0</v>
      </c>
      <c r="X50" s="137"/>
      <c r="Y50" s="137"/>
      <c r="Z50" s="137"/>
    </row>
    <row r="51" spans="1:26" ht="15" customHeight="1">
      <c r="A51" s="346">
        <f t="shared" si="21"/>
        <v>13</v>
      </c>
      <c r="B51" s="282"/>
      <c r="C51" s="347"/>
      <c r="D51" s="283"/>
      <c r="E51" s="347"/>
      <c r="F51" s="284"/>
      <c r="G51" s="348">
        <f>IFERROR(INDEX('【様式３】シフト表 '!$AK$7:$AK$106,MATCH($M51,'【様式３】シフト表 '!$B$7:$B$106,0),1),0)</f>
        <v>0</v>
      </c>
      <c r="H51" s="151"/>
      <c r="I51" s="285"/>
      <c r="J51" s="349" t="str">
        <f t="shared" si="17"/>
        <v>-</v>
      </c>
      <c r="K51" s="161"/>
      <c r="L51" s="286" t="b">
        <f t="shared" si="18"/>
        <v>0</v>
      </c>
      <c r="M51" s="287">
        <f>IF($E51&lt;&gt;$M$36,0,COUNTIF($E$39:E51,$M$36))</f>
        <v>0</v>
      </c>
      <c r="N51" s="287" t="e">
        <f t="shared" si="13"/>
        <v>#VALUE!</v>
      </c>
      <c r="O51" s="288" t="b">
        <f t="shared" si="19"/>
        <v>1</v>
      </c>
      <c r="P51" s="777"/>
      <c r="Q51" s="350">
        <f t="shared" si="14"/>
        <v>0</v>
      </c>
      <c r="R51" s="290">
        <f t="shared" si="15"/>
        <v>0</v>
      </c>
      <c r="S51" s="350">
        <f t="shared" si="16"/>
        <v>0</v>
      </c>
      <c r="T51" s="290">
        <f t="shared" si="16"/>
        <v>0</v>
      </c>
      <c r="U51" s="290">
        <f t="shared" si="16"/>
        <v>0</v>
      </c>
      <c r="V51" s="351">
        <f t="shared" si="16"/>
        <v>0</v>
      </c>
      <c r="W51" s="352">
        <f t="shared" si="20"/>
        <v>0</v>
      </c>
      <c r="X51" s="137"/>
      <c r="Y51" s="137"/>
      <c r="Z51" s="137"/>
    </row>
    <row r="52" spans="1:26" ht="15" customHeight="1">
      <c r="A52" s="346">
        <f t="shared" si="21"/>
        <v>14</v>
      </c>
      <c r="B52" s="282"/>
      <c r="C52" s="347"/>
      <c r="D52" s="283"/>
      <c r="E52" s="347"/>
      <c r="F52" s="284"/>
      <c r="G52" s="348">
        <f>IFERROR(INDEX('【様式３】シフト表 '!$AK$7:$AK$106,MATCH($M52,'【様式３】シフト表 '!$B$7:$B$106,0),1),0)</f>
        <v>0</v>
      </c>
      <c r="H52" s="151"/>
      <c r="I52" s="285"/>
      <c r="J52" s="349" t="str">
        <f t="shared" si="17"/>
        <v>-</v>
      </c>
      <c r="K52" s="161"/>
      <c r="L52" s="286" t="b">
        <f t="shared" si="18"/>
        <v>0</v>
      </c>
      <c r="M52" s="287">
        <f>IF($E52&lt;&gt;$M$36,0,COUNTIF($E$39:E52,$M$36))</f>
        <v>0</v>
      </c>
      <c r="N52" s="287" t="e">
        <f t="shared" si="13"/>
        <v>#VALUE!</v>
      </c>
      <c r="O52" s="288" t="b">
        <f t="shared" si="19"/>
        <v>1</v>
      </c>
      <c r="P52" s="777"/>
      <c r="Q52" s="350">
        <f t="shared" si="14"/>
        <v>0</v>
      </c>
      <c r="R52" s="290">
        <f t="shared" si="15"/>
        <v>0</v>
      </c>
      <c r="S52" s="350">
        <f t="shared" si="16"/>
        <v>0</v>
      </c>
      <c r="T52" s="290">
        <f t="shared" si="16"/>
        <v>0</v>
      </c>
      <c r="U52" s="290">
        <f t="shared" si="16"/>
        <v>0</v>
      </c>
      <c r="V52" s="351">
        <f t="shared" si="16"/>
        <v>0</v>
      </c>
      <c r="W52" s="352">
        <f t="shared" si="20"/>
        <v>0</v>
      </c>
      <c r="X52" s="137"/>
      <c r="Y52" s="137"/>
      <c r="Z52" s="137"/>
    </row>
    <row r="53" spans="1:26" ht="15" customHeight="1">
      <c r="A53" s="346">
        <f t="shared" si="21"/>
        <v>15</v>
      </c>
      <c r="B53" s="282"/>
      <c r="C53" s="347"/>
      <c r="D53" s="283"/>
      <c r="E53" s="347"/>
      <c r="F53" s="284"/>
      <c r="G53" s="348">
        <f>IFERROR(INDEX('【様式３】シフト表 '!$AK$7:$AK$106,MATCH($M53,'【様式３】シフト表 '!$B$7:$B$106,0),1),0)</f>
        <v>0</v>
      </c>
      <c r="H53" s="151"/>
      <c r="I53" s="285"/>
      <c r="J53" s="349" t="str">
        <f t="shared" si="17"/>
        <v>-</v>
      </c>
      <c r="K53" s="161"/>
      <c r="L53" s="286" t="b">
        <f t="shared" si="18"/>
        <v>0</v>
      </c>
      <c r="M53" s="287">
        <f>IF($E53&lt;&gt;$M$36,0,COUNTIF($E$39:E53,$M$36))</f>
        <v>0</v>
      </c>
      <c r="N53" s="287" t="e">
        <f t="shared" si="13"/>
        <v>#VALUE!</v>
      </c>
      <c r="O53" s="288" t="b">
        <f t="shared" si="19"/>
        <v>1</v>
      </c>
      <c r="P53" s="777"/>
      <c r="Q53" s="350">
        <f t="shared" si="14"/>
        <v>0</v>
      </c>
      <c r="R53" s="290">
        <f t="shared" si="15"/>
        <v>0</v>
      </c>
      <c r="S53" s="350">
        <f t="shared" si="16"/>
        <v>0</v>
      </c>
      <c r="T53" s="290">
        <f t="shared" si="16"/>
        <v>0</v>
      </c>
      <c r="U53" s="290">
        <f t="shared" si="16"/>
        <v>0</v>
      </c>
      <c r="V53" s="351">
        <f t="shared" si="16"/>
        <v>0</v>
      </c>
      <c r="W53" s="352">
        <f t="shared" si="20"/>
        <v>0</v>
      </c>
      <c r="X53" s="137"/>
      <c r="Y53" s="137"/>
      <c r="Z53" s="137"/>
    </row>
    <row r="54" spans="1:26" ht="15" customHeight="1">
      <c r="A54" s="346">
        <f t="shared" si="21"/>
        <v>16</v>
      </c>
      <c r="B54" s="282"/>
      <c r="C54" s="347"/>
      <c r="D54" s="283"/>
      <c r="E54" s="347"/>
      <c r="F54" s="284"/>
      <c r="G54" s="348">
        <f>IFERROR(INDEX('【様式３】シフト表 '!$AK$7:$AK$106,MATCH($M54,'【様式３】シフト表 '!$B$7:$B$106,0),1),0)</f>
        <v>0</v>
      </c>
      <c r="H54" s="151"/>
      <c r="I54" s="285"/>
      <c r="J54" s="349" t="str">
        <f t="shared" si="17"/>
        <v>-</v>
      </c>
      <c r="K54" s="161"/>
      <c r="L54" s="286" t="b">
        <f t="shared" si="18"/>
        <v>0</v>
      </c>
      <c r="M54" s="287">
        <f>IF($E54&lt;&gt;$M$36,0,COUNTIF($E$39:E54,$M$36))</f>
        <v>0</v>
      </c>
      <c r="N54" s="287" t="e">
        <f t="shared" si="13"/>
        <v>#VALUE!</v>
      </c>
      <c r="O54" s="288" t="b">
        <f t="shared" si="19"/>
        <v>1</v>
      </c>
      <c r="P54" s="777"/>
      <c r="Q54" s="350">
        <f t="shared" si="14"/>
        <v>0</v>
      </c>
      <c r="R54" s="290">
        <f t="shared" si="15"/>
        <v>0</v>
      </c>
      <c r="S54" s="350">
        <f t="shared" si="16"/>
        <v>0</v>
      </c>
      <c r="T54" s="290">
        <f t="shared" si="16"/>
        <v>0</v>
      </c>
      <c r="U54" s="290">
        <f t="shared" si="16"/>
        <v>0</v>
      </c>
      <c r="V54" s="351">
        <f t="shared" si="16"/>
        <v>0</v>
      </c>
      <c r="W54" s="352">
        <f t="shared" si="20"/>
        <v>0</v>
      </c>
      <c r="X54" s="137"/>
      <c r="Y54" s="137"/>
      <c r="Z54" s="137"/>
    </row>
    <row r="55" spans="1:26" ht="15" customHeight="1">
      <c r="A55" s="346">
        <f t="shared" si="21"/>
        <v>17</v>
      </c>
      <c r="B55" s="282"/>
      <c r="C55" s="347"/>
      <c r="D55" s="283"/>
      <c r="E55" s="347"/>
      <c r="F55" s="284"/>
      <c r="G55" s="348">
        <f>IFERROR(INDEX('【様式３】シフト表 '!$AK$7:$AK$106,MATCH($M55,'【様式３】シフト表 '!$B$7:$B$106,0),1),0)</f>
        <v>0</v>
      </c>
      <c r="H55" s="151"/>
      <c r="I55" s="285"/>
      <c r="J55" s="349" t="str">
        <f t="shared" si="17"/>
        <v>-</v>
      </c>
      <c r="K55" s="161"/>
      <c r="L55" s="286" t="b">
        <f t="shared" si="18"/>
        <v>0</v>
      </c>
      <c r="M55" s="287">
        <f>IF($E55&lt;&gt;$M$36,0,COUNTIF($E$39:E55,$M$36))</f>
        <v>0</v>
      </c>
      <c r="N55" s="287" t="e">
        <f t="shared" si="13"/>
        <v>#VALUE!</v>
      </c>
      <c r="O55" s="288" t="b">
        <f t="shared" si="19"/>
        <v>1</v>
      </c>
      <c r="P55" s="777"/>
      <c r="Q55" s="350">
        <f t="shared" si="14"/>
        <v>0</v>
      </c>
      <c r="R55" s="290">
        <f t="shared" si="15"/>
        <v>0</v>
      </c>
      <c r="S55" s="350">
        <f t="shared" si="16"/>
        <v>0</v>
      </c>
      <c r="T55" s="290">
        <f t="shared" si="16"/>
        <v>0</v>
      </c>
      <c r="U55" s="290">
        <f t="shared" si="16"/>
        <v>0</v>
      </c>
      <c r="V55" s="351">
        <f t="shared" si="16"/>
        <v>0</v>
      </c>
      <c r="W55" s="352">
        <f t="shared" si="20"/>
        <v>0</v>
      </c>
      <c r="X55" s="137"/>
      <c r="Y55" s="137"/>
      <c r="Z55" s="137"/>
    </row>
    <row r="56" spans="1:26" ht="15" customHeight="1">
      <c r="A56" s="346">
        <f t="shared" si="21"/>
        <v>18</v>
      </c>
      <c r="B56" s="282"/>
      <c r="C56" s="347"/>
      <c r="D56" s="283"/>
      <c r="E56" s="347"/>
      <c r="F56" s="284"/>
      <c r="G56" s="348">
        <f>IFERROR(INDEX('【様式３】シフト表 '!$AK$7:$AK$106,MATCH($M56,'【様式３】シフト表 '!$B$7:$B$106,0),1),0)</f>
        <v>0</v>
      </c>
      <c r="H56" s="151"/>
      <c r="I56" s="285"/>
      <c r="J56" s="349" t="str">
        <f t="shared" si="17"/>
        <v>-</v>
      </c>
      <c r="K56" s="161"/>
      <c r="L56" s="286" t="b">
        <f t="shared" si="18"/>
        <v>0</v>
      </c>
      <c r="M56" s="287">
        <f>IF($E56&lt;&gt;$M$36,0,COUNTIF($E$39:E56,$M$36))</f>
        <v>0</v>
      </c>
      <c r="N56" s="287" t="e">
        <f t="shared" si="13"/>
        <v>#VALUE!</v>
      </c>
      <c r="O56" s="288" t="b">
        <f t="shared" si="19"/>
        <v>1</v>
      </c>
      <c r="P56" s="777"/>
      <c r="Q56" s="350">
        <f t="shared" si="14"/>
        <v>0</v>
      </c>
      <c r="R56" s="290">
        <f t="shared" si="15"/>
        <v>0</v>
      </c>
      <c r="S56" s="350">
        <f t="shared" si="16"/>
        <v>0</v>
      </c>
      <c r="T56" s="290">
        <f t="shared" si="16"/>
        <v>0</v>
      </c>
      <c r="U56" s="290">
        <f t="shared" si="16"/>
        <v>0</v>
      </c>
      <c r="V56" s="351">
        <f t="shared" si="16"/>
        <v>0</v>
      </c>
      <c r="W56" s="352">
        <f t="shared" si="20"/>
        <v>0</v>
      </c>
      <c r="X56" s="137"/>
      <c r="Y56" s="137"/>
      <c r="Z56" s="137"/>
    </row>
    <row r="57" spans="1:26" ht="15" customHeight="1">
      <c r="A57" s="346">
        <f t="shared" si="21"/>
        <v>19</v>
      </c>
      <c r="B57" s="282"/>
      <c r="C57" s="347"/>
      <c r="D57" s="283"/>
      <c r="E57" s="347"/>
      <c r="F57" s="284"/>
      <c r="G57" s="348">
        <f>IFERROR(INDEX('【様式３】シフト表 '!$AK$7:$AK$106,MATCH($M57,'【様式３】シフト表 '!$B$7:$B$106,0),1),0)</f>
        <v>0</v>
      </c>
      <c r="H57" s="151"/>
      <c r="I57" s="285"/>
      <c r="J57" s="349" t="str">
        <f t="shared" si="17"/>
        <v>-</v>
      </c>
      <c r="K57" s="161"/>
      <c r="L57" s="286" t="b">
        <f t="shared" si="18"/>
        <v>0</v>
      </c>
      <c r="M57" s="287">
        <f>IF($E57&lt;&gt;$M$36,0,COUNTIF($E$39:E57,$M$36))</f>
        <v>0</v>
      </c>
      <c r="N57" s="287" t="e">
        <f t="shared" si="13"/>
        <v>#VALUE!</v>
      </c>
      <c r="O57" s="288" t="b">
        <f t="shared" si="19"/>
        <v>1</v>
      </c>
      <c r="P57" s="777"/>
      <c r="Q57" s="350">
        <f t="shared" si="14"/>
        <v>0</v>
      </c>
      <c r="R57" s="290">
        <f t="shared" si="15"/>
        <v>0</v>
      </c>
      <c r="S57" s="350">
        <f t="shared" si="16"/>
        <v>0</v>
      </c>
      <c r="T57" s="290">
        <f t="shared" si="16"/>
        <v>0</v>
      </c>
      <c r="U57" s="290">
        <f t="shared" si="16"/>
        <v>0</v>
      </c>
      <c r="V57" s="351">
        <f t="shared" si="16"/>
        <v>0</v>
      </c>
      <c r="W57" s="352">
        <f t="shared" si="20"/>
        <v>0</v>
      </c>
      <c r="X57" s="137"/>
      <c r="Y57" s="137"/>
      <c r="Z57" s="137"/>
    </row>
    <row r="58" spans="1:26" ht="15" customHeight="1">
      <c r="A58" s="346">
        <f t="shared" si="21"/>
        <v>20</v>
      </c>
      <c r="B58" s="282"/>
      <c r="C58" s="347"/>
      <c r="D58" s="283"/>
      <c r="E58" s="347"/>
      <c r="F58" s="284"/>
      <c r="G58" s="348">
        <f>IFERROR(INDEX('【様式３】シフト表 '!$AK$7:$AK$106,MATCH($M58,'【様式３】シフト表 '!$B$7:$B$106,0),1),0)</f>
        <v>0</v>
      </c>
      <c r="H58" s="151"/>
      <c r="I58" s="285"/>
      <c r="J58" s="349" t="str">
        <f t="shared" si="17"/>
        <v>-</v>
      </c>
      <c r="K58" s="161"/>
      <c r="L58" s="286" t="b">
        <f t="shared" si="18"/>
        <v>0</v>
      </c>
      <c r="M58" s="287">
        <f>IF($E58&lt;&gt;$M$36,0,COUNTIF($E$39:E58,$M$36))</f>
        <v>0</v>
      </c>
      <c r="N58" s="287" t="e">
        <f t="shared" si="13"/>
        <v>#VALUE!</v>
      </c>
      <c r="O58" s="288" t="b">
        <f t="shared" si="19"/>
        <v>1</v>
      </c>
      <c r="P58" s="777"/>
      <c r="Q58" s="350">
        <f t="shared" si="14"/>
        <v>0</v>
      </c>
      <c r="R58" s="290">
        <f t="shared" si="15"/>
        <v>0</v>
      </c>
      <c r="S58" s="350">
        <f t="shared" si="16"/>
        <v>0</v>
      </c>
      <c r="T58" s="290">
        <f t="shared" si="16"/>
        <v>0</v>
      </c>
      <c r="U58" s="290">
        <f t="shared" si="16"/>
        <v>0</v>
      </c>
      <c r="V58" s="351">
        <f t="shared" si="16"/>
        <v>0</v>
      </c>
      <c r="W58" s="352">
        <f t="shared" si="20"/>
        <v>0</v>
      </c>
      <c r="X58" s="137"/>
      <c r="Y58" s="137"/>
      <c r="Z58" s="137"/>
    </row>
    <row r="59" spans="1:26" ht="15" customHeight="1">
      <c r="A59" s="346">
        <f t="shared" si="21"/>
        <v>21</v>
      </c>
      <c r="B59" s="282"/>
      <c r="C59" s="347"/>
      <c r="D59" s="283"/>
      <c r="E59" s="347"/>
      <c r="F59" s="284"/>
      <c r="G59" s="348">
        <f>IFERROR(INDEX('【様式３】シフト表 '!$AK$7:$AK$106,MATCH($M59,'【様式３】シフト表 '!$B$7:$B$106,0),1),0)</f>
        <v>0</v>
      </c>
      <c r="H59" s="151"/>
      <c r="I59" s="285"/>
      <c r="J59" s="349" t="str">
        <f t="shared" si="17"/>
        <v>-</v>
      </c>
      <c r="K59" s="161"/>
      <c r="L59" s="286" t="b">
        <f t="shared" si="18"/>
        <v>0</v>
      </c>
      <c r="M59" s="287">
        <f>IF($E59&lt;&gt;$M$36,0,COUNTIF($E$39:E59,$M$36))</f>
        <v>0</v>
      </c>
      <c r="N59" s="287" t="e">
        <f t="shared" si="13"/>
        <v>#VALUE!</v>
      </c>
      <c r="O59" s="288" t="b">
        <f t="shared" si="19"/>
        <v>1</v>
      </c>
      <c r="P59" s="777"/>
      <c r="Q59" s="350">
        <f t="shared" si="14"/>
        <v>0</v>
      </c>
      <c r="R59" s="290">
        <f t="shared" si="15"/>
        <v>0</v>
      </c>
      <c r="S59" s="350">
        <f t="shared" ref="S59:V78" si="22">IF(AND($E59=S$35,$F59=S$36),$J59,0)</f>
        <v>0</v>
      </c>
      <c r="T59" s="290">
        <f t="shared" si="22"/>
        <v>0</v>
      </c>
      <c r="U59" s="290">
        <f t="shared" si="22"/>
        <v>0</v>
      </c>
      <c r="V59" s="351">
        <f t="shared" si="22"/>
        <v>0</v>
      </c>
      <c r="W59" s="352">
        <f t="shared" si="20"/>
        <v>0</v>
      </c>
      <c r="X59" s="137"/>
      <c r="Y59" s="137"/>
      <c r="Z59" s="137"/>
    </row>
    <row r="60" spans="1:26" ht="15" customHeight="1">
      <c r="A60" s="346">
        <f t="shared" si="21"/>
        <v>22</v>
      </c>
      <c r="B60" s="282"/>
      <c r="C60" s="347"/>
      <c r="D60" s="283"/>
      <c r="E60" s="347"/>
      <c r="F60" s="284"/>
      <c r="G60" s="348">
        <f>IFERROR(INDEX('【様式３】シフト表 '!$AK$7:$AK$106,MATCH($M60,'【様式３】シフト表 '!$B$7:$B$106,0),1),0)</f>
        <v>0</v>
      </c>
      <c r="H60" s="151"/>
      <c r="I60" s="285"/>
      <c r="J60" s="349" t="str">
        <f t="shared" si="17"/>
        <v>-</v>
      </c>
      <c r="K60" s="161"/>
      <c r="L60" s="286" t="b">
        <f t="shared" si="18"/>
        <v>0</v>
      </c>
      <c r="M60" s="287">
        <f>IF($E60&lt;&gt;$M$36,0,COUNTIF($E$39:E60,$M$36))</f>
        <v>0</v>
      </c>
      <c r="N60" s="287" t="e">
        <f t="shared" si="13"/>
        <v>#VALUE!</v>
      </c>
      <c r="O60" s="288" t="b">
        <f t="shared" si="19"/>
        <v>1</v>
      </c>
      <c r="P60" s="777"/>
      <c r="Q60" s="350">
        <f t="shared" si="14"/>
        <v>0</v>
      </c>
      <c r="R60" s="290">
        <f t="shared" si="15"/>
        <v>0</v>
      </c>
      <c r="S60" s="350">
        <f t="shared" si="22"/>
        <v>0</v>
      </c>
      <c r="T60" s="290">
        <f t="shared" si="22"/>
        <v>0</v>
      </c>
      <c r="U60" s="290">
        <f t="shared" si="22"/>
        <v>0</v>
      </c>
      <c r="V60" s="351">
        <f t="shared" si="22"/>
        <v>0</v>
      </c>
      <c r="W60" s="352">
        <f t="shared" si="20"/>
        <v>0</v>
      </c>
      <c r="X60" s="137"/>
      <c r="Y60" s="137"/>
      <c r="Z60" s="137"/>
    </row>
    <row r="61" spans="1:26" ht="15" customHeight="1">
      <c r="A61" s="346">
        <f t="shared" si="21"/>
        <v>23</v>
      </c>
      <c r="B61" s="282"/>
      <c r="C61" s="347"/>
      <c r="D61" s="283"/>
      <c r="E61" s="347"/>
      <c r="F61" s="284"/>
      <c r="G61" s="348">
        <f>IFERROR(INDEX('【様式３】シフト表 '!$AK$7:$AK$106,MATCH($M61,'【様式３】シフト表 '!$B$7:$B$106,0),1),0)</f>
        <v>0</v>
      </c>
      <c r="H61" s="151"/>
      <c r="I61" s="285"/>
      <c r="J61" s="349" t="str">
        <f t="shared" si="17"/>
        <v>-</v>
      </c>
      <c r="K61" s="161"/>
      <c r="L61" s="286" t="b">
        <f t="shared" si="18"/>
        <v>0</v>
      </c>
      <c r="M61" s="287">
        <f>IF($E61&lt;&gt;$M$36,0,COUNTIF($E$39:E61,$M$36))</f>
        <v>0</v>
      </c>
      <c r="N61" s="287" t="e">
        <f t="shared" si="13"/>
        <v>#VALUE!</v>
      </c>
      <c r="O61" s="288" t="b">
        <f t="shared" si="19"/>
        <v>1</v>
      </c>
      <c r="P61" s="777"/>
      <c r="Q61" s="350">
        <f t="shared" si="14"/>
        <v>0</v>
      </c>
      <c r="R61" s="290">
        <f t="shared" si="15"/>
        <v>0</v>
      </c>
      <c r="S61" s="350">
        <f t="shared" si="22"/>
        <v>0</v>
      </c>
      <c r="T61" s="290">
        <f t="shared" si="22"/>
        <v>0</v>
      </c>
      <c r="U61" s="290">
        <f t="shared" si="22"/>
        <v>0</v>
      </c>
      <c r="V61" s="351">
        <f t="shared" si="22"/>
        <v>0</v>
      </c>
      <c r="W61" s="352">
        <f t="shared" si="20"/>
        <v>0</v>
      </c>
      <c r="X61" s="137"/>
      <c r="Y61" s="137"/>
      <c r="Z61" s="137"/>
    </row>
    <row r="62" spans="1:26" ht="15" customHeight="1">
      <c r="A62" s="346">
        <f t="shared" si="21"/>
        <v>24</v>
      </c>
      <c r="B62" s="282"/>
      <c r="C62" s="347"/>
      <c r="D62" s="283"/>
      <c r="E62" s="347"/>
      <c r="F62" s="284"/>
      <c r="G62" s="348">
        <f>IFERROR(INDEX('【様式３】シフト表 '!$AK$7:$AK$106,MATCH($M62,'【様式３】シフト表 '!$B$7:$B$106,0),1),0)</f>
        <v>0</v>
      </c>
      <c r="H62" s="151"/>
      <c r="I62" s="285"/>
      <c r="J62" s="349" t="str">
        <f t="shared" si="17"/>
        <v>-</v>
      </c>
      <c r="K62" s="161"/>
      <c r="L62" s="286" t="b">
        <f t="shared" si="18"/>
        <v>0</v>
      </c>
      <c r="M62" s="287">
        <f>IF($E62&lt;&gt;$M$36,0,COUNTIF($E$39:E62,$M$36))</f>
        <v>0</v>
      </c>
      <c r="N62" s="287" t="e">
        <f t="shared" si="13"/>
        <v>#VALUE!</v>
      </c>
      <c r="O62" s="288" t="b">
        <f t="shared" si="19"/>
        <v>1</v>
      </c>
      <c r="P62" s="777"/>
      <c r="Q62" s="350">
        <f t="shared" si="14"/>
        <v>0</v>
      </c>
      <c r="R62" s="290">
        <f t="shared" si="15"/>
        <v>0</v>
      </c>
      <c r="S62" s="350">
        <f t="shared" si="22"/>
        <v>0</v>
      </c>
      <c r="T62" s="290">
        <f t="shared" si="22"/>
        <v>0</v>
      </c>
      <c r="U62" s="290">
        <f t="shared" si="22"/>
        <v>0</v>
      </c>
      <c r="V62" s="351">
        <f t="shared" si="22"/>
        <v>0</v>
      </c>
      <c r="W62" s="352">
        <f t="shared" si="20"/>
        <v>0</v>
      </c>
      <c r="X62" s="137"/>
      <c r="Y62" s="137"/>
      <c r="Z62" s="137"/>
    </row>
    <row r="63" spans="1:26" ht="15" customHeight="1">
      <c r="A63" s="346">
        <f t="shared" si="21"/>
        <v>25</v>
      </c>
      <c r="B63" s="282"/>
      <c r="C63" s="347"/>
      <c r="D63" s="283"/>
      <c r="E63" s="347"/>
      <c r="F63" s="284"/>
      <c r="G63" s="348">
        <f>IFERROR(INDEX('【様式３】シフト表 '!$AK$7:$AK$106,MATCH($M63,'【様式３】シフト表 '!$B$7:$B$106,0),1),0)</f>
        <v>0</v>
      </c>
      <c r="H63" s="151"/>
      <c r="I63" s="285"/>
      <c r="J63" s="349" t="str">
        <f t="shared" si="17"/>
        <v>-</v>
      </c>
      <c r="K63" s="161"/>
      <c r="L63" s="286" t="b">
        <f t="shared" si="18"/>
        <v>0</v>
      </c>
      <c r="M63" s="287">
        <f>IF($E63&lt;&gt;$M$36,0,COUNTIF($E$39:E63,$M$36))</f>
        <v>0</v>
      </c>
      <c r="N63" s="287" t="e">
        <f t="shared" si="13"/>
        <v>#VALUE!</v>
      </c>
      <c r="O63" s="288" t="b">
        <f t="shared" si="19"/>
        <v>1</v>
      </c>
      <c r="P63" s="777"/>
      <c r="Q63" s="350">
        <f t="shared" si="14"/>
        <v>0</v>
      </c>
      <c r="R63" s="290">
        <f t="shared" si="15"/>
        <v>0</v>
      </c>
      <c r="S63" s="350">
        <f t="shared" si="22"/>
        <v>0</v>
      </c>
      <c r="T63" s="290">
        <f t="shared" si="22"/>
        <v>0</v>
      </c>
      <c r="U63" s="290">
        <f t="shared" si="22"/>
        <v>0</v>
      </c>
      <c r="V63" s="351">
        <f t="shared" si="22"/>
        <v>0</v>
      </c>
      <c r="W63" s="352">
        <f t="shared" si="20"/>
        <v>0</v>
      </c>
      <c r="X63" s="137"/>
      <c r="Y63" s="137"/>
      <c r="Z63" s="137"/>
    </row>
    <row r="64" spans="1:26" ht="15" customHeight="1">
      <c r="A64" s="346">
        <f t="shared" si="21"/>
        <v>26</v>
      </c>
      <c r="B64" s="282"/>
      <c r="C64" s="347"/>
      <c r="D64" s="283"/>
      <c r="E64" s="347"/>
      <c r="F64" s="284"/>
      <c r="G64" s="348">
        <f>IFERROR(INDEX('【様式３】シフト表 '!$AK$7:$AK$106,MATCH($M64,'【様式３】シフト表 '!$B$7:$B$106,0),1),0)</f>
        <v>0</v>
      </c>
      <c r="H64" s="151"/>
      <c r="I64" s="285"/>
      <c r="J64" s="349" t="str">
        <f t="shared" si="17"/>
        <v>-</v>
      </c>
      <c r="K64" s="161"/>
      <c r="L64" s="286" t="b">
        <f t="shared" si="18"/>
        <v>0</v>
      </c>
      <c r="M64" s="287">
        <f>IF($E64&lt;&gt;$M$36,0,COUNTIF($E$39:E64,$M$36))</f>
        <v>0</v>
      </c>
      <c r="N64" s="287" t="e">
        <f t="shared" si="13"/>
        <v>#VALUE!</v>
      </c>
      <c r="O64" s="288" t="b">
        <f t="shared" si="19"/>
        <v>1</v>
      </c>
      <c r="P64" s="777"/>
      <c r="Q64" s="350">
        <f t="shared" si="14"/>
        <v>0</v>
      </c>
      <c r="R64" s="290">
        <f t="shared" si="15"/>
        <v>0</v>
      </c>
      <c r="S64" s="350">
        <f t="shared" si="22"/>
        <v>0</v>
      </c>
      <c r="T64" s="290">
        <f t="shared" si="22"/>
        <v>0</v>
      </c>
      <c r="U64" s="290">
        <f t="shared" si="22"/>
        <v>0</v>
      </c>
      <c r="V64" s="351">
        <f t="shared" si="22"/>
        <v>0</v>
      </c>
      <c r="W64" s="352">
        <f t="shared" si="20"/>
        <v>0</v>
      </c>
      <c r="X64" s="137"/>
      <c r="Y64" s="137"/>
      <c r="Z64" s="137"/>
    </row>
    <row r="65" spans="1:26" ht="15" customHeight="1">
      <c r="A65" s="346">
        <f t="shared" si="21"/>
        <v>27</v>
      </c>
      <c r="B65" s="282"/>
      <c r="C65" s="347"/>
      <c r="D65" s="283"/>
      <c r="E65" s="347"/>
      <c r="F65" s="284"/>
      <c r="G65" s="348">
        <f>IFERROR(INDEX('【様式３】シフト表 '!$AK$7:$AK$106,MATCH($M65,'【様式３】シフト表 '!$B$7:$B$106,0),1),0)</f>
        <v>0</v>
      </c>
      <c r="H65" s="151"/>
      <c r="I65" s="285"/>
      <c r="J65" s="349" t="str">
        <f t="shared" si="17"/>
        <v>-</v>
      </c>
      <c r="K65" s="161"/>
      <c r="L65" s="286" t="b">
        <f t="shared" si="18"/>
        <v>0</v>
      </c>
      <c r="M65" s="287">
        <f>IF($E65&lt;&gt;$M$36,0,COUNTIF($E$39:E65,$M$36))</f>
        <v>0</v>
      </c>
      <c r="N65" s="287" t="e">
        <f t="shared" si="13"/>
        <v>#VALUE!</v>
      </c>
      <c r="O65" s="288" t="b">
        <f t="shared" si="19"/>
        <v>1</v>
      </c>
      <c r="P65" s="777"/>
      <c r="Q65" s="350">
        <f t="shared" si="14"/>
        <v>0</v>
      </c>
      <c r="R65" s="290">
        <f t="shared" si="15"/>
        <v>0</v>
      </c>
      <c r="S65" s="350">
        <f t="shared" si="22"/>
        <v>0</v>
      </c>
      <c r="T65" s="290">
        <f t="shared" si="22"/>
        <v>0</v>
      </c>
      <c r="U65" s="290">
        <f t="shared" si="22"/>
        <v>0</v>
      </c>
      <c r="V65" s="351">
        <f t="shared" si="22"/>
        <v>0</v>
      </c>
      <c r="W65" s="352">
        <f t="shared" si="20"/>
        <v>0</v>
      </c>
      <c r="X65" s="137"/>
      <c r="Y65" s="137"/>
      <c r="Z65" s="137"/>
    </row>
    <row r="66" spans="1:26" ht="15" customHeight="1">
      <c r="A66" s="346">
        <f t="shared" si="21"/>
        <v>28</v>
      </c>
      <c r="B66" s="282"/>
      <c r="C66" s="347"/>
      <c r="D66" s="283"/>
      <c r="E66" s="347"/>
      <c r="F66" s="284"/>
      <c r="G66" s="348">
        <f>IFERROR(INDEX('【様式３】シフト表 '!$AK$7:$AK$106,MATCH($M66,'【様式３】シフト表 '!$B$7:$B$106,0),1),0)</f>
        <v>0</v>
      </c>
      <c r="H66" s="151"/>
      <c r="I66" s="285"/>
      <c r="J66" s="349" t="str">
        <f t="shared" si="17"/>
        <v>-</v>
      </c>
      <c r="K66" s="161"/>
      <c r="L66" s="286" t="b">
        <f t="shared" si="18"/>
        <v>0</v>
      </c>
      <c r="M66" s="287">
        <f>IF($E66&lt;&gt;$M$36,0,COUNTIF($E$39:E66,$M$36))</f>
        <v>0</v>
      </c>
      <c r="N66" s="287" t="e">
        <f t="shared" si="13"/>
        <v>#VALUE!</v>
      </c>
      <c r="O66" s="288" t="b">
        <f t="shared" si="19"/>
        <v>1</v>
      </c>
      <c r="P66" s="777"/>
      <c r="Q66" s="350">
        <f t="shared" si="14"/>
        <v>0</v>
      </c>
      <c r="R66" s="290">
        <f t="shared" si="15"/>
        <v>0</v>
      </c>
      <c r="S66" s="350">
        <f t="shared" si="22"/>
        <v>0</v>
      </c>
      <c r="T66" s="290">
        <f t="shared" si="22"/>
        <v>0</v>
      </c>
      <c r="U66" s="290">
        <f t="shared" si="22"/>
        <v>0</v>
      </c>
      <c r="V66" s="351">
        <f t="shared" si="22"/>
        <v>0</v>
      </c>
      <c r="W66" s="352">
        <f t="shared" si="20"/>
        <v>0</v>
      </c>
      <c r="X66" s="137"/>
      <c r="Y66" s="137"/>
      <c r="Z66" s="137"/>
    </row>
    <row r="67" spans="1:26" ht="15" customHeight="1">
      <c r="A67" s="346">
        <f t="shared" si="21"/>
        <v>29</v>
      </c>
      <c r="B67" s="282"/>
      <c r="C67" s="347"/>
      <c r="D67" s="283"/>
      <c r="E67" s="347"/>
      <c r="F67" s="284"/>
      <c r="G67" s="348">
        <f>IFERROR(INDEX('【様式３】シフト表 '!$AK$7:$AK$106,MATCH($M67,'【様式３】シフト表 '!$B$7:$B$106,0),1),0)</f>
        <v>0</v>
      </c>
      <c r="H67" s="151"/>
      <c r="I67" s="285"/>
      <c r="J67" s="349" t="str">
        <f t="shared" si="17"/>
        <v>-</v>
      </c>
      <c r="K67" s="161"/>
      <c r="L67" s="286" t="b">
        <f t="shared" si="18"/>
        <v>0</v>
      </c>
      <c r="M67" s="287">
        <f>IF($E67&lt;&gt;$M$36,0,COUNTIF($E$39:E67,$M$36))</f>
        <v>0</v>
      </c>
      <c r="N67" s="287" t="e">
        <f t="shared" si="13"/>
        <v>#VALUE!</v>
      </c>
      <c r="O67" s="288" t="b">
        <f t="shared" si="19"/>
        <v>1</v>
      </c>
      <c r="P67" s="777"/>
      <c r="Q67" s="350">
        <f t="shared" si="14"/>
        <v>0</v>
      </c>
      <c r="R67" s="290">
        <f t="shared" si="15"/>
        <v>0</v>
      </c>
      <c r="S67" s="350">
        <f t="shared" si="22"/>
        <v>0</v>
      </c>
      <c r="T67" s="290">
        <f t="shared" si="22"/>
        <v>0</v>
      </c>
      <c r="U67" s="290">
        <f t="shared" si="22"/>
        <v>0</v>
      </c>
      <c r="V67" s="351">
        <f t="shared" si="22"/>
        <v>0</v>
      </c>
      <c r="W67" s="352">
        <f t="shared" si="20"/>
        <v>0</v>
      </c>
      <c r="X67" s="137"/>
      <c r="Y67" s="137"/>
      <c r="Z67" s="137"/>
    </row>
    <row r="68" spans="1:26" ht="15" customHeight="1">
      <c r="A68" s="346">
        <f t="shared" si="21"/>
        <v>30</v>
      </c>
      <c r="B68" s="282"/>
      <c r="C68" s="347"/>
      <c r="D68" s="283"/>
      <c r="E68" s="347"/>
      <c r="F68" s="284"/>
      <c r="G68" s="348">
        <f>IFERROR(INDEX('【様式３】シフト表 '!$AK$7:$AK$106,MATCH($M68,'【様式３】シフト表 '!$B$7:$B$106,0),1),0)</f>
        <v>0</v>
      </c>
      <c r="H68" s="151"/>
      <c r="I68" s="285"/>
      <c r="J68" s="349" t="str">
        <f t="shared" si="17"/>
        <v>-</v>
      </c>
      <c r="K68" s="161"/>
      <c r="L68" s="286" t="b">
        <f t="shared" si="18"/>
        <v>0</v>
      </c>
      <c r="M68" s="287">
        <f>IF($E68&lt;&gt;$M$36,0,COUNTIF($E$39:E68,$M$36))</f>
        <v>0</v>
      </c>
      <c r="N68" s="287" t="e">
        <f t="shared" si="13"/>
        <v>#VALUE!</v>
      </c>
      <c r="O68" s="288" t="b">
        <f t="shared" si="19"/>
        <v>1</v>
      </c>
      <c r="P68" s="777"/>
      <c r="Q68" s="350">
        <f t="shared" si="14"/>
        <v>0</v>
      </c>
      <c r="R68" s="290">
        <f t="shared" si="15"/>
        <v>0</v>
      </c>
      <c r="S68" s="350">
        <f t="shared" si="22"/>
        <v>0</v>
      </c>
      <c r="T68" s="290">
        <f t="shared" si="22"/>
        <v>0</v>
      </c>
      <c r="U68" s="290">
        <f t="shared" si="22"/>
        <v>0</v>
      </c>
      <c r="V68" s="351">
        <f t="shared" si="22"/>
        <v>0</v>
      </c>
      <c r="W68" s="352">
        <f t="shared" si="20"/>
        <v>0</v>
      </c>
      <c r="X68" s="137"/>
      <c r="Y68" s="137"/>
      <c r="Z68" s="137"/>
    </row>
    <row r="69" spans="1:26" ht="15" customHeight="1">
      <c r="A69" s="346">
        <f t="shared" si="21"/>
        <v>31</v>
      </c>
      <c r="B69" s="282"/>
      <c r="C69" s="347"/>
      <c r="D69" s="283"/>
      <c r="E69" s="347"/>
      <c r="F69" s="284"/>
      <c r="G69" s="348">
        <f>IFERROR(INDEX('【様式３】シフト表 '!$AK$7:$AK$106,MATCH($M69,'【様式３】シフト表 '!$B$7:$B$106,0),1),0)</f>
        <v>0</v>
      </c>
      <c r="H69" s="151"/>
      <c r="I69" s="285"/>
      <c r="J69" s="349" t="str">
        <f t="shared" si="17"/>
        <v>-</v>
      </c>
      <c r="K69" s="161"/>
      <c r="L69" s="286" t="b">
        <f t="shared" si="18"/>
        <v>0</v>
      </c>
      <c r="M69" s="287">
        <f>IF($E69&lt;&gt;$M$36,0,COUNTIF($E$39:E69,$M$36))</f>
        <v>0</v>
      </c>
      <c r="N69" s="287" t="e">
        <f t="shared" si="13"/>
        <v>#VALUE!</v>
      </c>
      <c r="O69" s="288" t="b">
        <f t="shared" si="19"/>
        <v>1</v>
      </c>
      <c r="P69" s="777"/>
      <c r="Q69" s="350">
        <f t="shared" si="14"/>
        <v>0</v>
      </c>
      <c r="R69" s="290">
        <f t="shared" si="15"/>
        <v>0</v>
      </c>
      <c r="S69" s="350">
        <f t="shared" si="22"/>
        <v>0</v>
      </c>
      <c r="T69" s="290">
        <f t="shared" si="22"/>
        <v>0</v>
      </c>
      <c r="U69" s="290">
        <f t="shared" si="22"/>
        <v>0</v>
      </c>
      <c r="V69" s="351">
        <f t="shared" si="22"/>
        <v>0</v>
      </c>
      <c r="W69" s="352">
        <f t="shared" si="20"/>
        <v>0</v>
      </c>
      <c r="X69" s="137"/>
      <c r="Y69" s="137"/>
      <c r="Z69" s="137"/>
    </row>
    <row r="70" spans="1:26" ht="15" customHeight="1">
      <c r="A70" s="346">
        <f t="shared" si="21"/>
        <v>32</v>
      </c>
      <c r="B70" s="282"/>
      <c r="C70" s="347"/>
      <c r="D70" s="283"/>
      <c r="E70" s="347"/>
      <c r="F70" s="284"/>
      <c r="G70" s="348">
        <f>IFERROR(INDEX('【様式３】シフト表 '!$AK$7:$AK$106,MATCH($M70,'【様式３】シフト表 '!$B$7:$B$106,0),1),0)</f>
        <v>0</v>
      </c>
      <c r="H70" s="151"/>
      <c r="I70" s="285"/>
      <c r="J70" s="349" t="str">
        <f t="shared" si="17"/>
        <v>-</v>
      </c>
      <c r="K70" s="161"/>
      <c r="L70" s="286" t="b">
        <f t="shared" si="18"/>
        <v>0</v>
      </c>
      <c r="M70" s="287">
        <f>IF($E70&lt;&gt;$M$36,0,COUNTIF($E$39:E70,$M$36))</f>
        <v>0</v>
      </c>
      <c r="N70" s="287" t="e">
        <f t="shared" si="13"/>
        <v>#VALUE!</v>
      </c>
      <c r="O70" s="288" t="b">
        <f t="shared" si="19"/>
        <v>1</v>
      </c>
      <c r="P70" s="777"/>
      <c r="Q70" s="350">
        <f t="shared" si="14"/>
        <v>0</v>
      </c>
      <c r="R70" s="290">
        <f t="shared" si="15"/>
        <v>0</v>
      </c>
      <c r="S70" s="350">
        <f t="shared" si="22"/>
        <v>0</v>
      </c>
      <c r="T70" s="290">
        <f t="shared" si="22"/>
        <v>0</v>
      </c>
      <c r="U70" s="290">
        <f t="shared" si="22"/>
        <v>0</v>
      </c>
      <c r="V70" s="351">
        <f t="shared" si="22"/>
        <v>0</v>
      </c>
      <c r="W70" s="352">
        <f t="shared" si="20"/>
        <v>0</v>
      </c>
      <c r="X70" s="137"/>
      <c r="Y70" s="137"/>
      <c r="Z70" s="137"/>
    </row>
    <row r="71" spans="1:26" ht="15" customHeight="1">
      <c r="A71" s="346">
        <f t="shared" si="21"/>
        <v>33</v>
      </c>
      <c r="B71" s="282"/>
      <c r="C71" s="347"/>
      <c r="D71" s="283"/>
      <c r="E71" s="347"/>
      <c r="F71" s="284"/>
      <c r="G71" s="348">
        <f>IFERROR(INDEX('【様式３】シフト表 '!$AK$7:$AK$106,MATCH($M71,'【様式３】シフト表 '!$B$7:$B$106,0),1),0)</f>
        <v>0</v>
      </c>
      <c r="H71" s="151"/>
      <c r="I71" s="285"/>
      <c r="J71" s="349" t="str">
        <f t="shared" si="17"/>
        <v>-</v>
      </c>
      <c r="K71" s="161"/>
      <c r="L71" s="286" t="b">
        <f t="shared" si="18"/>
        <v>0</v>
      </c>
      <c r="M71" s="287">
        <f>IF($E71&lt;&gt;$M$36,0,COUNTIF($E$39:E71,$M$36))</f>
        <v>0</v>
      </c>
      <c r="N71" s="287" t="e">
        <f t="shared" ref="N71:N102" si="23">OR($H71&gt;$H$37,AND($E71=$AA$26,$F71&lt;&gt;$AB$26,$F71&lt;&gt;$AB$27,$F71&lt;&gt;$AB$28,$F71&lt;&gt;$AB$29),AND($E71=$AA$27,$F71&lt;&gt;$AC$26,$F71&lt;&gt;$AC$27,$F71&lt;&gt;$AC$28,$F71&lt;&gt;$AC$29))</f>
        <v>#VALUE!</v>
      </c>
      <c r="O71" s="288" t="b">
        <f t="shared" si="19"/>
        <v>1</v>
      </c>
      <c r="P71" s="777"/>
      <c r="Q71" s="350">
        <f t="shared" si="14"/>
        <v>0</v>
      </c>
      <c r="R71" s="290">
        <f t="shared" si="15"/>
        <v>0</v>
      </c>
      <c r="S71" s="350">
        <f t="shared" si="22"/>
        <v>0</v>
      </c>
      <c r="T71" s="290">
        <f t="shared" si="22"/>
        <v>0</v>
      </c>
      <c r="U71" s="290">
        <f t="shared" si="22"/>
        <v>0</v>
      </c>
      <c r="V71" s="351">
        <f t="shared" si="22"/>
        <v>0</v>
      </c>
      <c r="W71" s="352">
        <f t="shared" si="20"/>
        <v>0</v>
      </c>
      <c r="X71" s="137"/>
      <c r="Y71" s="137"/>
      <c r="Z71" s="137"/>
    </row>
    <row r="72" spans="1:26" ht="15" customHeight="1">
      <c r="A72" s="346">
        <f t="shared" si="21"/>
        <v>34</v>
      </c>
      <c r="B72" s="282"/>
      <c r="C72" s="347"/>
      <c r="D72" s="283"/>
      <c r="E72" s="347"/>
      <c r="F72" s="284"/>
      <c r="G72" s="348">
        <f>IFERROR(INDEX('【様式３】シフト表 '!$AK$7:$AK$106,MATCH($M72,'【様式３】シフト表 '!$B$7:$B$106,0),1),0)</f>
        <v>0</v>
      </c>
      <c r="H72" s="151"/>
      <c r="I72" s="285"/>
      <c r="J72" s="349" t="str">
        <f t="shared" si="17"/>
        <v>-</v>
      </c>
      <c r="K72" s="161"/>
      <c r="L72" s="286" t="b">
        <f t="shared" si="18"/>
        <v>0</v>
      </c>
      <c r="M72" s="287">
        <f>IF($E72&lt;&gt;$M$36,0,COUNTIF($E$39:E72,$M$36))</f>
        <v>0</v>
      </c>
      <c r="N72" s="287" t="e">
        <f t="shared" si="23"/>
        <v>#VALUE!</v>
      </c>
      <c r="O72" s="288" t="b">
        <f t="shared" si="19"/>
        <v>1</v>
      </c>
      <c r="P72" s="777"/>
      <c r="Q72" s="350">
        <f t="shared" si="14"/>
        <v>0</v>
      </c>
      <c r="R72" s="290">
        <f t="shared" si="15"/>
        <v>0</v>
      </c>
      <c r="S72" s="350">
        <f t="shared" si="22"/>
        <v>0</v>
      </c>
      <c r="T72" s="290">
        <f t="shared" si="22"/>
        <v>0</v>
      </c>
      <c r="U72" s="290">
        <f t="shared" si="22"/>
        <v>0</v>
      </c>
      <c r="V72" s="351">
        <f t="shared" si="22"/>
        <v>0</v>
      </c>
      <c r="W72" s="352">
        <f t="shared" si="20"/>
        <v>0</v>
      </c>
      <c r="X72" s="137"/>
      <c r="Y72" s="137"/>
      <c r="Z72" s="137"/>
    </row>
    <row r="73" spans="1:26" ht="15" customHeight="1">
      <c r="A73" s="346">
        <f t="shared" si="21"/>
        <v>35</v>
      </c>
      <c r="B73" s="282"/>
      <c r="C73" s="347"/>
      <c r="D73" s="283"/>
      <c r="E73" s="347"/>
      <c r="F73" s="284"/>
      <c r="G73" s="348">
        <f>IFERROR(INDEX('【様式３】シフト表 '!$AK$7:$AK$106,MATCH($M73,'【様式３】シフト表 '!$B$7:$B$106,0),1),0)</f>
        <v>0</v>
      </c>
      <c r="H73" s="151"/>
      <c r="I73" s="285"/>
      <c r="J73" s="349" t="str">
        <f t="shared" si="17"/>
        <v>-</v>
      </c>
      <c r="K73" s="161"/>
      <c r="L73" s="286" t="b">
        <f t="shared" si="18"/>
        <v>0</v>
      </c>
      <c r="M73" s="287">
        <f>IF($E73&lt;&gt;$M$36,0,COUNTIF($E$39:E73,$M$36))</f>
        <v>0</v>
      </c>
      <c r="N73" s="287" t="e">
        <f t="shared" si="23"/>
        <v>#VALUE!</v>
      </c>
      <c r="O73" s="288" t="b">
        <f t="shared" si="19"/>
        <v>1</v>
      </c>
      <c r="P73" s="777"/>
      <c r="Q73" s="350">
        <f t="shared" si="14"/>
        <v>0</v>
      </c>
      <c r="R73" s="290">
        <f t="shared" si="15"/>
        <v>0</v>
      </c>
      <c r="S73" s="350">
        <f t="shared" si="22"/>
        <v>0</v>
      </c>
      <c r="T73" s="290">
        <f t="shared" si="22"/>
        <v>0</v>
      </c>
      <c r="U73" s="290">
        <f t="shared" si="22"/>
        <v>0</v>
      </c>
      <c r="V73" s="351">
        <f t="shared" si="22"/>
        <v>0</v>
      </c>
      <c r="W73" s="352">
        <f t="shared" si="20"/>
        <v>0</v>
      </c>
      <c r="X73" s="137"/>
      <c r="Y73" s="137"/>
      <c r="Z73" s="137"/>
    </row>
    <row r="74" spans="1:26" ht="15" customHeight="1">
      <c r="A74" s="346">
        <f t="shared" si="21"/>
        <v>36</v>
      </c>
      <c r="B74" s="282"/>
      <c r="C74" s="347"/>
      <c r="D74" s="283"/>
      <c r="E74" s="347"/>
      <c r="F74" s="284"/>
      <c r="G74" s="348">
        <f>IFERROR(INDEX('【様式３】シフト表 '!$AK$7:$AK$106,MATCH($M74,'【様式３】シフト表 '!$B$7:$B$106,0),1),0)</f>
        <v>0</v>
      </c>
      <c r="H74" s="151"/>
      <c r="I74" s="285"/>
      <c r="J74" s="349" t="str">
        <f t="shared" si="17"/>
        <v>-</v>
      </c>
      <c r="K74" s="161"/>
      <c r="L74" s="286" t="b">
        <f t="shared" si="18"/>
        <v>0</v>
      </c>
      <c r="M74" s="287">
        <f>IF($E74&lt;&gt;$M$36,0,COUNTIF($E$39:E74,$M$36))</f>
        <v>0</v>
      </c>
      <c r="N74" s="287" t="e">
        <f t="shared" si="23"/>
        <v>#VALUE!</v>
      </c>
      <c r="O74" s="288" t="b">
        <f t="shared" si="19"/>
        <v>1</v>
      </c>
      <c r="P74" s="777"/>
      <c r="Q74" s="350">
        <f t="shared" si="14"/>
        <v>0</v>
      </c>
      <c r="R74" s="290">
        <f t="shared" si="15"/>
        <v>0</v>
      </c>
      <c r="S74" s="350">
        <f t="shared" si="22"/>
        <v>0</v>
      </c>
      <c r="T74" s="290">
        <f t="shared" si="22"/>
        <v>0</v>
      </c>
      <c r="U74" s="290">
        <f t="shared" si="22"/>
        <v>0</v>
      </c>
      <c r="V74" s="351">
        <f t="shared" si="22"/>
        <v>0</v>
      </c>
      <c r="W74" s="352">
        <f t="shared" si="20"/>
        <v>0</v>
      </c>
      <c r="X74" s="137"/>
      <c r="Y74" s="137"/>
      <c r="Z74" s="137"/>
    </row>
    <row r="75" spans="1:26" ht="15" customHeight="1">
      <c r="A75" s="346">
        <f t="shared" si="21"/>
        <v>37</v>
      </c>
      <c r="B75" s="282"/>
      <c r="C75" s="347"/>
      <c r="D75" s="283"/>
      <c r="E75" s="347"/>
      <c r="F75" s="284"/>
      <c r="G75" s="348">
        <f>IFERROR(INDEX('【様式３】シフト表 '!$AK$7:$AK$106,MATCH($M75,'【様式３】シフト表 '!$B$7:$B$106,0),1),0)</f>
        <v>0</v>
      </c>
      <c r="H75" s="151"/>
      <c r="I75" s="285"/>
      <c r="J75" s="349" t="str">
        <f t="shared" si="17"/>
        <v>-</v>
      </c>
      <c r="K75" s="161"/>
      <c r="L75" s="286" t="b">
        <f t="shared" si="18"/>
        <v>0</v>
      </c>
      <c r="M75" s="287">
        <f>IF($E75&lt;&gt;$M$36,0,COUNTIF($E$39:E75,$M$36))</f>
        <v>0</v>
      </c>
      <c r="N75" s="287" t="e">
        <f t="shared" si="23"/>
        <v>#VALUE!</v>
      </c>
      <c r="O75" s="288" t="b">
        <f t="shared" si="19"/>
        <v>1</v>
      </c>
      <c r="P75" s="777"/>
      <c r="Q75" s="350">
        <f t="shared" si="14"/>
        <v>0</v>
      </c>
      <c r="R75" s="290">
        <f t="shared" si="15"/>
        <v>0</v>
      </c>
      <c r="S75" s="350">
        <f t="shared" si="22"/>
        <v>0</v>
      </c>
      <c r="T75" s="290">
        <f t="shared" si="22"/>
        <v>0</v>
      </c>
      <c r="U75" s="290">
        <f t="shared" si="22"/>
        <v>0</v>
      </c>
      <c r="V75" s="351">
        <f t="shared" si="22"/>
        <v>0</v>
      </c>
      <c r="W75" s="352">
        <f t="shared" si="20"/>
        <v>0</v>
      </c>
      <c r="X75" s="137"/>
      <c r="Y75" s="137"/>
      <c r="Z75" s="137"/>
    </row>
    <row r="76" spans="1:26" ht="15" customHeight="1">
      <c r="A76" s="346">
        <f t="shared" si="21"/>
        <v>38</v>
      </c>
      <c r="B76" s="282"/>
      <c r="C76" s="347"/>
      <c r="D76" s="283"/>
      <c r="E76" s="347"/>
      <c r="F76" s="284"/>
      <c r="G76" s="348">
        <f>IFERROR(INDEX('【様式３】シフト表 '!$AK$7:$AK$106,MATCH($M76,'【様式３】シフト表 '!$B$7:$B$106,0),1),0)</f>
        <v>0</v>
      </c>
      <c r="H76" s="151"/>
      <c r="I76" s="285"/>
      <c r="J76" s="349" t="str">
        <f t="shared" si="17"/>
        <v>-</v>
      </c>
      <c r="K76" s="161"/>
      <c r="L76" s="286" t="b">
        <f t="shared" si="18"/>
        <v>0</v>
      </c>
      <c r="M76" s="287">
        <f>IF($E76&lt;&gt;$M$36,0,COUNTIF($E$39:E76,$M$36))</f>
        <v>0</v>
      </c>
      <c r="N76" s="287" t="e">
        <f t="shared" si="23"/>
        <v>#VALUE!</v>
      </c>
      <c r="O76" s="288" t="b">
        <f t="shared" si="19"/>
        <v>1</v>
      </c>
      <c r="P76" s="777"/>
      <c r="Q76" s="350">
        <f t="shared" si="14"/>
        <v>0</v>
      </c>
      <c r="R76" s="290">
        <f t="shared" si="15"/>
        <v>0</v>
      </c>
      <c r="S76" s="350">
        <f t="shared" si="22"/>
        <v>0</v>
      </c>
      <c r="T76" s="290">
        <f t="shared" si="22"/>
        <v>0</v>
      </c>
      <c r="U76" s="290">
        <f t="shared" si="22"/>
        <v>0</v>
      </c>
      <c r="V76" s="351">
        <f t="shared" si="22"/>
        <v>0</v>
      </c>
      <c r="W76" s="352">
        <f t="shared" si="20"/>
        <v>0</v>
      </c>
      <c r="X76" s="137"/>
      <c r="Y76" s="137"/>
      <c r="Z76" s="137"/>
    </row>
    <row r="77" spans="1:26" ht="15" customHeight="1">
      <c r="A77" s="346">
        <f t="shared" si="21"/>
        <v>39</v>
      </c>
      <c r="B77" s="282"/>
      <c r="C77" s="347"/>
      <c r="D77" s="283"/>
      <c r="E77" s="347"/>
      <c r="F77" s="284"/>
      <c r="G77" s="348">
        <f>IFERROR(INDEX('【様式３】シフト表 '!$AK$7:$AK$106,MATCH($M77,'【様式３】シフト表 '!$B$7:$B$106,0),1),0)</f>
        <v>0</v>
      </c>
      <c r="H77" s="151"/>
      <c r="I77" s="285"/>
      <c r="J77" s="349" t="str">
        <f t="shared" si="17"/>
        <v>-</v>
      </c>
      <c r="K77" s="161"/>
      <c r="L77" s="286" t="b">
        <f t="shared" si="18"/>
        <v>0</v>
      </c>
      <c r="M77" s="287">
        <f>IF($E77&lt;&gt;$M$36,0,COUNTIF($E$39:E77,$M$36))</f>
        <v>0</v>
      </c>
      <c r="N77" s="287" t="e">
        <f t="shared" si="23"/>
        <v>#VALUE!</v>
      </c>
      <c r="O77" s="288" t="b">
        <f t="shared" si="19"/>
        <v>1</v>
      </c>
      <c r="P77" s="777"/>
      <c r="Q77" s="350">
        <f t="shared" si="14"/>
        <v>0</v>
      </c>
      <c r="R77" s="290">
        <f t="shared" si="15"/>
        <v>0</v>
      </c>
      <c r="S77" s="350">
        <f t="shared" si="22"/>
        <v>0</v>
      </c>
      <c r="T77" s="290">
        <f t="shared" si="22"/>
        <v>0</v>
      </c>
      <c r="U77" s="290">
        <f t="shared" si="22"/>
        <v>0</v>
      </c>
      <c r="V77" s="351">
        <f t="shared" si="22"/>
        <v>0</v>
      </c>
      <c r="W77" s="352">
        <f t="shared" si="20"/>
        <v>0</v>
      </c>
      <c r="X77" s="137"/>
      <c r="Y77" s="137"/>
      <c r="Z77" s="137"/>
    </row>
    <row r="78" spans="1:26" ht="15" customHeight="1">
      <c r="A78" s="346">
        <f t="shared" si="21"/>
        <v>40</v>
      </c>
      <c r="B78" s="282"/>
      <c r="C78" s="347"/>
      <c r="D78" s="283"/>
      <c r="E78" s="347"/>
      <c r="F78" s="284"/>
      <c r="G78" s="348">
        <f>IFERROR(INDEX('【様式３】シフト表 '!$AK$7:$AK$106,MATCH($M78,'【様式３】シフト表 '!$B$7:$B$106,0),1),0)</f>
        <v>0</v>
      </c>
      <c r="H78" s="151"/>
      <c r="I78" s="285"/>
      <c r="J78" s="349" t="str">
        <f t="shared" si="17"/>
        <v>-</v>
      </c>
      <c r="K78" s="161"/>
      <c r="L78" s="286" t="b">
        <f t="shared" si="18"/>
        <v>0</v>
      </c>
      <c r="M78" s="287">
        <f>IF($E78&lt;&gt;$M$36,0,COUNTIF($E$39:E78,$M$36))</f>
        <v>0</v>
      </c>
      <c r="N78" s="287" t="e">
        <f t="shared" si="23"/>
        <v>#VALUE!</v>
      </c>
      <c r="O78" s="288" t="b">
        <f t="shared" si="19"/>
        <v>1</v>
      </c>
      <c r="P78" s="777"/>
      <c r="Q78" s="350">
        <f t="shared" si="14"/>
        <v>0</v>
      </c>
      <c r="R78" s="290">
        <f t="shared" si="15"/>
        <v>0</v>
      </c>
      <c r="S78" s="350">
        <f t="shared" si="22"/>
        <v>0</v>
      </c>
      <c r="T78" s="290">
        <f t="shared" si="22"/>
        <v>0</v>
      </c>
      <c r="U78" s="290">
        <f t="shared" si="22"/>
        <v>0</v>
      </c>
      <c r="V78" s="351">
        <f t="shared" si="22"/>
        <v>0</v>
      </c>
      <c r="W78" s="352">
        <f t="shared" si="20"/>
        <v>0</v>
      </c>
      <c r="X78" s="137"/>
      <c r="Y78" s="137"/>
      <c r="Z78" s="137"/>
    </row>
    <row r="79" spans="1:26" ht="15" customHeight="1">
      <c r="A79" s="346">
        <f t="shared" si="21"/>
        <v>41</v>
      </c>
      <c r="B79" s="282"/>
      <c r="C79" s="347"/>
      <c r="D79" s="283"/>
      <c r="E79" s="347"/>
      <c r="F79" s="284"/>
      <c r="G79" s="348">
        <f>IFERROR(INDEX('【様式３】シフト表 '!$AK$7:$AK$106,MATCH($M79,'【様式３】シフト表 '!$B$7:$B$106,0),1),0)</f>
        <v>0</v>
      </c>
      <c r="H79" s="151"/>
      <c r="I79" s="285"/>
      <c r="J79" s="349" t="str">
        <f t="shared" si="17"/>
        <v>-</v>
      </c>
      <c r="K79" s="161"/>
      <c r="L79" s="286" t="b">
        <f t="shared" si="18"/>
        <v>0</v>
      </c>
      <c r="M79" s="287">
        <f>IF($E79&lt;&gt;$M$36,0,COUNTIF($E$39:E79,$M$36))</f>
        <v>0</v>
      </c>
      <c r="N79" s="287" t="e">
        <f t="shared" si="23"/>
        <v>#VALUE!</v>
      </c>
      <c r="O79" s="288" t="b">
        <f t="shared" si="19"/>
        <v>1</v>
      </c>
      <c r="P79" s="777"/>
      <c r="Q79" s="350">
        <f t="shared" si="14"/>
        <v>0</v>
      </c>
      <c r="R79" s="290">
        <f t="shared" si="15"/>
        <v>0</v>
      </c>
      <c r="S79" s="350">
        <f t="shared" ref="S79:V98" si="24">IF(AND($E79=S$35,$F79=S$36),$J79,0)</f>
        <v>0</v>
      </c>
      <c r="T79" s="290">
        <f t="shared" si="24"/>
        <v>0</v>
      </c>
      <c r="U79" s="290">
        <f t="shared" si="24"/>
        <v>0</v>
      </c>
      <c r="V79" s="351">
        <f t="shared" si="24"/>
        <v>0</v>
      </c>
      <c r="W79" s="352">
        <f t="shared" si="20"/>
        <v>0</v>
      </c>
      <c r="X79" s="137"/>
      <c r="Y79" s="137"/>
      <c r="Z79" s="137"/>
    </row>
    <row r="80" spans="1:26" ht="15" customHeight="1">
      <c r="A80" s="346">
        <f t="shared" si="21"/>
        <v>42</v>
      </c>
      <c r="B80" s="282"/>
      <c r="C80" s="347"/>
      <c r="D80" s="283"/>
      <c r="E80" s="347"/>
      <c r="F80" s="284"/>
      <c r="G80" s="348">
        <f>IFERROR(INDEX('【様式３】シフト表 '!$AK$7:$AK$106,MATCH($M80,'【様式３】シフト表 '!$B$7:$B$106,0),1),0)</f>
        <v>0</v>
      </c>
      <c r="H80" s="151"/>
      <c r="I80" s="285"/>
      <c r="J80" s="349" t="str">
        <f t="shared" si="17"/>
        <v>-</v>
      </c>
      <c r="K80" s="161"/>
      <c r="L80" s="286" t="b">
        <f t="shared" si="18"/>
        <v>0</v>
      </c>
      <c r="M80" s="287">
        <f>IF($E80&lt;&gt;$M$36,0,COUNTIF($E$39:E80,$M$36))</f>
        <v>0</v>
      </c>
      <c r="N80" s="287" t="e">
        <f t="shared" si="23"/>
        <v>#VALUE!</v>
      </c>
      <c r="O80" s="288" t="b">
        <f t="shared" si="19"/>
        <v>1</v>
      </c>
      <c r="P80" s="777"/>
      <c r="Q80" s="350">
        <f t="shared" si="14"/>
        <v>0</v>
      </c>
      <c r="R80" s="290">
        <f t="shared" si="15"/>
        <v>0</v>
      </c>
      <c r="S80" s="350">
        <f t="shared" si="24"/>
        <v>0</v>
      </c>
      <c r="T80" s="290">
        <f t="shared" si="24"/>
        <v>0</v>
      </c>
      <c r="U80" s="290">
        <f t="shared" si="24"/>
        <v>0</v>
      </c>
      <c r="V80" s="351">
        <f t="shared" si="24"/>
        <v>0</v>
      </c>
      <c r="W80" s="352">
        <f t="shared" si="20"/>
        <v>0</v>
      </c>
      <c r="X80" s="137"/>
      <c r="Y80" s="137"/>
      <c r="Z80" s="137"/>
    </row>
    <row r="81" spans="1:26" ht="15" customHeight="1">
      <c r="A81" s="346">
        <f t="shared" si="21"/>
        <v>43</v>
      </c>
      <c r="B81" s="282"/>
      <c r="C81" s="347"/>
      <c r="D81" s="283"/>
      <c r="E81" s="347"/>
      <c r="F81" s="284"/>
      <c r="G81" s="348">
        <f>IFERROR(INDEX('【様式３】シフト表 '!$AK$7:$AK$106,MATCH($M81,'【様式３】シフト表 '!$B$7:$B$106,0),1),0)</f>
        <v>0</v>
      </c>
      <c r="H81" s="151"/>
      <c r="I81" s="285"/>
      <c r="J81" s="349" t="str">
        <f t="shared" si="17"/>
        <v>-</v>
      </c>
      <c r="K81" s="161"/>
      <c r="L81" s="286" t="b">
        <f t="shared" si="18"/>
        <v>0</v>
      </c>
      <c r="M81" s="287">
        <f>IF($E81&lt;&gt;$M$36,0,COUNTIF($E$39:E81,$M$36))</f>
        <v>0</v>
      </c>
      <c r="N81" s="287" t="e">
        <f t="shared" si="23"/>
        <v>#VALUE!</v>
      </c>
      <c r="O81" s="288" t="b">
        <f t="shared" si="19"/>
        <v>1</v>
      </c>
      <c r="P81" s="777"/>
      <c r="Q81" s="350">
        <f t="shared" si="14"/>
        <v>0</v>
      </c>
      <c r="R81" s="290">
        <f t="shared" si="15"/>
        <v>0</v>
      </c>
      <c r="S81" s="350">
        <f t="shared" si="24"/>
        <v>0</v>
      </c>
      <c r="T81" s="290">
        <f t="shared" si="24"/>
        <v>0</v>
      </c>
      <c r="U81" s="290">
        <f t="shared" si="24"/>
        <v>0</v>
      </c>
      <c r="V81" s="351">
        <f t="shared" si="24"/>
        <v>0</v>
      </c>
      <c r="W81" s="352">
        <f t="shared" si="20"/>
        <v>0</v>
      </c>
      <c r="X81" s="137"/>
      <c r="Y81" s="137"/>
      <c r="Z81" s="137"/>
    </row>
    <row r="82" spans="1:26" ht="15" customHeight="1">
      <c r="A82" s="346">
        <f t="shared" si="21"/>
        <v>44</v>
      </c>
      <c r="B82" s="282"/>
      <c r="C82" s="347"/>
      <c r="D82" s="283"/>
      <c r="E82" s="347"/>
      <c r="F82" s="284"/>
      <c r="G82" s="348">
        <f>IFERROR(INDEX('【様式３】シフト表 '!$AK$7:$AK$106,MATCH($M82,'【様式３】シフト表 '!$B$7:$B$106,0),1),0)</f>
        <v>0</v>
      </c>
      <c r="H82" s="151"/>
      <c r="I82" s="285"/>
      <c r="J82" s="349" t="str">
        <f t="shared" si="17"/>
        <v>-</v>
      </c>
      <c r="K82" s="161"/>
      <c r="L82" s="286" t="b">
        <f t="shared" si="18"/>
        <v>0</v>
      </c>
      <c r="M82" s="287">
        <f>IF($E82&lt;&gt;$M$36,0,COUNTIF($E$39:E82,$M$36))</f>
        <v>0</v>
      </c>
      <c r="N82" s="287" t="e">
        <f t="shared" si="23"/>
        <v>#VALUE!</v>
      </c>
      <c r="O82" s="288" t="b">
        <f t="shared" si="19"/>
        <v>1</v>
      </c>
      <c r="P82" s="777"/>
      <c r="Q82" s="350">
        <f t="shared" si="14"/>
        <v>0</v>
      </c>
      <c r="R82" s="290">
        <f t="shared" si="15"/>
        <v>0</v>
      </c>
      <c r="S82" s="350">
        <f t="shared" si="24"/>
        <v>0</v>
      </c>
      <c r="T82" s="290">
        <f t="shared" si="24"/>
        <v>0</v>
      </c>
      <c r="U82" s="290">
        <f t="shared" si="24"/>
        <v>0</v>
      </c>
      <c r="V82" s="351">
        <f t="shared" si="24"/>
        <v>0</v>
      </c>
      <c r="W82" s="352">
        <f t="shared" si="20"/>
        <v>0</v>
      </c>
      <c r="X82" s="137"/>
      <c r="Y82" s="137"/>
      <c r="Z82" s="137"/>
    </row>
    <row r="83" spans="1:26" ht="15" customHeight="1">
      <c r="A83" s="346">
        <f t="shared" si="21"/>
        <v>45</v>
      </c>
      <c r="B83" s="282"/>
      <c r="C83" s="347"/>
      <c r="D83" s="283"/>
      <c r="E83" s="347"/>
      <c r="F83" s="284"/>
      <c r="G83" s="348">
        <f>IFERROR(INDEX('【様式３】シフト表 '!$AK$7:$AK$106,MATCH($M83,'【様式３】シフト表 '!$B$7:$B$106,0),1),0)</f>
        <v>0</v>
      </c>
      <c r="H83" s="151"/>
      <c r="I83" s="285"/>
      <c r="J83" s="349" t="str">
        <f t="shared" si="17"/>
        <v>-</v>
      </c>
      <c r="K83" s="161"/>
      <c r="L83" s="286" t="b">
        <f t="shared" si="18"/>
        <v>0</v>
      </c>
      <c r="M83" s="287">
        <f>IF($E83&lt;&gt;$M$36,0,COUNTIF($E$39:E83,$M$36))</f>
        <v>0</v>
      </c>
      <c r="N83" s="287" t="e">
        <f t="shared" si="23"/>
        <v>#VALUE!</v>
      </c>
      <c r="O83" s="288" t="b">
        <f t="shared" si="19"/>
        <v>1</v>
      </c>
      <c r="P83" s="777"/>
      <c r="Q83" s="350">
        <f t="shared" si="14"/>
        <v>0</v>
      </c>
      <c r="R83" s="290">
        <f t="shared" si="15"/>
        <v>0</v>
      </c>
      <c r="S83" s="350">
        <f t="shared" si="24"/>
        <v>0</v>
      </c>
      <c r="T83" s="290">
        <f t="shared" si="24"/>
        <v>0</v>
      </c>
      <c r="U83" s="290">
        <f t="shared" si="24"/>
        <v>0</v>
      </c>
      <c r="V83" s="351">
        <f t="shared" si="24"/>
        <v>0</v>
      </c>
      <c r="W83" s="352">
        <f t="shared" si="20"/>
        <v>0</v>
      </c>
      <c r="X83" s="137"/>
      <c r="Y83" s="137"/>
      <c r="Z83" s="137"/>
    </row>
    <row r="84" spans="1:26" ht="15" customHeight="1">
      <c r="A84" s="346">
        <f t="shared" si="21"/>
        <v>46</v>
      </c>
      <c r="B84" s="282"/>
      <c r="C84" s="347"/>
      <c r="D84" s="283"/>
      <c r="E84" s="347"/>
      <c r="F84" s="284"/>
      <c r="G84" s="348">
        <f>IFERROR(INDEX('【様式３】シフト表 '!$AK$7:$AK$106,MATCH($M84,'【様式３】シフト表 '!$B$7:$B$106,0),1),0)</f>
        <v>0</v>
      </c>
      <c r="H84" s="151"/>
      <c r="I84" s="285"/>
      <c r="J84" s="349" t="str">
        <f t="shared" si="17"/>
        <v>-</v>
      </c>
      <c r="K84" s="161"/>
      <c r="L84" s="286" t="b">
        <f t="shared" si="18"/>
        <v>0</v>
      </c>
      <c r="M84" s="287">
        <f>IF($E84&lt;&gt;$M$36,0,COUNTIF($E$39:E84,$M$36))</f>
        <v>0</v>
      </c>
      <c r="N84" s="287" t="e">
        <f t="shared" si="23"/>
        <v>#VALUE!</v>
      </c>
      <c r="O84" s="288" t="b">
        <f t="shared" si="19"/>
        <v>1</v>
      </c>
      <c r="P84" s="777"/>
      <c r="Q84" s="350">
        <f t="shared" si="14"/>
        <v>0</v>
      </c>
      <c r="R84" s="290">
        <f t="shared" si="15"/>
        <v>0</v>
      </c>
      <c r="S84" s="350">
        <f t="shared" si="24"/>
        <v>0</v>
      </c>
      <c r="T84" s="290">
        <f t="shared" si="24"/>
        <v>0</v>
      </c>
      <c r="U84" s="290">
        <f t="shared" si="24"/>
        <v>0</v>
      </c>
      <c r="V84" s="351">
        <f t="shared" si="24"/>
        <v>0</v>
      </c>
      <c r="W84" s="352">
        <f t="shared" si="20"/>
        <v>0</v>
      </c>
      <c r="X84" s="137"/>
      <c r="Y84" s="137"/>
      <c r="Z84" s="137"/>
    </row>
    <row r="85" spans="1:26" ht="15" customHeight="1">
      <c r="A85" s="346">
        <f t="shared" si="21"/>
        <v>47</v>
      </c>
      <c r="B85" s="282"/>
      <c r="C85" s="347"/>
      <c r="D85" s="283"/>
      <c r="E85" s="347"/>
      <c r="F85" s="284"/>
      <c r="G85" s="348">
        <f>IFERROR(INDEX('【様式３】シフト表 '!$AK$7:$AK$106,MATCH($M85,'【様式３】シフト表 '!$B$7:$B$106,0),1),0)</f>
        <v>0</v>
      </c>
      <c r="H85" s="151"/>
      <c r="I85" s="285"/>
      <c r="J85" s="349" t="str">
        <f t="shared" si="17"/>
        <v>-</v>
      </c>
      <c r="K85" s="161"/>
      <c r="L85" s="286" t="b">
        <f t="shared" si="18"/>
        <v>0</v>
      </c>
      <c r="M85" s="287">
        <f>IF($E85&lt;&gt;$M$36,0,COUNTIF($E$39:E85,$M$36))</f>
        <v>0</v>
      </c>
      <c r="N85" s="287" t="e">
        <f t="shared" si="23"/>
        <v>#VALUE!</v>
      </c>
      <c r="O85" s="288" t="b">
        <f t="shared" si="19"/>
        <v>1</v>
      </c>
      <c r="P85" s="777"/>
      <c r="Q85" s="350">
        <f t="shared" si="14"/>
        <v>0</v>
      </c>
      <c r="R85" s="290">
        <f t="shared" si="15"/>
        <v>0</v>
      </c>
      <c r="S85" s="350">
        <f t="shared" si="24"/>
        <v>0</v>
      </c>
      <c r="T85" s="290">
        <f t="shared" si="24"/>
        <v>0</v>
      </c>
      <c r="U85" s="290">
        <f t="shared" si="24"/>
        <v>0</v>
      </c>
      <c r="V85" s="351">
        <f t="shared" si="24"/>
        <v>0</v>
      </c>
      <c r="W85" s="352">
        <f t="shared" si="20"/>
        <v>0</v>
      </c>
      <c r="X85" s="137"/>
      <c r="Y85" s="137"/>
      <c r="Z85" s="137"/>
    </row>
    <row r="86" spans="1:26" ht="15" customHeight="1">
      <c r="A86" s="346">
        <f t="shared" si="21"/>
        <v>48</v>
      </c>
      <c r="B86" s="282"/>
      <c r="C86" s="347"/>
      <c r="D86" s="283"/>
      <c r="E86" s="347"/>
      <c r="F86" s="284"/>
      <c r="G86" s="348">
        <f>IFERROR(INDEX('【様式３】シフト表 '!$AK$7:$AK$106,MATCH($M86,'【様式３】シフト表 '!$B$7:$B$106,0),1),0)</f>
        <v>0</v>
      </c>
      <c r="H86" s="151"/>
      <c r="I86" s="285"/>
      <c r="J86" s="349" t="str">
        <f t="shared" si="17"/>
        <v>-</v>
      </c>
      <c r="K86" s="161"/>
      <c r="L86" s="286" t="b">
        <f t="shared" si="18"/>
        <v>0</v>
      </c>
      <c r="M86" s="287">
        <f>IF($E86&lt;&gt;$M$36,0,COUNTIF($E$39:E86,$M$36))</f>
        <v>0</v>
      </c>
      <c r="N86" s="287" t="e">
        <f t="shared" si="23"/>
        <v>#VALUE!</v>
      </c>
      <c r="O86" s="288" t="b">
        <f t="shared" si="19"/>
        <v>1</v>
      </c>
      <c r="P86" s="777"/>
      <c r="Q86" s="350">
        <f t="shared" si="14"/>
        <v>0</v>
      </c>
      <c r="R86" s="290">
        <f t="shared" si="15"/>
        <v>0</v>
      </c>
      <c r="S86" s="350">
        <f t="shared" si="24"/>
        <v>0</v>
      </c>
      <c r="T86" s="290">
        <f t="shared" si="24"/>
        <v>0</v>
      </c>
      <c r="U86" s="290">
        <f t="shared" si="24"/>
        <v>0</v>
      </c>
      <c r="V86" s="351">
        <f t="shared" si="24"/>
        <v>0</v>
      </c>
      <c r="W86" s="352">
        <f t="shared" si="20"/>
        <v>0</v>
      </c>
      <c r="X86" s="137"/>
      <c r="Y86" s="137"/>
      <c r="Z86" s="137"/>
    </row>
    <row r="87" spans="1:26" ht="15" customHeight="1">
      <c r="A87" s="346">
        <f t="shared" si="21"/>
        <v>49</v>
      </c>
      <c r="B87" s="282"/>
      <c r="C87" s="347"/>
      <c r="D87" s="283"/>
      <c r="E87" s="347"/>
      <c r="F87" s="284"/>
      <c r="G87" s="348">
        <f>IFERROR(INDEX('【様式３】シフト表 '!$AK$7:$AK$106,MATCH($M87,'【様式３】シフト表 '!$B$7:$B$106,0),1),0)</f>
        <v>0</v>
      </c>
      <c r="H87" s="151"/>
      <c r="I87" s="285"/>
      <c r="J87" s="349" t="str">
        <f t="shared" si="17"/>
        <v>-</v>
      </c>
      <c r="K87" s="161"/>
      <c r="L87" s="286" t="b">
        <f t="shared" si="18"/>
        <v>0</v>
      </c>
      <c r="M87" s="287">
        <f>IF($E87&lt;&gt;$M$36,0,COUNTIF($E$39:E87,$M$36))</f>
        <v>0</v>
      </c>
      <c r="N87" s="287" t="e">
        <f t="shared" si="23"/>
        <v>#VALUE!</v>
      </c>
      <c r="O87" s="288" t="b">
        <f t="shared" si="19"/>
        <v>1</v>
      </c>
      <c r="P87" s="777"/>
      <c r="Q87" s="350">
        <f t="shared" si="14"/>
        <v>0</v>
      </c>
      <c r="R87" s="290">
        <f t="shared" si="15"/>
        <v>0</v>
      </c>
      <c r="S87" s="350">
        <f t="shared" si="24"/>
        <v>0</v>
      </c>
      <c r="T87" s="290">
        <f t="shared" si="24"/>
        <v>0</v>
      </c>
      <c r="U87" s="290">
        <f t="shared" si="24"/>
        <v>0</v>
      </c>
      <c r="V87" s="351">
        <f t="shared" si="24"/>
        <v>0</v>
      </c>
      <c r="W87" s="352">
        <f t="shared" si="20"/>
        <v>0</v>
      </c>
      <c r="X87" s="137"/>
      <c r="Y87" s="137"/>
      <c r="Z87" s="137"/>
    </row>
    <row r="88" spans="1:26" ht="15" customHeight="1">
      <c r="A88" s="346">
        <f t="shared" si="21"/>
        <v>50</v>
      </c>
      <c r="B88" s="282"/>
      <c r="C88" s="347"/>
      <c r="D88" s="283"/>
      <c r="E88" s="347"/>
      <c r="F88" s="284"/>
      <c r="G88" s="348">
        <f>IFERROR(INDEX('【様式３】シフト表 '!$AK$7:$AK$106,MATCH($M88,'【様式３】シフト表 '!$B$7:$B$106,0),1),0)</f>
        <v>0</v>
      </c>
      <c r="H88" s="151"/>
      <c r="I88" s="285"/>
      <c r="J88" s="349" t="str">
        <f t="shared" si="17"/>
        <v>-</v>
      </c>
      <c r="K88" s="161"/>
      <c r="L88" s="286" t="b">
        <f t="shared" si="18"/>
        <v>0</v>
      </c>
      <c r="M88" s="287">
        <f>IF($E88&lt;&gt;$M$36,0,COUNTIF($E$39:E88,$M$36))</f>
        <v>0</v>
      </c>
      <c r="N88" s="287" t="e">
        <f t="shared" si="23"/>
        <v>#VALUE!</v>
      </c>
      <c r="O88" s="288" t="b">
        <f t="shared" si="19"/>
        <v>1</v>
      </c>
      <c r="P88" s="777"/>
      <c r="Q88" s="350">
        <f t="shared" si="14"/>
        <v>0</v>
      </c>
      <c r="R88" s="290">
        <f t="shared" si="15"/>
        <v>0</v>
      </c>
      <c r="S88" s="350">
        <f t="shared" si="24"/>
        <v>0</v>
      </c>
      <c r="T88" s="290">
        <f t="shared" si="24"/>
        <v>0</v>
      </c>
      <c r="U88" s="290">
        <f t="shared" si="24"/>
        <v>0</v>
      </c>
      <c r="V88" s="351">
        <f t="shared" si="24"/>
        <v>0</v>
      </c>
      <c r="W88" s="352">
        <f t="shared" si="20"/>
        <v>0</v>
      </c>
      <c r="X88" s="137"/>
      <c r="Y88" s="137"/>
      <c r="Z88" s="137"/>
    </row>
    <row r="89" spans="1:26" ht="15" customHeight="1">
      <c r="A89" s="346">
        <f t="shared" si="21"/>
        <v>51</v>
      </c>
      <c r="B89" s="282"/>
      <c r="C89" s="347"/>
      <c r="D89" s="283"/>
      <c r="E89" s="347"/>
      <c r="F89" s="284"/>
      <c r="G89" s="348">
        <f>IFERROR(INDEX('【様式３】シフト表 '!$AK$7:$AK$106,MATCH($M89,'【様式３】シフト表 '!$B$7:$B$106,0),1),0)</f>
        <v>0</v>
      </c>
      <c r="H89" s="151"/>
      <c r="I89" s="285"/>
      <c r="J89" s="349" t="str">
        <f t="shared" si="17"/>
        <v>-</v>
      </c>
      <c r="K89" s="161"/>
      <c r="L89" s="286" t="b">
        <f t="shared" si="18"/>
        <v>0</v>
      </c>
      <c r="M89" s="287">
        <f>IF($E89&lt;&gt;$M$36,0,COUNTIF($E$39:E89,$M$36))</f>
        <v>0</v>
      </c>
      <c r="N89" s="287" t="e">
        <f t="shared" si="23"/>
        <v>#VALUE!</v>
      </c>
      <c r="O89" s="288" t="b">
        <f t="shared" si="19"/>
        <v>1</v>
      </c>
      <c r="P89" s="777"/>
      <c r="Q89" s="350">
        <f t="shared" si="14"/>
        <v>0</v>
      </c>
      <c r="R89" s="290">
        <f t="shared" si="15"/>
        <v>0</v>
      </c>
      <c r="S89" s="350">
        <f t="shared" si="24"/>
        <v>0</v>
      </c>
      <c r="T89" s="290">
        <f t="shared" si="24"/>
        <v>0</v>
      </c>
      <c r="U89" s="290">
        <f t="shared" si="24"/>
        <v>0</v>
      </c>
      <c r="V89" s="351">
        <f t="shared" si="24"/>
        <v>0</v>
      </c>
      <c r="W89" s="352">
        <f t="shared" si="20"/>
        <v>0</v>
      </c>
      <c r="X89" s="137"/>
      <c r="Y89" s="137"/>
      <c r="Z89" s="137"/>
    </row>
    <row r="90" spans="1:26" ht="15" customHeight="1">
      <c r="A90" s="346">
        <f t="shared" si="21"/>
        <v>52</v>
      </c>
      <c r="B90" s="282"/>
      <c r="C90" s="347"/>
      <c r="D90" s="283"/>
      <c r="E90" s="347"/>
      <c r="F90" s="284"/>
      <c r="G90" s="348">
        <f>IFERROR(INDEX('【様式３】シフト表 '!$AK$7:$AK$106,MATCH($M90,'【様式３】シフト表 '!$B$7:$B$106,0),1),0)</f>
        <v>0</v>
      </c>
      <c r="H90" s="151"/>
      <c r="I90" s="285"/>
      <c r="J90" s="349" t="str">
        <f t="shared" si="17"/>
        <v>-</v>
      </c>
      <c r="K90" s="161"/>
      <c r="L90" s="286" t="b">
        <f t="shared" si="18"/>
        <v>0</v>
      </c>
      <c r="M90" s="287">
        <f>IF($E90&lt;&gt;$M$36,0,COUNTIF($E$39:E90,$M$36))</f>
        <v>0</v>
      </c>
      <c r="N90" s="287" t="e">
        <f t="shared" si="23"/>
        <v>#VALUE!</v>
      </c>
      <c r="O90" s="288" t="b">
        <f t="shared" si="19"/>
        <v>1</v>
      </c>
      <c r="P90" s="777"/>
      <c r="Q90" s="350">
        <f t="shared" si="14"/>
        <v>0</v>
      </c>
      <c r="R90" s="290">
        <f t="shared" si="15"/>
        <v>0</v>
      </c>
      <c r="S90" s="350">
        <f t="shared" si="24"/>
        <v>0</v>
      </c>
      <c r="T90" s="290">
        <f t="shared" si="24"/>
        <v>0</v>
      </c>
      <c r="U90" s="290">
        <f t="shared" si="24"/>
        <v>0</v>
      </c>
      <c r="V90" s="351">
        <f t="shared" si="24"/>
        <v>0</v>
      </c>
      <c r="W90" s="352">
        <f t="shared" si="20"/>
        <v>0</v>
      </c>
      <c r="X90" s="137"/>
      <c r="Y90" s="137"/>
      <c r="Z90" s="137"/>
    </row>
    <row r="91" spans="1:26" ht="15" customHeight="1">
      <c r="A91" s="346">
        <f t="shared" si="21"/>
        <v>53</v>
      </c>
      <c r="B91" s="282"/>
      <c r="C91" s="347"/>
      <c r="D91" s="283"/>
      <c r="E91" s="347"/>
      <c r="F91" s="284"/>
      <c r="G91" s="348">
        <f>IFERROR(INDEX('【様式３】シフト表 '!$AK$7:$AK$106,MATCH($M91,'【様式３】シフト表 '!$B$7:$B$106,0),1),0)</f>
        <v>0</v>
      </c>
      <c r="H91" s="151"/>
      <c r="I91" s="285"/>
      <c r="J91" s="349" t="str">
        <f t="shared" si="17"/>
        <v>-</v>
      </c>
      <c r="K91" s="161"/>
      <c r="L91" s="286" t="b">
        <f t="shared" si="18"/>
        <v>0</v>
      </c>
      <c r="M91" s="287">
        <f>IF($E91&lt;&gt;$M$36,0,COUNTIF($E$39:E91,$M$36))</f>
        <v>0</v>
      </c>
      <c r="N91" s="287" t="e">
        <f t="shared" si="23"/>
        <v>#VALUE!</v>
      </c>
      <c r="O91" s="288" t="b">
        <f t="shared" si="19"/>
        <v>1</v>
      </c>
      <c r="P91" s="777"/>
      <c r="Q91" s="350">
        <f t="shared" si="14"/>
        <v>0</v>
      </c>
      <c r="R91" s="290">
        <f t="shared" si="15"/>
        <v>0</v>
      </c>
      <c r="S91" s="350">
        <f t="shared" si="24"/>
        <v>0</v>
      </c>
      <c r="T91" s="290">
        <f t="shared" si="24"/>
        <v>0</v>
      </c>
      <c r="U91" s="290">
        <f t="shared" si="24"/>
        <v>0</v>
      </c>
      <c r="V91" s="351">
        <f t="shared" si="24"/>
        <v>0</v>
      </c>
      <c r="W91" s="352">
        <f t="shared" si="20"/>
        <v>0</v>
      </c>
      <c r="X91" s="137"/>
      <c r="Y91" s="137"/>
      <c r="Z91" s="137"/>
    </row>
    <row r="92" spans="1:26" ht="15" customHeight="1">
      <c r="A92" s="346">
        <f t="shared" si="21"/>
        <v>54</v>
      </c>
      <c r="B92" s="282"/>
      <c r="C92" s="347"/>
      <c r="D92" s="283"/>
      <c r="E92" s="347"/>
      <c r="F92" s="284"/>
      <c r="G92" s="348">
        <f>IFERROR(INDEX('【様式３】シフト表 '!$AK$7:$AK$106,MATCH($M92,'【様式３】シフト表 '!$B$7:$B$106,0),1),0)</f>
        <v>0</v>
      </c>
      <c r="H92" s="151"/>
      <c r="I92" s="285"/>
      <c r="J92" s="349" t="str">
        <f t="shared" si="17"/>
        <v>-</v>
      </c>
      <c r="K92" s="161"/>
      <c r="L92" s="286" t="b">
        <f t="shared" si="18"/>
        <v>0</v>
      </c>
      <c r="M92" s="287">
        <f>IF($E92&lt;&gt;$M$36,0,COUNTIF($E$39:E92,$M$36))</f>
        <v>0</v>
      </c>
      <c r="N92" s="287" t="e">
        <f t="shared" si="23"/>
        <v>#VALUE!</v>
      </c>
      <c r="O92" s="288" t="b">
        <f t="shared" si="19"/>
        <v>1</v>
      </c>
      <c r="P92" s="777"/>
      <c r="Q92" s="350">
        <f t="shared" si="14"/>
        <v>0</v>
      </c>
      <c r="R92" s="290">
        <f t="shared" si="15"/>
        <v>0</v>
      </c>
      <c r="S92" s="350">
        <f t="shared" si="24"/>
        <v>0</v>
      </c>
      <c r="T92" s="290">
        <f t="shared" si="24"/>
        <v>0</v>
      </c>
      <c r="U92" s="290">
        <f t="shared" si="24"/>
        <v>0</v>
      </c>
      <c r="V92" s="351">
        <f t="shared" si="24"/>
        <v>0</v>
      </c>
      <c r="W92" s="352">
        <f t="shared" si="20"/>
        <v>0</v>
      </c>
      <c r="X92" s="137"/>
      <c r="Y92" s="137"/>
      <c r="Z92" s="137"/>
    </row>
    <row r="93" spans="1:26" ht="15" customHeight="1">
      <c r="A93" s="346">
        <f t="shared" si="21"/>
        <v>55</v>
      </c>
      <c r="B93" s="282"/>
      <c r="C93" s="347"/>
      <c r="D93" s="283"/>
      <c r="E93" s="347"/>
      <c r="F93" s="284"/>
      <c r="G93" s="348">
        <f>IFERROR(INDEX('【様式３】シフト表 '!$AK$7:$AK$106,MATCH($M93,'【様式３】シフト表 '!$B$7:$B$106,0),1),0)</f>
        <v>0</v>
      </c>
      <c r="H93" s="151"/>
      <c r="I93" s="285"/>
      <c r="J93" s="349" t="str">
        <f t="shared" si="17"/>
        <v>-</v>
      </c>
      <c r="K93" s="161"/>
      <c r="L93" s="286" t="b">
        <f t="shared" si="18"/>
        <v>0</v>
      </c>
      <c r="M93" s="287">
        <f>IF($E93&lt;&gt;$M$36,0,COUNTIF($E$39:E93,$M$36))</f>
        <v>0</v>
      </c>
      <c r="N93" s="287" t="e">
        <f t="shared" si="23"/>
        <v>#VALUE!</v>
      </c>
      <c r="O93" s="288" t="b">
        <f t="shared" si="19"/>
        <v>1</v>
      </c>
      <c r="P93" s="777"/>
      <c r="Q93" s="350">
        <f t="shared" si="14"/>
        <v>0</v>
      </c>
      <c r="R93" s="290">
        <f t="shared" si="15"/>
        <v>0</v>
      </c>
      <c r="S93" s="350">
        <f t="shared" si="24"/>
        <v>0</v>
      </c>
      <c r="T93" s="290">
        <f t="shared" si="24"/>
        <v>0</v>
      </c>
      <c r="U93" s="290">
        <f t="shared" si="24"/>
        <v>0</v>
      </c>
      <c r="V93" s="351">
        <f t="shared" si="24"/>
        <v>0</v>
      </c>
      <c r="W93" s="352">
        <f t="shared" si="20"/>
        <v>0</v>
      </c>
      <c r="X93" s="137"/>
      <c r="Y93" s="137"/>
      <c r="Z93" s="137"/>
    </row>
    <row r="94" spans="1:26" ht="15" customHeight="1">
      <c r="A94" s="346">
        <f t="shared" si="21"/>
        <v>56</v>
      </c>
      <c r="B94" s="282"/>
      <c r="C94" s="347"/>
      <c r="D94" s="283"/>
      <c r="E94" s="347"/>
      <c r="F94" s="284"/>
      <c r="G94" s="348">
        <f>IFERROR(INDEX('【様式３】シフト表 '!$AK$7:$AK$106,MATCH($M94,'【様式３】シフト表 '!$B$7:$B$106,0),1),0)</f>
        <v>0</v>
      </c>
      <c r="H94" s="151"/>
      <c r="I94" s="285"/>
      <c r="J94" s="349" t="str">
        <f t="shared" si="17"/>
        <v>-</v>
      </c>
      <c r="K94" s="161"/>
      <c r="L94" s="286" t="b">
        <f t="shared" si="18"/>
        <v>0</v>
      </c>
      <c r="M94" s="287">
        <f>IF($E94&lt;&gt;$M$36,0,COUNTIF($E$39:E94,$M$36))</f>
        <v>0</v>
      </c>
      <c r="N94" s="287" t="e">
        <f t="shared" si="23"/>
        <v>#VALUE!</v>
      </c>
      <c r="O94" s="288" t="b">
        <f t="shared" si="19"/>
        <v>1</v>
      </c>
      <c r="P94" s="777"/>
      <c r="Q94" s="350">
        <f t="shared" si="14"/>
        <v>0</v>
      </c>
      <c r="R94" s="290">
        <f t="shared" si="15"/>
        <v>0</v>
      </c>
      <c r="S94" s="350">
        <f t="shared" si="24"/>
        <v>0</v>
      </c>
      <c r="T94" s="290">
        <f t="shared" si="24"/>
        <v>0</v>
      </c>
      <c r="U94" s="290">
        <f t="shared" si="24"/>
        <v>0</v>
      </c>
      <c r="V94" s="351">
        <f t="shared" si="24"/>
        <v>0</v>
      </c>
      <c r="W94" s="352">
        <f t="shared" si="20"/>
        <v>0</v>
      </c>
      <c r="X94" s="137"/>
      <c r="Y94" s="137"/>
      <c r="Z94" s="137"/>
    </row>
    <row r="95" spans="1:26" ht="15" customHeight="1">
      <c r="A95" s="346">
        <f t="shared" si="21"/>
        <v>57</v>
      </c>
      <c r="B95" s="282"/>
      <c r="C95" s="347"/>
      <c r="D95" s="283"/>
      <c r="E95" s="347"/>
      <c r="F95" s="284"/>
      <c r="G95" s="348">
        <f>IFERROR(INDEX('【様式３】シフト表 '!$AK$7:$AK$106,MATCH($M95,'【様式３】シフト表 '!$B$7:$B$106,0),1),0)</f>
        <v>0</v>
      </c>
      <c r="H95" s="151"/>
      <c r="I95" s="285"/>
      <c r="J95" s="349" t="str">
        <f t="shared" si="17"/>
        <v>-</v>
      </c>
      <c r="K95" s="161"/>
      <c r="L95" s="286" t="b">
        <f t="shared" si="18"/>
        <v>0</v>
      </c>
      <c r="M95" s="287">
        <f>IF($E95&lt;&gt;$M$36,0,COUNTIF($E$39:E95,$M$36))</f>
        <v>0</v>
      </c>
      <c r="N95" s="287" t="e">
        <f t="shared" si="23"/>
        <v>#VALUE!</v>
      </c>
      <c r="O95" s="288" t="b">
        <f t="shared" si="19"/>
        <v>1</v>
      </c>
      <c r="P95" s="777"/>
      <c r="Q95" s="350">
        <f t="shared" si="14"/>
        <v>0</v>
      </c>
      <c r="R95" s="290">
        <f t="shared" si="15"/>
        <v>0</v>
      </c>
      <c r="S95" s="350">
        <f t="shared" si="24"/>
        <v>0</v>
      </c>
      <c r="T95" s="290">
        <f t="shared" si="24"/>
        <v>0</v>
      </c>
      <c r="U95" s="290">
        <f t="shared" si="24"/>
        <v>0</v>
      </c>
      <c r="V95" s="351">
        <f t="shared" si="24"/>
        <v>0</v>
      </c>
      <c r="W95" s="352">
        <f t="shared" si="20"/>
        <v>0</v>
      </c>
      <c r="X95" s="137"/>
      <c r="Y95" s="137"/>
      <c r="Z95" s="137"/>
    </row>
    <row r="96" spans="1:26" ht="15" customHeight="1">
      <c r="A96" s="346">
        <f t="shared" si="21"/>
        <v>58</v>
      </c>
      <c r="B96" s="282"/>
      <c r="C96" s="347"/>
      <c r="D96" s="283"/>
      <c r="E96" s="347"/>
      <c r="F96" s="284"/>
      <c r="G96" s="348">
        <f>IFERROR(INDEX('【様式３】シフト表 '!$AK$7:$AK$106,MATCH($M96,'【様式３】シフト表 '!$B$7:$B$106,0),1),0)</f>
        <v>0</v>
      </c>
      <c r="H96" s="151"/>
      <c r="I96" s="285"/>
      <c r="J96" s="349" t="str">
        <f t="shared" si="17"/>
        <v>-</v>
      </c>
      <c r="K96" s="161"/>
      <c r="L96" s="286" t="b">
        <f t="shared" si="18"/>
        <v>0</v>
      </c>
      <c r="M96" s="287">
        <f>IF($E96&lt;&gt;$M$36,0,COUNTIF($E$39:E96,$M$36))</f>
        <v>0</v>
      </c>
      <c r="N96" s="287" t="e">
        <f t="shared" si="23"/>
        <v>#VALUE!</v>
      </c>
      <c r="O96" s="288" t="b">
        <f t="shared" si="19"/>
        <v>1</v>
      </c>
      <c r="P96" s="777"/>
      <c r="Q96" s="350">
        <f t="shared" si="14"/>
        <v>0</v>
      </c>
      <c r="R96" s="290">
        <f t="shared" si="15"/>
        <v>0</v>
      </c>
      <c r="S96" s="350">
        <f t="shared" si="24"/>
        <v>0</v>
      </c>
      <c r="T96" s="290">
        <f t="shared" si="24"/>
        <v>0</v>
      </c>
      <c r="U96" s="290">
        <f t="shared" si="24"/>
        <v>0</v>
      </c>
      <c r="V96" s="351">
        <f t="shared" si="24"/>
        <v>0</v>
      </c>
      <c r="W96" s="352">
        <f t="shared" si="20"/>
        <v>0</v>
      </c>
      <c r="X96" s="137"/>
      <c r="Y96" s="137"/>
      <c r="Z96" s="137"/>
    </row>
    <row r="97" spans="1:26" ht="15" customHeight="1">
      <c r="A97" s="346">
        <f t="shared" si="21"/>
        <v>59</v>
      </c>
      <c r="B97" s="282"/>
      <c r="C97" s="347"/>
      <c r="D97" s="283"/>
      <c r="E97" s="347"/>
      <c r="F97" s="284"/>
      <c r="G97" s="348">
        <f>IFERROR(INDEX('【様式３】シフト表 '!$AK$7:$AK$106,MATCH($M97,'【様式３】シフト表 '!$B$7:$B$106,0),1),0)</f>
        <v>0</v>
      </c>
      <c r="H97" s="151"/>
      <c r="I97" s="285"/>
      <c r="J97" s="349" t="str">
        <f t="shared" si="17"/>
        <v>-</v>
      </c>
      <c r="K97" s="161"/>
      <c r="L97" s="286" t="b">
        <f t="shared" si="18"/>
        <v>0</v>
      </c>
      <c r="M97" s="287">
        <f>IF($E97&lt;&gt;$M$36,0,COUNTIF($E$39:E97,$M$36))</f>
        <v>0</v>
      </c>
      <c r="N97" s="287" t="e">
        <f t="shared" si="23"/>
        <v>#VALUE!</v>
      </c>
      <c r="O97" s="288" t="b">
        <f t="shared" si="19"/>
        <v>1</v>
      </c>
      <c r="P97" s="777"/>
      <c r="Q97" s="350">
        <f t="shared" si="14"/>
        <v>0</v>
      </c>
      <c r="R97" s="290">
        <f t="shared" si="15"/>
        <v>0</v>
      </c>
      <c r="S97" s="350">
        <f t="shared" si="24"/>
        <v>0</v>
      </c>
      <c r="T97" s="290">
        <f t="shared" si="24"/>
        <v>0</v>
      </c>
      <c r="U97" s="290">
        <f t="shared" si="24"/>
        <v>0</v>
      </c>
      <c r="V97" s="351">
        <f t="shared" si="24"/>
        <v>0</v>
      </c>
      <c r="W97" s="352">
        <f t="shared" si="20"/>
        <v>0</v>
      </c>
      <c r="X97" s="137"/>
      <c r="Y97" s="137"/>
      <c r="Z97" s="137"/>
    </row>
    <row r="98" spans="1:26" ht="15" customHeight="1">
      <c r="A98" s="346">
        <f t="shared" si="21"/>
        <v>60</v>
      </c>
      <c r="B98" s="282"/>
      <c r="C98" s="347"/>
      <c r="D98" s="283"/>
      <c r="E98" s="347"/>
      <c r="F98" s="284"/>
      <c r="G98" s="348">
        <f>IFERROR(INDEX('【様式３】シフト表 '!$AK$7:$AK$106,MATCH($M98,'【様式３】シフト表 '!$B$7:$B$106,0),1),0)</f>
        <v>0</v>
      </c>
      <c r="H98" s="151"/>
      <c r="I98" s="285"/>
      <c r="J98" s="349" t="str">
        <f t="shared" si="17"/>
        <v>-</v>
      </c>
      <c r="K98" s="161"/>
      <c r="L98" s="286" t="b">
        <f t="shared" si="18"/>
        <v>0</v>
      </c>
      <c r="M98" s="287">
        <f>IF($E98&lt;&gt;$M$36,0,COUNTIF($E$39:E98,$M$36))</f>
        <v>0</v>
      </c>
      <c r="N98" s="287" t="e">
        <f t="shared" si="23"/>
        <v>#VALUE!</v>
      </c>
      <c r="O98" s="288" t="b">
        <f t="shared" si="19"/>
        <v>1</v>
      </c>
      <c r="P98" s="777"/>
      <c r="Q98" s="350">
        <f t="shared" si="14"/>
        <v>0</v>
      </c>
      <c r="R98" s="290">
        <f t="shared" si="15"/>
        <v>0</v>
      </c>
      <c r="S98" s="350">
        <f t="shared" si="24"/>
        <v>0</v>
      </c>
      <c r="T98" s="290">
        <f t="shared" si="24"/>
        <v>0</v>
      </c>
      <c r="U98" s="290">
        <f t="shared" si="24"/>
        <v>0</v>
      </c>
      <c r="V98" s="351">
        <f t="shared" si="24"/>
        <v>0</v>
      </c>
      <c r="W98" s="352">
        <f t="shared" si="20"/>
        <v>0</v>
      </c>
      <c r="X98" s="137"/>
      <c r="Y98" s="137"/>
      <c r="Z98" s="137"/>
    </row>
    <row r="99" spans="1:26" ht="15" customHeight="1">
      <c r="A99" s="346">
        <f t="shared" si="21"/>
        <v>61</v>
      </c>
      <c r="B99" s="282"/>
      <c r="C99" s="347"/>
      <c r="D99" s="283"/>
      <c r="E99" s="347"/>
      <c r="F99" s="284"/>
      <c r="G99" s="348">
        <f>IFERROR(INDEX('【様式３】シフト表 '!$AK$7:$AK$106,MATCH($M99,'【様式３】シフト表 '!$B$7:$B$106,0),1),0)</f>
        <v>0</v>
      </c>
      <c r="H99" s="151"/>
      <c r="I99" s="285"/>
      <c r="J99" s="349" t="str">
        <f t="shared" si="17"/>
        <v>-</v>
      </c>
      <c r="K99" s="161"/>
      <c r="L99" s="286" t="b">
        <f t="shared" si="18"/>
        <v>0</v>
      </c>
      <c r="M99" s="287">
        <f>IF($E99&lt;&gt;$M$36,0,COUNTIF($E$39:E99,$M$36))</f>
        <v>0</v>
      </c>
      <c r="N99" s="287" t="e">
        <f t="shared" si="23"/>
        <v>#VALUE!</v>
      </c>
      <c r="O99" s="288" t="b">
        <f t="shared" si="19"/>
        <v>1</v>
      </c>
      <c r="P99" s="777"/>
      <c r="Q99" s="350">
        <f t="shared" si="14"/>
        <v>0</v>
      </c>
      <c r="R99" s="290">
        <f t="shared" si="15"/>
        <v>0</v>
      </c>
      <c r="S99" s="350">
        <f t="shared" ref="S99:V118" si="25">IF(AND($E99=S$35,$F99=S$36),$J99,0)</f>
        <v>0</v>
      </c>
      <c r="T99" s="290">
        <f t="shared" si="25"/>
        <v>0</v>
      </c>
      <c r="U99" s="290">
        <f t="shared" si="25"/>
        <v>0</v>
      </c>
      <c r="V99" s="351">
        <f t="shared" si="25"/>
        <v>0</v>
      </c>
      <c r="W99" s="352">
        <f t="shared" si="20"/>
        <v>0</v>
      </c>
      <c r="X99" s="137"/>
      <c r="Y99" s="137"/>
      <c r="Z99" s="137"/>
    </row>
    <row r="100" spans="1:26" ht="15" customHeight="1">
      <c r="A100" s="346">
        <f t="shared" si="21"/>
        <v>62</v>
      </c>
      <c r="B100" s="282"/>
      <c r="C100" s="347"/>
      <c r="D100" s="283"/>
      <c r="E100" s="347"/>
      <c r="F100" s="284"/>
      <c r="G100" s="348">
        <f>IFERROR(INDEX('【様式３】シフト表 '!$AK$7:$AK$106,MATCH($M100,'【様式３】シフト表 '!$B$7:$B$106,0),1),0)</f>
        <v>0</v>
      </c>
      <c r="H100" s="151"/>
      <c r="I100" s="285"/>
      <c r="J100" s="349" t="str">
        <f t="shared" si="17"/>
        <v>-</v>
      </c>
      <c r="K100" s="161"/>
      <c r="L100" s="286" t="b">
        <f t="shared" si="18"/>
        <v>0</v>
      </c>
      <c r="M100" s="287">
        <f>IF($E100&lt;&gt;$M$36,0,COUNTIF($E$39:E100,$M$36))</f>
        <v>0</v>
      </c>
      <c r="N100" s="287" t="e">
        <f t="shared" si="23"/>
        <v>#VALUE!</v>
      </c>
      <c r="O100" s="288" t="b">
        <f t="shared" si="19"/>
        <v>1</v>
      </c>
      <c r="P100" s="777"/>
      <c r="Q100" s="350">
        <f t="shared" si="14"/>
        <v>0</v>
      </c>
      <c r="R100" s="290">
        <f t="shared" si="15"/>
        <v>0</v>
      </c>
      <c r="S100" s="350">
        <f t="shared" si="25"/>
        <v>0</v>
      </c>
      <c r="T100" s="290">
        <f t="shared" si="25"/>
        <v>0</v>
      </c>
      <c r="U100" s="290">
        <f t="shared" si="25"/>
        <v>0</v>
      </c>
      <c r="V100" s="351">
        <f t="shared" si="25"/>
        <v>0</v>
      </c>
      <c r="W100" s="352">
        <f t="shared" si="20"/>
        <v>0</v>
      </c>
      <c r="X100" s="137"/>
      <c r="Y100" s="137"/>
      <c r="Z100" s="137"/>
    </row>
    <row r="101" spans="1:26" ht="15" customHeight="1">
      <c r="A101" s="346">
        <f t="shared" si="21"/>
        <v>63</v>
      </c>
      <c r="B101" s="282"/>
      <c r="C101" s="347"/>
      <c r="D101" s="283"/>
      <c r="E101" s="347"/>
      <c r="F101" s="284"/>
      <c r="G101" s="348">
        <f>IFERROR(INDEX('【様式３】シフト表 '!$AK$7:$AK$106,MATCH($M101,'【様式３】シフト表 '!$B$7:$B$106,0),1),0)</f>
        <v>0</v>
      </c>
      <c r="H101" s="151"/>
      <c r="I101" s="285"/>
      <c r="J101" s="349" t="str">
        <f t="shared" si="17"/>
        <v>-</v>
      </c>
      <c r="K101" s="161"/>
      <c r="L101" s="286" t="b">
        <f t="shared" si="18"/>
        <v>0</v>
      </c>
      <c r="M101" s="287">
        <f>IF($E101&lt;&gt;$M$36,0,COUNTIF($E$39:E101,$M$36))</f>
        <v>0</v>
      </c>
      <c r="N101" s="287" t="e">
        <f t="shared" si="23"/>
        <v>#VALUE!</v>
      </c>
      <c r="O101" s="288" t="b">
        <f t="shared" si="19"/>
        <v>1</v>
      </c>
      <c r="P101" s="777"/>
      <c r="Q101" s="350">
        <f t="shared" si="14"/>
        <v>0</v>
      </c>
      <c r="R101" s="290">
        <f t="shared" si="15"/>
        <v>0</v>
      </c>
      <c r="S101" s="350">
        <f t="shared" si="25"/>
        <v>0</v>
      </c>
      <c r="T101" s="290">
        <f t="shared" si="25"/>
        <v>0</v>
      </c>
      <c r="U101" s="290">
        <f t="shared" si="25"/>
        <v>0</v>
      </c>
      <c r="V101" s="351">
        <f t="shared" si="25"/>
        <v>0</v>
      </c>
      <c r="W101" s="352">
        <f t="shared" si="20"/>
        <v>0</v>
      </c>
      <c r="X101" s="137"/>
      <c r="Y101" s="137"/>
      <c r="Z101" s="137"/>
    </row>
    <row r="102" spans="1:26" ht="15" customHeight="1">
      <c r="A102" s="346">
        <f t="shared" si="21"/>
        <v>64</v>
      </c>
      <c r="B102" s="282"/>
      <c r="C102" s="347"/>
      <c r="D102" s="283"/>
      <c r="E102" s="347"/>
      <c r="F102" s="284"/>
      <c r="G102" s="348">
        <f>IFERROR(INDEX('【様式３】シフト表 '!$AK$7:$AK$106,MATCH($M102,'【様式３】シフト表 '!$B$7:$B$106,0),1),0)</f>
        <v>0</v>
      </c>
      <c r="H102" s="151"/>
      <c r="I102" s="285"/>
      <c r="J102" s="349" t="str">
        <f t="shared" si="17"/>
        <v>-</v>
      </c>
      <c r="K102" s="161"/>
      <c r="L102" s="286" t="b">
        <f t="shared" si="18"/>
        <v>0</v>
      </c>
      <c r="M102" s="287">
        <f>IF($E102&lt;&gt;$M$36,0,COUNTIF($E$39:E102,$M$36))</f>
        <v>0</v>
      </c>
      <c r="N102" s="287" t="e">
        <f t="shared" si="23"/>
        <v>#VALUE!</v>
      </c>
      <c r="O102" s="288" t="b">
        <f t="shared" si="19"/>
        <v>1</v>
      </c>
      <c r="P102" s="777"/>
      <c r="Q102" s="350">
        <f t="shared" si="14"/>
        <v>0</v>
      </c>
      <c r="R102" s="290">
        <f t="shared" si="15"/>
        <v>0</v>
      </c>
      <c r="S102" s="350">
        <f t="shared" si="25"/>
        <v>0</v>
      </c>
      <c r="T102" s="290">
        <f t="shared" si="25"/>
        <v>0</v>
      </c>
      <c r="U102" s="290">
        <f t="shared" si="25"/>
        <v>0</v>
      </c>
      <c r="V102" s="351">
        <f t="shared" si="25"/>
        <v>0</v>
      </c>
      <c r="W102" s="352">
        <f t="shared" si="20"/>
        <v>0</v>
      </c>
      <c r="X102" s="137"/>
      <c r="Y102" s="137"/>
      <c r="Z102" s="137"/>
    </row>
    <row r="103" spans="1:26" ht="15" customHeight="1">
      <c r="A103" s="346">
        <f t="shared" si="21"/>
        <v>65</v>
      </c>
      <c r="B103" s="282"/>
      <c r="C103" s="347"/>
      <c r="D103" s="283"/>
      <c r="E103" s="347"/>
      <c r="F103" s="284"/>
      <c r="G103" s="348">
        <f>IFERROR(INDEX('【様式３】シフト表 '!$AK$7:$AK$106,MATCH($M103,'【様式３】シフト表 '!$B$7:$B$106,0),1),0)</f>
        <v>0</v>
      </c>
      <c r="H103" s="151"/>
      <c r="I103" s="285"/>
      <c r="J103" s="349" t="str">
        <f t="shared" si="17"/>
        <v>-</v>
      </c>
      <c r="K103" s="161"/>
      <c r="L103" s="286" t="b">
        <f t="shared" si="18"/>
        <v>0</v>
      </c>
      <c r="M103" s="287">
        <f>IF($E103&lt;&gt;$M$36,0,COUNTIF($E$39:E103,$M$36))</f>
        <v>0</v>
      </c>
      <c r="N103" s="287" t="e">
        <f t="shared" ref="N103:N138" si="26">OR($H103&gt;$H$37,AND($E103=$AA$26,$F103&lt;&gt;$AB$26,$F103&lt;&gt;$AB$27,$F103&lt;&gt;$AB$28,$F103&lt;&gt;$AB$29),AND($E103=$AA$27,$F103&lt;&gt;$AC$26,$F103&lt;&gt;$AC$27,$F103&lt;&gt;$AC$28,$F103&lt;&gt;$AC$29))</f>
        <v>#VALUE!</v>
      </c>
      <c r="O103" s="288" t="b">
        <f t="shared" si="19"/>
        <v>1</v>
      </c>
      <c r="P103" s="777"/>
      <c r="Q103" s="350">
        <f t="shared" ref="Q103:Q138" si="27">IF($E103=Q$35,1,0)</f>
        <v>0</v>
      </c>
      <c r="R103" s="290">
        <f t="shared" ref="R103:R138" si="28">IF($E103=R$35,$G103,0)</f>
        <v>0</v>
      </c>
      <c r="S103" s="350">
        <f t="shared" si="25"/>
        <v>0</v>
      </c>
      <c r="T103" s="290">
        <f t="shared" si="25"/>
        <v>0</v>
      </c>
      <c r="U103" s="290">
        <f t="shared" si="25"/>
        <v>0</v>
      </c>
      <c r="V103" s="351">
        <f t="shared" si="25"/>
        <v>0</v>
      </c>
      <c r="W103" s="352">
        <f t="shared" si="20"/>
        <v>0</v>
      </c>
      <c r="X103" s="137"/>
      <c r="Y103" s="137"/>
      <c r="Z103" s="137"/>
    </row>
    <row r="104" spans="1:26" ht="15" customHeight="1">
      <c r="A104" s="346">
        <f t="shared" si="21"/>
        <v>66</v>
      </c>
      <c r="B104" s="282"/>
      <c r="C104" s="347"/>
      <c r="D104" s="283"/>
      <c r="E104" s="347"/>
      <c r="F104" s="284"/>
      <c r="G104" s="348">
        <f>IFERROR(INDEX('【様式３】シフト表 '!$AK$7:$AK$106,MATCH($M104,'【様式３】シフト表 '!$B$7:$B$106,0),1),0)</f>
        <v>0</v>
      </c>
      <c r="H104" s="151"/>
      <c r="I104" s="285"/>
      <c r="J104" s="349" t="str">
        <f t="shared" ref="J104:J138" si="29">IF(L104,IF(OR(O104,N104),"エラー",C104),"-")</f>
        <v>-</v>
      </c>
      <c r="K104" s="161"/>
      <c r="L104" s="286" t="b">
        <f t="shared" ref="L104:L138" si="30">$D104=$L$36</f>
        <v>0</v>
      </c>
      <c r="M104" s="287">
        <f>IF($E104&lt;&gt;$M$36,0,COUNTIF($E$39:E104,$M$36))</f>
        <v>0</v>
      </c>
      <c r="N104" s="287" t="e">
        <f t="shared" si="26"/>
        <v>#VALUE!</v>
      </c>
      <c r="O104" s="288" t="b">
        <f t="shared" ref="O104:O138" si="31">OR($B104=0,$C104=0,$E104=0,AND($E104&lt;&gt;0,$F104=0),AND($E104=O$36,$G104=0),$H104=0)</f>
        <v>1</v>
      </c>
      <c r="P104" s="777"/>
      <c r="Q104" s="350">
        <f t="shared" si="27"/>
        <v>0</v>
      </c>
      <c r="R104" s="290">
        <f t="shared" si="28"/>
        <v>0</v>
      </c>
      <c r="S104" s="350">
        <f t="shared" si="25"/>
        <v>0</v>
      </c>
      <c r="T104" s="290">
        <f t="shared" si="25"/>
        <v>0</v>
      </c>
      <c r="U104" s="290">
        <f t="shared" si="25"/>
        <v>0</v>
      </c>
      <c r="V104" s="351">
        <f t="shared" si="25"/>
        <v>0</v>
      </c>
      <c r="W104" s="352">
        <f t="shared" ref="W104:W138" si="32">IF($E104=W$35,$J104,0)</f>
        <v>0</v>
      </c>
      <c r="X104" s="137"/>
      <c r="Y104" s="137"/>
      <c r="Z104" s="137"/>
    </row>
    <row r="105" spans="1:26" ht="15" customHeight="1">
      <c r="A105" s="346">
        <f t="shared" ref="A105:A138" si="33">A104+1</f>
        <v>67</v>
      </c>
      <c r="B105" s="282"/>
      <c r="C105" s="347"/>
      <c r="D105" s="283"/>
      <c r="E105" s="347"/>
      <c r="F105" s="284"/>
      <c r="G105" s="348">
        <f>IFERROR(INDEX('【様式３】シフト表 '!$AK$7:$AK$106,MATCH($M105,'【様式３】シフト表 '!$B$7:$B$106,0),1),0)</f>
        <v>0</v>
      </c>
      <c r="H105" s="151"/>
      <c r="I105" s="285"/>
      <c r="J105" s="349" t="str">
        <f t="shared" si="29"/>
        <v>-</v>
      </c>
      <c r="K105" s="161"/>
      <c r="L105" s="286" t="b">
        <f t="shared" si="30"/>
        <v>0</v>
      </c>
      <c r="M105" s="287">
        <f>IF($E105&lt;&gt;$M$36,0,COUNTIF($E$39:E105,$M$36))</f>
        <v>0</v>
      </c>
      <c r="N105" s="287" t="e">
        <f t="shared" si="26"/>
        <v>#VALUE!</v>
      </c>
      <c r="O105" s="288" t="b">
        <f t="shared" si="31"/>
        <v>1</v>
      </c>
      <c r="P105" s="777"/>
      <c r="Q105" s="350">
        <f t="shared" si="27"/>
        <v>0</v>
      </c>
      <c r="R105" s="290">
        <f t="shared" si="28"/>
        <v>0</v>
      </c>
      <c r="S105" s="350">
        <f t="shared" si="25"/>
        <v>0</v>
      </c>
      <c r="T105" s="290">
        <f t="shared" si="25"/>
        <v>0</v>
      </c>
      <c r="U105" s="290">
        <f t="shared" si="25"/>
        <v>0</v>
      </c>
      <c r="V105" s="351">
        <f t="shared" si="25"/>
        <v>0</v>
      </c>
      <c r="W105" s="352">
        <f t="shared" si="32"/>
        <v>0</v>
      </c>
      <c r="X105" s="137"/>
      <c r="Y105" s="137"/>
      <c r="Z105" s="137"/>
    </row>
    <row r="106" spans="1:26" ht="15" customHeight="1">
      <c r="A106" s="346">
        <f t="shared" si="33"/>
        <v>68</v>
      </c>
      <c r="B106" s="282"/>
      <c r="C106" s="347"/>
      <c r="D106" s="283"/>
      <c r="E106" s="347"/>
      <c r="F106" s="284"/>
      <c r="G106" s="348">
        <f>IFERROR(INDEX('【様式３】シフト表 '!$AK$7:$AK$106,MATCH($M106,'【様式３】シフト表 '!$B$7:$B$106,0),1),0)</f>
        <v>0</v>
      </c>
      <c r="H106" s="151"/>
      <c r="I106" s="285"/>
      <c r="J106" s="349" t="str">
        <f t="shared" si="29"/>
        <v>-</v>
      </c>
      <c r="K106" s="161"/>
      <c r="L106" s="286" t="b">
        <f t="shared" si="30"/>
        <v>0</v>
      </c>
      <c r="M106" s="287">
        <f>IF($E106&lt;&gt;$M$36,0,COUNTIF($E$39:E106,$M$36))</f>
        <v>0</v>
      </c>
      <c r="N106" s="287" t="e">
        <f t="shared" si="26"/>
        <v>#VALUE!</v>
      </c>
      <c r="O106" s="288" t="b">
        <f t="shared" si="31"/>
        <v>1</v>
      </c>
      <c r="P106" s="777"/>
      <c r="Q106" s="350">
        <f t="shared" si="27"/>
        <v>0</v>
      </c>
      <c r="R106" s="290">
        <f t="shared" si="28"/>
        <v>0</v>
      </c>
      <c r="S106" s="350">
        <f t="shared" si="25"/>
        <v>0</v>
      </c>
      <c r="T106" s="290">
        <f t="shared" si="25"/>
        <v>0</v>
      </c>
      <c r="U106" s="290">
        <f t="shared" si="25"/>
        <v>0</v>
      </c>
      <c r="V106" s="351">
        <f t="shared" si="25"/>
        <v>0</v>
      </c>
      <c r="W106" s="352">
        <f t="shared" si="32"/>
        <v>0</v>
      </c>
      <c r="X106" s="137"/>
      <c r="Y106" s="137"/>
      <c r="Z106" s="137"/>
    </row>
    <row r="107" spans="1:26" ht="15" customHeight="1">
      <c r="A107" s="346">
        <f t="shared" si="33"/>
        <v>69</v>
      </c>
      <c r="B107" s="282"/>
      <c r="C107" s="347"/>
      <c r="D107" s="283"/>
      <c r="E107" s="347"/>
      <c r="F107" s="284"/>
      <c r="G107" s="348">
        <f>IFERROR(INDEX('【様式３】シフト表 '!$AK$7:$AK$106,MATCH($M107,'【様式３】シフト表 '!$B$7:$B$106,0),1),0)</f>
        <v>0</v>
      </c>
      <c r="H107" s="151"/>
      <c r="I107" s="285"/>
      <c r="J107" s="349" t="str">
        <f t="shared" si="29"/>
        <v>-</v>
      </c>
      <c r="K107" s="161"/>
      <c r="L107" s="286" t="b">
        <f t="shared" si="30"/>
        <v>0</v>
      </c>
      <c r="M107" s="287">
        <f>IF($E107&lt;&gt;$M$36,0,COUNTIF($E$39:E107,$M$36))</f>
        <v>0</v>
      </c>
      <c r="N107" s="287" t="e">
        <f t="shared" si="26"/>
        <v>#VALUE!</v>
      </c>
      <c r="O107" s="288" t="b">
        <f t="shared" si="31"/>
        <v>1</v>
      </c>
      <c r="P107" s="777"/>
      <c r="Q107" s="350">
        <f t="shared" si="27"/>
        <v>0</v>
      </c>
      <c r="R107" s="290">
        <f t="shared" si="28"/>
        <v>0</v>
      </c>
      <c r="S107" s="350">
        <f t="shared" si="25"/>
        <v>0</v>
      </c>
      <c r="T107" s="290">
        <f t="shared" si="25"/>
        <v>0</v>
      </c>
      <c r="U107" s="290">
        <f t="shared" si="25"/>
        <v>0</v>
      </c>
      <c r="V107" s="351">
        <f t="shared" si="25"/>
        <v>0</v>
      </c>
      <c r="W107" s="352">
        <f t="shared" si="32"/>
        <v>0</v>
      </c>
      <c r="X107" s="137"/>
      <c r="Y107" s="137"/>
      <c r="Z107" s="137"/>
    </row>
    <row r="108" spans="1:26" ht="15" customHeight="1">
      <c r="A108" s="346">
        <f t="shared" si="33"/>
        <v>70</v>
      </c>
      <c r="B108" s="282"/>
      <c r="C108" s="347"/>
      <c r="D108" s="283"/>
      <c r="E108" s="347"/>
      <c r="F108" s="284"/>
      <c r="G108" s="348">
        <f>IFERROR(INDEX('【様式３】シフト表 '!$AK$7:$AK$106,MATCH($M108,'【様式３】シフト表 '!$B$7:$B$106,0),1),0)</f>
        <v>0</v>
      </c>
      <c r="H108" s="151"/>
      <c r="I108" s="285"/>
      <c r="J108" s="349" t="str">
        <f t="shared" si="29"/>
        <v>-</v>
      </c>
      <c r="K108" s="161"/>
      <c r="L108" s="286" t="b">
        <f t="shared" si="30"/>
        <v>0</v>
      </c>
      <c r="M108" s="287">
        <f>IF($E108&lt;&gt;$M$36,0,COUNTIF($E$39:E108,$M$36))</f>
        <v>0</v>
      </c>
      <c r="N108" s="287" t="e">
        <f t="shared" si="26"/>
        <v>#VALUE!</v>
      </c>
      <c r="O108" s="288" t="b">
        <f t="shared" si="31"/>
        <v>1</v>
      </c>
      <c r="P108" s="777"/>
      <c r="Q108" s="350">
        <f t="shared" si="27"/>
        <v>0</v>
      </c>
      <c r="R108" s="290">
        <f t="shared" si="28"/>
        <v>0</v>
      </c>
      <c r="S108" s="350">
        <f t="shared" si="25"/>
        <v>0</v>
      </c>
      <c r="T108" s="290">
        <f t="shared" si="25"/>
        <v>0</v>
      </c>
      <c r="U108" s="290">
        <f t="shared" si="25"/>
        <v>0</v>
      </c>
      <c r="V108" s="351">
        <f t="shared" si="25"/>
        <v>0</v>
      </c>
      <c r="W108" s="352">
        <f t="shared" si="32"/>
        <v>0</v>
      </c>
      <c r="X108" s="137"/>
      <c r="Y108" s="137"/>
      <c r="Z108" s="137"/>
    </row>
    <row r="109" spans="1:26" ht="15" customHeight="1">
      <c r="A109" s="346">
        <f t="shared" si="33"/>
        <v>71</v>
      </c>
      <c r="B109" s="282"/>
      <c r="C109" s="347"/>
      <c r="D109" s="283"/>
      <c r="E109" s="347"/>
      <c r="F109" s="284"/>
      <c r="G109" s="348">
        <f>IFERROR(INDEX('【様式３】シフト表 '!$AK$7:$AK$106,MATCH($M109,'【様式３】シフト表 '!$B$7:$B$106,0),1),0)</f>
        <v>0</v>
      </c>
      <c r="H109" s="151"/>
      <c r="I109" s="285"/>
      <c r="J109" s="349" t="str">
        <f t="shared" si="29"/>
        <v>-</v>
      </c>
      <c r="K109" s="161"/>
      <c r="L109" s="286" t="b">
        <f t="shared" si="30"/>
        <v>0</v>
      </c>
      <c r="M109" s="287">
        <f>IF($E109&lt;&gt;$M$36,0,COUNTIF($E$39:E109,$M$36))</f>
        <v>0</v>
      </c>
      <c r="N109" s="287" t="e">
        <f t="shared" si="26"/>
        <v>#VALUE!</v>
      </c>
      <c r="O109" s="288" t="b">
        <f t="shared" si="31"/>
        <v>1</v>
      </c>
      <c r="P109" s="777"/>
      <c r="Q109" s="350">
        <f t="shared" si="27"/>
        <v>0</v>
      </c>
      <c r="R109" s="290">
        <f t="shared" si="28"/>
        <v>0</v>
      </c>
      <c r="S109" s="350">
        <f t="shared" si="25"/>
        <v>0</v>
      </c>
      <c r="T109" s="290">
        <f t="shared" si="25"/>
        <v>0</v>
      </c>
      <c r="U109" s="290">
        <f t="shared" si="25"/>
        <v>0</v>
      </c>
      <c r="V109" s="351">
        <f t="shared" si="25"/>
        <v>0</v>
      </c>
      <c r="W109" s="352">
        <f t="shared" si="32"/>
        <v>0</v>
      </c>
      <c r="X109" s="137"/>
      <c r="Y109" s="137"/>
      <c r="Z109" s="137"/>
    </row>
    <row r="110" spans="1:26" ht="15" customHeight="1">
      <c r="A110" s="346">
        <f t="shared" si="33"/>
        <v>72</v>
      </c>
      <c r="B110" s="282"/>
      <c r="C110" s="347"/>
      <c r="D110" s="283"/>
      <c r="E110" s="347"/>
      <c r="F110" s="284"/>
      <c r="G110" s="348">
        <f>IFERROR(INDEX('【様式３】シフト表 '!$AK$7:$AK$106,MATCH($M110,'【様式３】シフト表 '!$B$7:$B$106,0),1),0)</f>
        <v>0</v>
      </c>
      <c r="H110" s="151"/>
      <c r="I110" s="285"/>
      <c r="J110" s="349" t="str">
        <f t="shared" si="29"/>
        <v>-</v>
      </c>
      <c r="K110" s="161"/>
      <c r="L110" s="286" t="b">
        <f t="shared" si="30"/>
        <v>0</v>
      </c>
      <c r="M110" s="287">
        <f>IF($E110&lt;&gt;$M$36,0,COUNTIF($E$39:E110,$M$36))</f>
        <v>0</v>
      </c>
      <c r="N110" s="287" t="e">
        <f t="shared" si="26"/>
        <v>#VALUE!</v>
      </c>
      <c r="O110" s="288" t="b">
        <f t="shared" si="31"/>
        <v>1</v>
      </c>
      <c r="P110" s="777"/>
      <c r="Q110" s="350">
        <f t="shared" si="27"/>
        <v>0</v>
      </c>
      <c r="R110" s="290">
        <f t="shared" si="28"/>
        <v>0</v>
      </c>
      <c r="S110" s="350">
        <f t="shared" si="25"/>
        <v>0</v>
      </c>
      <c r="T110" s="290">
        <f t="shared" si="25"/>
        <v>0</v>
      </c>
      <c r="U110" s="290">
        <f t="shared" si="25"/>
        <v>0</v>
      </c>
      <c r="V110" s="351">
        <f t="shared" si="25"/>
        <v>0</v>
      </c>
      <c r="W110" s="352">
        <f t="shared" si="32"/>
        <v>0</v>
      </c>
      <c r="X110" s="137"/>
      <c r="Y110" s="137"/>
      <c r="Z110" s="137"/>
    </row>
    <row r="111" spans="1:26" ht="15" customHeight="1">
      <c r="A111" s="346">
        <f t="shared" si="33"/>
        <v>73</v>
      </c>
      <c r="B111" s="282"/>
      <c r="C111" s="347"/>
      <c r="D111" s="283"/>
      <c r="E111" s="347"/>
      <c r="F111" s="284"/>
      <c r="G111" s="348">
        <f>IFERROR(INDEX('【様式３】シフト表 '!$AK$7:$AK$106,MATCH($M111,'【様式３】シフト表 '!$B$7:$B$106,0),1),0)</f>
        <v>0</v>
      </c>
      <c r="H111" s="151"/>
      <c r="I111" s="285"/>
      <c r="J111" s="349" t="str">
        <f t="shared" si="29"/>
        <v>-</v>
      </c>
      <c r="K111" s="161"/>
      <c r="L111" s="286" t="b">
        <f t="shared" si="30"/>
        <v>0</v>
      </c>
      <c r="M111" s="287">
        <f>IF($E111&lt;&gt;$M$36,0,COUNTIF($E$39:E111,$M$36))</f>
        <v>0</v>
      </c>
      <c r="N111" s="287" t="e">
        <f t="shared" si="26"/>
        <v>#VALUE!</v>
      </c>
      <c r="O111" s="288" t="b">
        <f t="shared" si="31"/>
        <v>1</v>
      </c>
      <c r="P111" s="777"/>
      <c r="Q111" s="350">
        <f t="shared" si="27"/>
        <v>0</v>
      </c>
      <c r="R111" s="290">
        <f t="shared" si="28"/>
        <v>0</v>
      </c>
      <c r="S111" s="350">
        <f t="shared" si="25"/>
        <v>0</v>
      </c>
      <c r="T111" s="290">
        <f t="shared" si="25"/>
        <v>0</v>
      </c>
      <c r="U111" s="290">
        <f t="shared" si="25"/>
        <v>0</v>
      </c>
      <c r="V111" s="351">
        <f t="shared" si="25"/>
        <v>0</v>
      </c>
      <c r="W111" s="352">
        <f t="shared" si="32"/>
        <v>0</v>
      </c>
      <c r="X111" s="137"/>
      <c r="Y111" s="137"/>
      <c r="Z111" s="137"/>
    </row>
    <row r="112" spans="1:26" ht="15" customHeight="1">
      <c r="A112" s="346">
        <f t="shared" si="33"/>
        <v>74</v>
      </c>
      <c r="B112" s="282"/>
      <c r="C112" s="347"/>
      <c r="D112" s="283"/>
      <c r="E112" s="347"/>
      <c r="F112" s="284"/>
      <c r="G112" s="348">
        <f>IFERROR(INDEX('【様式３】シフト表 '!$AK$7:$AK$106,MATCH($M112,'【様式３】シフト表 '!$B$7:$B$106,0),1),0)</f>
        <v>0</v>
      </c>
      <c r="H112" s="151"/>
      <c r="I112" s="285"/>
      <c r="J112" s="349" t="str">
        <f t="shared" si="29"/>
        <v>-</v>
      </c>
      <c r="K112" s="161"/>
      <c r="L112" s="286" t="b">
        <f t="shared" si="30"/>
        <v>0</v>
      </c>
      <c r="M112" s="287">
        <f>IF($E112&lt;&gt;$M$36,0,COUNTIF($E$39:E112,$M$36))</f>
        <v>0</v>
      </c>
      <c r="N112" s="287" t="e">
        <f t="shared" si="26"/>
        <v>#VALUE!</v>
      </c>
      <c r="O112" s="288" t="b">
        <f t="shared" si="31"/>
        <v>1</v>
      </c>
      <c r="P112" s="777"/>
      <c r="Q112" s="350">
        <f t="shared" si="27"/>
        <v>0</v>
      </c>
      <c r="R112" s="290">
        <f t="shared" si="28"/>
        <v>0</v>
      </c>
      <c r="S112" s="350">
        <f t="shared" si="25"/>
        <v>0</v>
      </c>
      <c r="T112" s="290">
        <f t="shared" si="25"/>
        <v>0</v>
      </c>
      <c r="U112" s="290">
        <f t="shared" si="25"/>
        <v>0</v>
      </c>
      <c r="V112" s="351">
        <f t="shared" si="25"/>
        <v>0</v>
      </c>
      <c r="W112" s="352">
        <f t="shared" si="32"/>
        <v>0</v>
      </c>
      <c r="X112" s="137"/>
      <c r="Y112" s="137"/>
      <c r="Z112" s="137"/>
    </row>
    <row r="113" spans="1:26" ht="15" customHeight="1">
      <c r="A113" s="346">
        <f t="shared" si="33"/>
        <v>75</v>
      </c>
      <c r="B113" s="282"/>
      <c r="C113" s="347"/>
      <c r="D113" s="283"/>
      <c r="E113" s="347"/>
      <c r="F113" s="284"/>
      <c r="G113" s="348">
        <f>IFERROR(INDEX('【様式３】シフト表 '!$AK$7:$AK$106,MATCH($M113,'【様式３】シフト表 '!$B$7:$B$106,0),1),0)</f>
        <v>0</v>
      </c>
      <c r="H113" s="151"/>
      <c r="I113" s="285"/>
      <c r="J113" s="349" t="str">
        <f t="shared" si="29"/>
        <v>-</v>
      </c>
      <c r="K113" s="161"/>
      <c r="L113" s="286" t="b">
        <f t="shared" si="30"/>
        <v>0</v>
      </c>
      <c r="M113" s="287">
        <f>IF($E113&lt;&gt;$M$36,0,COUNTIF($E$39:E113,$M$36))</f>
        <v>0</v>
      </c>
      <c r="N113" s="287" t="e">
        <f t="shared" si="26"/>
        <v>#VALUE!</v>
      </c>
      <c r="O113" s="288" t="b">
        <f t="shared" si="31"/>
        <v>1</v>
      </c>
      <c r="P113" s="777"/>
      <c r="Q113" s="350">
        <f t="shared" si="27"/>
        <v>0</v>
      </c>
      <c r="R113" s="290">
        <f t="shared" si="28"/>
        <v>0</v>
      </c>
      <c r="S113" s="350">
        <f t="shared" si="25"/>
        <v>0</v>
      </c>
      <c r="T113" s="290">
        <f t="shared" si="25"/>
        <v>0</v>
      </c>
      <c r="U113" s="290">
        <f t="shared" si="25"/>
        <v>0</v>
      </c>
      <c r="V113" s="351">
        <f t="shared" si="25"/>
        <v>0</v>
      </c>
      <c r="W113" s="352">
        <f t="shared" si="32"/>
        <v>0</v>
      </c>
      <c r="X113" s="137"/>
      <c r="Y113" s="137"/>
      <c r="Z113" s="137"/>
    </row>
    <row r="114" spans="1:26" ht="15" customHeight="1">
      <c r="A114" s="346">
        <f t="shared" si="33"/>
        <v>76</v>
      </c>
      <c r="B114" s="282"/>
      <c r="C114" s="347"/>
      <c r="D114" s="283"/>
      <c r="E114" s="347"/>
      <c r="F114" s="284"/>
      <c r="G114" s="348">
        <f>IFERROR(INDEX('【様式３】シフト表 '!$AK$7:$AK$106,MATCH($M114,'【様式３】シフト表 '!$B$7:$B$106,0),1),0)</f>
        <v>0</v>
      </c>
      <c r="H114" s="151"/>
      <c r="I114" s="285"/>
      <c r="J114" s="349" t="str">
        <f t="shared" si="29"/>
        <v>-</v>
      </c>
      <c r="K114" s="161"/>
      <c r="L114" s="286" t="b">
        <f t="shared" si="30"/>
        <v>0</v>
      </c>
      <c r="M114" s="287">
        <f>IF($E114&lt;&gt;$M$36,0,COUNTIF($E$39:E114,$M$36))</f>
        <v>0</v>
      </c>
      <c r="N114" s="287" t="e">
        <f t="shared" si="26"/>
        <v>#VALUE!</v>
      </c>
      <c r="O114" s="288" t="b">
        <f t="shared" si="31"/>
        <v>1</v>
      </c>
      <c r="P114" s="777"/>
      <c r="Q114" s="350">
        <f t="shared" si="27"/>
        <v>0</v>
      </c>
      <c r="R114" s="290">
        <f t="shared" si="28"/>
        <v>0</v>
      </c>
      <c r="S114" s="350">
        <f t="shared" si="25"/>
        <v>0</v>
      </c>
      <c r="T114" s="290">
        <f t="shared" si="25"/>
        <v>0</v>
      </c>
      <c r="U114" s="290">
        <f t="shared" si="25"/>
        <v>0</v>
      </c>
      <c r="V114" s="351">
        <f t="shared" si="25"/>
        <v>0</v>
      </c>
      <c r="W114" s="352">
        <f t="shared" si="32"/>
        <v>0</v>
      </c>
      <c r="X114" s="137"/>
      <c r="Y114" s="137"/>
      <c r="Z114" s="137"/>
    </row>
    <row r="115" spans="1:26" ht="15" customHeight="1">
      <c r="A115" s="346">
        <f t="shared" si="33"/>
        <v>77</v>
      </c>
      <c r="B115" s="282"/>
      <c r="C115" s="347"/>
      <c r="D115" s="283"/>
      <c r="E115" s="347"/>
      <c r="F115" s="284"/>
      <c r="G115" s="348">
        <f>IFERROR(INDEX('【様式３】シフト表 '!$AK$7:$AK$106,MATCH($M115,'【様式３】シフト表 '!$B$7:$B$106,0),1),0)</f>
        <v>0</v>
      </c>
      <c r="H115" s="151"/>
      <c r="I115" s="285"/>
      <c r="J115" s="349" t="str">
        <f t="shared" si="29"/>
        <v>-</v>
      </c>
      <c r="K115" s="161"/>
      <c r="L115" s="286" t="b">
        <f t="shared" si="30"/>
        <v>0</v>
      </c>
      <c r="M115" s="287">
        <f>IF($E115&lt;&gt;$M$36,0,COUNTIF($E$39:E115,$M$36))</f>
        <v>0</v>
      </c>
      <c r="N115" s="287" t="e">
        <f t="shared" si="26"/>
        <v>#VALUE!</v>
      </c>
      <c r="O115" s="288" t="b">
        <f t="shared" si="31"/>
        <v>1</v>
      </c>
      <c r="P115" s="777"/>
      <c r="Q115" s="350">
        <f t="shared" si="27"/>
        <v>0</v>
      </c>
      <c r="R115" s="290">
        <f t="shared" si="28"/>
        <v>0</v>
      </c>
      <c r="S115" s="350">
        <f t="shared" si="25"/>
        <v>0</v>
      </c>
      <c r="T115" s="290">
        <f t="shared" si="25"/>
        <v>0</v>
      </c>
      <c r="U115" s="290">
        <f t="shared" si="25"/>
        <v>0</v>
      </c>
      <c r="V115" s="351">
        <f t="shared" si="25"/>
        <v>0</v>
      </c>
      <c r="W115" s="352">
        <f t="shared" si="32"/>
        <v>0</v>
      </c>
      <c r="X115" s="137"/>
      <c r="Y115" s="137"/>
      <c r="Z115" s="137"/>
    </row>
    <row r="116" spans="1:26" ht="15" customHeight="1">
      <c r="A116" s="346">
        <f t="shared" si="33"/>
        <v>78</v>
      </c>
      <c r="B116" s="282"/>
      <c r="C116" s="347"/>
      <c r="D116" s="283"/>
      <c r="E116" s="347"/>
      <c r="F116" s="284"/>
      <c r="G116" s="348">
        <f>IFERROR(INDEX('【様式３】シフト表 '!$AK$7:$AK$106,MATCH($M116,'【様式３】シフト表 '!$B$7:$B$106,0),1),0)</f>
        <v>0</v>
      </c>
      <c r="H116" s="151"/>
      <c r="I116" s="285"/>
      <c r="J116" s="349" t="str">
        <f t="shared" si="29"/>
        <v>-</v>
      </c>
      <c r="K116" s="161"/>
      <c r="L116" s="286" t="b">
        <f t="shared" si="30"/>
        <v>0</v>
      </c>
      <c r="M116" s="287">
        <f>IF($E116&lt;&gt;$M$36,0,COUNTIF($E$39:E116,$M$36))</f>
        <v>0</v>
      </c>
      <c r="N116" s="287" t="e">
        <f t="shared" si="26"/>
        <v>#VALUE!</v>
      </c>
      <c r="O116" s="288" t="b">
        <f t="shared" si="31"/>
        <v>1</v>
      </c>
      <c r="P116" s="777"/>
      <c r="Q116" s="350">
        <f t="shared" si="27"/>
        <v>0</v>
      </c>
      <c r="R116" s="290">
        <f t="shared" si="28"/>
        <v>0</v>
      </c>
      <c r="S116" s="350">
        <f t="shared" si="25"/>
        <v>0</v>
      </c>
      <c r="T116" s="290">
        <f t="shared" si="25"/>
        <v>0</v>
      </c>
      <c r="U116" s="290">
        <f t="shared" si="25"/>
        <v>0</v>
      </c>
      <c r="V116" s="351">
        <f t="shared" si="25"/>
        <v>0</v>
      </c>
      <c r="W116" s="352">
        <f t="shared" si="32"/>
        <v>0</v>
      </c>
      <c r="X116" s="137"/>
      <c r="Y116" s="137"/>
      <c r="Z116" s="137"/>
    </row>
    <row r="117" spans="1:26" ht="15" customHeight="1">
      <c r="A117" s="346">
        <f t="shared" si="33"/>
        <v>79</v>
      </c>
      <c r="B117" s="282"/>
      <c r="C117" s="347"/>
      <c r="D117" s="283"/>
      <c r="E117" s="347"/>
      <c r="F117" s="284"/>
      <c r="G117" s="348">
        <f>IFERROR(INDEX('【様式３】シフト表 '!$AK$7:$AK$106,MATCH($M117,'【様式３】シフト表 '!$B$7:$B$106,0),1),0)</f>
        <v>0</v>
      </c>
      <c r="H117" s="151"/>
      <c r="I117" s="285"/>
      <c r="J117" s="349" t="str">
        <f t="shared" si="29"/>
        <v>-</v>
      </c>
      <c r="K117" s="161"/>
      <c r="L117" s="286" t="b">
        <f t="shared" si="30"/>
        <v>0</v>
      </c>
      <c r="M117" s="287">
        <f>IF($E117&lt;&gt;$M$36,0,COUNTIF($E$39:E117,$M$36))</f>
        <v>0</v>
      </c>
      <c r="N117" s="287" t="e">
        <f t="shared" si="26"/>
        <v>#VALUE!</v>
      </c>
      <c r="O117" s="288" t="b">
        <f t="shared" si="31"/>
        <v>1</v>
      </c>
      <c r="P117" s="777"/>
      <c r="Q117" s="350">
        <f t="shared" si="27"/>
        <v>0</v>
      </c>
      <c r="R117" s="290">
        <f t="shared" si="28"/>
        <v>0</v>
      </c>
      <c r="S117" s="350">
        <f t="shared" si="25"/>
        <v>0</v>
      </c>
      <c r="T117" s="290">
        <f t="shared" si="25"/>
        <v>0</v>
      </c>
      <c r="U117" s="290">
        <f t="shared" si="25"/>
        <v>0</v>
      </c>
      <c r="V117" s="351">
        <f t="shared" si="25"/>
        <v>0</v>
      </c>
      <c r="W117" s="352">
        <f t="shared" si="32"/>
        <v>0</v>
      </c>
      <c r="X117" s="137"/>
      <c r="Y117" s="137"/>
      <c r="Z117" s="137"/>
    </row>
    <row r="118" spans="1:26" ht="15" customHeight="1">
      <c r="A118" s="346">
        <f t="shared" si="33"/>
        <v>80</v>
      </c>
      <c r="B118" s="282"/>
      <c r="C118" s="347"/>
      <c r="D118" s="283"/>
      <c r="E118" s="347"/>
      <c r="F118" s="284"/>
      <c r="G118" s="348">
        <f>IFERROR(INDEX('【様式３】シフト表 '!$AK$7:$AK$106,MATCH($M118,'【様式３】シフト表 '!$B$7:$B$106,0),1),0)</f>
        <v>0</v>
      </c>
      <c r="H118" s="151"/>
      <c r="I118" s="285"/>
      <c r="J118" s="349" t="str">
        <f t="shared" si="29"/>
        <v>-</v>
      </c>
      <c r="K118" s="161"/>
      <c r="L118" s="286" t="b">
        <f t="shared" si="30"/>
        <v>0</v>
      </c>
      <c r="M118" s="287">
        <f>IF($E118&lt;&gt;$M$36,0,COUNTIF($E$39:E118,$M$36))</f>
        <v>0</v>
      </c>
      <c r="N118" s="287" t="e">
        <f t="shared" si="26"/>
        <v>#VALUE!</v>
      </c>
      <c r="O118" s="288" t="b">
        <f t="shared" si="31"/>
        <v>1</v>
      </c>
      <c r="P118" s="777"/>
      <c r="Q118" s="350">
        <f t="shared" si="27"/>
        <v>0</v>
      </c>
      <c r="R118" s="290">
        <f t="shared" si="28"/>
        <v>0</v>
      </c>
      <c r="S118" s="350">
        <f t="shared" si="25"/>
        <v>0</v>
      </c>
      <c r="T118" s="290">
        <f t="shared" si="25"/>
        <v>0</v>
      </c>
      <c r="U118" s="290">
        <f t="shared" si="25"/>
        <v>0</v>
      </c>
      <c r="V118" s="351">
        <f t="shared" si="25"/>
        <v>0</v>
      </c>
      <c r="W118" s="352">
        <f t="shared" si="32"/>
        <v>0</v>
      </c>
      <c r="X118" s="137"/>
      <c r="Y118" s="137"/>
      <c r="Z118" s="137"/>
    </row>
    <row r="119" spans="1:26" ht="15" customHeight="1">
      <c r="A119" s="346">
        <f t="shared" si="33"/>
        <v>81</v>
      </c>
      <c r="B119" s="282"/>
      <c r="C119" s="347"/>
      <c r="D119" s="283"/>
      <c r="E119" s="347"/>
      <c r="F119" s="284"/>
      <c r="G119" s="348">
        <f>IFERROR(INDEX('【様式３】シフト表 '!$AK$7:$AK$106,MATCH($M119,'【様式３】シフト表 '!$B$7:$B$106,0),1),0)</f>
        <v>0</v>
      </c>
      <c r="H119" s="151"/>
      <c r="I119" s="285"/>
      <c r="J119" s="349" t="str">
        <f t="shared" si="29"/>
        <v>-</v>
      </c>
      <c r="K119" s="161"/>
      <c r="L119" s="286" t="b">
        <f t="shared" si="30"/>
        <v>0</v>
      </c>
      <c r="M119" s="287">
        <f>IF($E119&lt;&gt;$M$36,0,COUNTIF($E$39:E119,$M$36))</f>
        <v>0</v>
      </c>
      <c r="N119" s="287" t="e">
        <f t="shared" si="26"/>
        <v>#VALUE!</v>
      </c>
      <c r="O119" s="288" t="b">
        <f t="shared" si="31"/>
        <v>1</v>
      </c>
      <c r="P119" s="777"/>
      <c r="Q119" s="350">
        <f t="shared" si="27"/>
        <v>0</v>
      </c>
      <c r="R119" s="290">
        <f t="shared" si="28"/>
        <v>0</v>
      </c>
      <c r="S119" s="350">
        <f t="shared" ref="S119:V138" si="34">IF(AND($E119=S$35,$F119=S$36),$J119,0)</f>
        <v>0</v>
      </c>
      <c r="T119" s="290">
        <f t="shared" si="34"/>
        <v>0</v>
      </c>
      <c r="U119" s="290">
        <f t="shared" si="34"/>
        <v>0</v>
      </c>
      <c r="V119" s="351">
        <f t="shared" si="34"/>
        <v>0</v>
      </c>
      <c r="W119" s="352">
        <f t="shared" si="32"/>
        <v>0</v>
      </c>
      <c r="X119" s="137"/>
      <c r="Y119" s="137"/>
      <c r="Z119" s="137"/>
    </row>
    <row r="120" spans="1:26" ht="15" customHeight="1">
      <c r="A120" s="346">
        <f t="shared" si="33"/>
        <v>82</v>
      </c>
      <c r="B120" s="282"/>
      <c r="C120" s="347"/>
      <c r="D120" s="283"/>
      <c r="E120" s="347"/>
      <c r="F120" s="284"/>
      <c r="G120" s="348">
        <f>IFERROR(INDEX('【様式３】シフト表 '!$AK$7:$AK$106,MATCH($M120,'【様式３】シフト表 '!$B$7:$B$106,0),1),0)</f>
        <v>0</v>
      </c>
      <c r="H120" s="151"/>
      <c r="I120" s="285"/>
      <c r="J120" s="349" t="str">
        <f t="shared" si="29"/>
        <v>-</v>
      </c>
      <c r="K120" s="161"/>
      <c r="L120" s="286" t="b">
        <f t="shared" si="30"/>
        <v>0</v>
      </c>
      <c r="M120" s="287">
        <f>IF($E120&lt;&gt;$M$36,0,COUNTIF($E$39:E120,$M$36))</f>
        <v>0</v>
      </c>
      <c r="N120" s="287" t="e">
        <f t="shared" si="26"/>
        <v>#VALUE!</v>
      </c>
      <c r="O120" s="288" t="b">
        <f t="shared" si="31"/>
        <v>1</v>
      </c>
      <c r="P120" s="777"/>
      <c r="Q120" s="350">
        <f t="shared" si="27"/>
        <v>0</v>
      </c>
      <c r="R120" s="290">
        <f t="shared" si="28"/>
        <v>0</v>
      </c>
      <c r="S120" s="350">
        <f t="shared" si="34"/>
        <v>0</v>
      </c>
      <c r="T120" s="290">
        <f t="shared" si="34"/>
        <v>0</v>
      </c>
      <c r="U120" s="290">
        <f t="shared" si="34"/>
        <v>0</v>
      </c>
      <c r="V120" s="351">
        <f t="shared" si="34"/>
        <v>0</v>
      </c>
      <c r="W120" s="352">
        <f t="shared" si="32"/>
        <v>0</v>
      </c>
      <c r="X120" s="137"/>
      <c r="Y120" s="137"/>
      <c r="Z120" s="137"/>
    </row>
    <row r="121" spans="1:26" ht="15" customHeight="1">
      <c r="A121" s="346">
        <f t="shared" si="33"/>
        <v>83</v>
      </c>
      <c r="B121" s="282"/>
      <c r="C121" s="347"/>
      <c r="D121" s="283"/>
      <c r="E121" s="347"/>
      <c r="F121" s="284"/>
      <c r="G121" s="348">
        <f>IFERROR(INDEX('【様式３】シフト表 '!$AK$7:$AK$106,MATCH($M121,'【様式３】シフト表 '!$B$7:$B$106,0),1),0)</f>
        <v>0</v>
      </c>
      <c r="H121" s="151"/>
      <c r="I121" s="285"/>
      <c r="J121" s="349" t="str">
        <f t="shared" si="29"/>
        <v>-</v>
      </c>
      <c r="K121" s="161"/>
      <c r="L121" s="286" t="b">
        <f t="shared" si="30"/>
        <v>0</v>
      </c>
      <c r="M121" s="287">
        <f>IF($E121&lt;&gt;$M$36,0,COUNTIF($E$39:E121,$M$36))</f>
        <v>0</v>
      </c>
      <c r="N121" s="287" t="e">
        <f t="shared" si="26"/>
        <v>#VALUE!</v>
      </c>
      <c r="O121" s="288" t="b">
        <f t="shared" si="31"/>
        <v>1</v>
      </c>
      <c r="P121" s="777"/>
      <c r="Q121" s="350">
        <f t="shared" si="27"/>
        <v>0</v>
      </c>
      <c r="R121" s="290">
        <f t="shared" si="28"/>
        <v>0</v>
      </c>
      <c r="S121" s="350">
        <f t="shared" si="34"/>
        <v>0</v>
      </c>
      <c r="T121" s="290">
        <f t="shared" si="34"/>
        <v>0</v>
      </c>
      <c r="U121" s="290">
        <f t="shared" si="34"/>
        <v>0</v>
      </c>
      <c r="V121" s="351">
        <f t="shared" si="34"/>
        <v>0</v>
      </c>
      <c r="W121" s="352">
        <f t="shared" si="32"/>
        <v>0</v>
      </c>
      <c r="X121" s="137"/>
      <c r="Y121" s="137"/>
      <c r="Z121" s="137"/>
    </row>
    <row r="122" spans="1:26" ht="15" customHeight="1">
      <c r="A122" s="346">
        <f t="shared" si="33"/>
        <v>84</v>
      </c>
      <c r="B122" s="282"/>
      <c r="C122" s="347"/>
      <c r="D122" s="283"/>
      <c r="E122" s="347"/>
      <c r="F122" s="284"/>
      <c r="G122" s="348">
        <f>IFERROR(INDEX('【様式３】シフト表 '!$AK$7:$AK$106,MATCH($M122,'【様式３】シフト表 '!$B$7:$B$106,0),1),0)</f>
        <v>0</v>
      </c>
      <c r="H122" s="151"/>
      <c r="I122" s="285"/>
      <c r="J122" s="349" t="str">
        <f t="shared" si="29"/>
        <v>-</v>
      </c>
      <c r="K122" s="161"/>
      <c r="L122" s="286" t="b">
        <f t="shared" si="30"/>
        <v>0</v>
      </c>
      <c r="M122" s="287">
        <f>IF($E122&lt;&gt;$M$36,0,COUNTIF($E$39:E122,$M$36))</f>
        <v>0</v>
      </c>
      <c r="N122" s="287" t="e">
        <f t="shared" si="26"/>
        <v>#VALUE!</v>
      </c>
      <c r="O122" s="288" t="b">
        <f t="shared" si="31"/>
        <v>1</v>
      </c>
      <c r="P122" s="777"/>
      <c r="Q122" s="350">
        <f t="shared" si="27"/>
        <v>0</v>
      </c>
      <c r="R122" s="290">
        <f t="shared" si="28"/>
        <v>0</v>
      </c>
      <c r="S122" s="350">
        <f t="shared" si="34"/>
        <v>0</v>
      </c>
      <c r="T122" s="290">
        <f t="shared" si="34"/>
        <v>0</v>
      </c>
      <c r="U122" s="290">
        <f t="shared" si="34"/>
        <v>0</v>
      </c>
      <c r="V122" s="351">
        <f t="shared" si="34"/>
        <v>0</v>
      </c>
      <c r="W122" s="352">
        <f t="shared" si="32"/>
        <v>0</v>
      </c>
      <c r="X122" s="137"/>
      <c r="Y122" s="137"/>
      <c r="Z122" s="137"/>
    </row>
    <row r="123" spans="1:26" ht="15" customHeight="1">
      <c r="A123" s="346">
        <f t="shared" si="33"/>
        <v>85</v>
      </c>
      <c r="B123" s="282"/>
      <c r="C123" s="347"/>
      <c r="D123" s="283"/>
      <c r="E123" s="347"/>
      <c r="F123" s="284"/>
      <c r="G123" s="348">
        <f>IFERROR(INDEX('【様式３】シフト表 '!$AK$7:$AK$106,MATCH($M123,'【様式３】シフト表 '!$B$7:$B$106,0),1),0)</f>
        <v>0</v>
      </c>
      <c r="H123" s="151"/>
      <c r="I123" s="285"/>
      <c r="J123" s="349" t="str">
        <f t="shared" si="29"/>
        <v>-</v>
      </c>
      <c r="K123" s="161"/>
      <c r="L123" s="286" t="b">
        <f t="shared" si="30"/>
        <v>0</v>
      </c>
      <c r="M123" s="287">
        <f>IF($E123&lt;&gt;$M$36,0,COUNTIF($E$39:E123,$M$36))</f>
        <v>0</v>
      </c>
      <c r="N123" s="287" t="e">
        <f t="shared" si="26"/>
        <v>#VALUE!</v>
      </c>
      <c r="O123" s="288" t="b">
        <f t="shared" si="31"/>
        <v>1</v>
      </c>
      <c r="P123" s="777"/>
      <c r="Q123" s="350">
        <f t="shared" si="27"/>
        <v>0</v>
      </c>
      <c r="R123" s="290">
        <f t="shared" si="28"/>
        <v>0</v>
      </c>
      <c r="S123" s="350">
        <f t="shared" si="34"/>
        <v>0</v>
      </c>
      <c r="T123" s="290">
        <f t="shared" si="34"/>
        <v>0</v>
      </c>
      <c r="U123" s="290">
        <f t="shared" si="34"/>
        <v>0</v>
      </c>
      <c r="V123" s="351">
        <f t="shared" si="34"/>
        <v>0</v>
      </c>
      <c r="W123" s="352">
        <f t="shared" si="32"/>
        <v>0</v>
      </c>
      <c r="X123" s="137"/>
      <c r="Y123" s="137"/>
      <c r="Z123" s="137"/>
    </row>
    <row r="124" spans="1:26" ht="15" customHeight="1">
      <c r="A124" s="346">
        <f t="shared" si="33"/>
        <v>86</v>
      </c>
      <c r="B124" s="282"/>
      <c r="C124" s="347"/>
      <c r="D124" s="283"/>
      <c r="E124" s="347"/>
      <c r="F124" s="284"/>
      <c r="G124" s="348">
        <f>IFERROR(INDEX('【様式３】シフト表 '!$AK$7:$AK$106,MATCH($M124,'【様式３】シフト表 '!$B$7:$B$106,0),1),0)</f>
        <v>0</v>
      </c>
      <c r="H124" s="151"/>
      <c r="I124" s="285"/>
      <c r="J124" s="349" t="str">
        <f t="shared" si="29"/>
        <v>-</v>
      </c>
      <c r="K124" s="161"/>
      <c r="L124" s="286" t="b">
        <f t="shared" si="30"/>
        <v>0</v>
      </c>
      <c r="M124" s="287">
        <f>IF($E124&lt;&gt;$M$36,0,COUNTIF($E$39:E124,$M$36))</f>
        <v>0</v>
      </c>
      <c r="N124" s="287" t="e">
        <f t="shared" si="26"/>
        <v>#VALUE!</v>
      </c>
      <c r="O124" s="288" t="b">
        <f t="shared" si="31"/>
        <v>1</v>
      </c>
      <c r="P124" s="777"/>
      <c r="Q124" s="350">
        <f t="shared" si="27"/>
        <v>0</v>
      </c>
      <c r="R124" s="290">
        <f t="shared" si="28"/>
        <v>0</v>
      </c>
      <c r="S124" s="350">
        <f t="shared" si="34"/>
        <v>0</v>
      </c>
      <c r="T124" s="290">
        <f t="shared" si="34"/>
        <v>0</v>
      </c>
      <c r="U124" s="290">
        <f t="shared" si="34"/>
        <v>0</v>
      </c>
      <c r="V124" s="351">
        <f t="shared" si="34"/>
        <v>0</v>
      </c>
      <c r="W124" s="352">
        <f t="shared" si="32"/>
        <v>0</v>
      </c>
      <c r="X124" s="137"/>
      <c r="Y124" s="137"/>
      <c r="Z124" s="137"/>
    </row>
    <row r="125" spans="1:26" ht="15" customHeight="1">
      <c r="A125" s="346">
        <f t="shared" si="33"/>
        <v>87</v>
      </c>
      <c r="B125" s="282"/>
      <c r="C125" s="347"/>
      <c r="D125" s="283"/>
      <c r="E125" s="347"/>
      <c r="F125" s="284"/>
      <c r="G125" s="348">
        <f>IFERROR(INDEX('【様式３】シフト表 '!$AK$7:$AK$106,MATCH($M125,'【様式３】シフト表 '!$B$7:$B$106,0),1),0)</f>
        <v>0</v>
      </c>
      <c r="H125" s="151"/>
      <c r="I125" s="285"/>
      <c r="J125" s="349" t="str">
        <f t="shared" si="29"/>
        <v>-</v>
      </c>
      <c r="K125" s="161"/>
      <c r="L125" s="286" t="b">
        <f t="shared" si="30"/>
        <v>0</v>
      </c>
      <c r="M125" s="287">
        <f>IF($E125&lt;&gt;$M$36,0,COUNTIF($E$39:E125,$M$36))</f>
        <v>0</v>
      </c>
      <c r="N125" s="287" t="e">
        <f t="shared" si="26"/>
        <v>#VALUE!</v>
      </c>
      <c r="O125" s="288" t="b">
        <f t="shared" si="31"/>
        <v>1</v>
      </c>
      <c r="P125" s="777"/>
      <c r="Q125" s="350">
        <f t="shared" si="27"/>
        <v>0</v>
      </c>
      <c r="R125" s="290">
        <f t="shared" si="28"/>
        <v>0</v>
      </c>
      <c r="S125" s="350">
        <f t="shared" si="34"/>
        <v>0</v>
      </c>
      <c r="T125" s="290">
        <f t="shared" si="34"/>
        <v>0</v>
      </c>
      <c r="U125" s="290">
        <f t="shared" si="34"/>
        <v>0</v>
      </c>
      <c r="V125" s="351">
        <f t="shared" si="34"/>
        <v>0</v>
      </c>
      <c r="W125" s="352">
        <f t="shared" si="32"/>
        <v>0</v>
      </c>
      <c r="X125" s="137"/>
      <c r="Y125" s="137"/>
      <c r="Z125" s="137"/>
    </row>
    <row r="126" spans="1:26" ht="15" customHeight="1">
      <c r="A126" s="346">
        <f t="shared" si="33"/>
        <v>88</v>
      </c>
      <c r="B126" s="282"/>
      <c r="C126" s="347"/>
      <c r="D126" s="283"/>
      <c r="E126" s="347"/>
      <c r="F126" s="284"/>
      <c r="G126" s="348">
        <f>IFERROR(INDEX('【様式３】シフト表 '!$AK$7:$AK$106,MATCH($M126,'【様式３】シフト表 '!$B$7:$B$106,0),1),0)</f>
        <v>0</v>
      </c>
      <c r="H126" s="151"/>
      <c r="I126" s="285"/>
      <c r="J126" s="349" t="str">
        <f t="shared" si="29"/>
        <v>-</v>
      </c>
      <c r="K126" s="161"/>
      <c r="L126" s="286" t="b">
        <f t="shared" si="30"/>
        <v>0</v>
      </c>
      <c r="M126" s="287">
        <f>IF($E126&lt;&gt;$M$36,0,COUNTIF($E$39:E126,$M$36))</f>
        <v>0</v>
      </c>
      <c r="N126" s="287" t="e">
        <f t="shared" si="26"/>
        <v>#VALUE!</v>
      </c>
      <c r="O126" s="288" t="b">
        <f t="shared" si="31"/>
        <v>1</v>
      </c>
      <c r="P126" s="777"/>
      <c r="Q126" s="350">
        <f t="shared" si="27"/>
        <v>0</v>
      </c>
      <c r="R126" s="290">
        <f t="shared" si="28"/>
        <v>0</v>
      </c>
      <c r="S126" s="350">
        <f t="shared" si="34"/>
        <v>0</v>
      </c>
      <c r="T126" s="290">
        <f t="shared" si="34"/>
        <v>0</v>
      </c>
      <c r="U126" s="290">
        <f t="shared" si="34"/>
        <v>0</v>
      </c>
      <c r="V126" s="351">
        <f t="shared" si="34"/>
        <v>0</v>
      </c>
      <c r="W126" s="352">
        <f t="shared" si="32"/>
        <v>0</v>
      </c>
      <c r="X126" s="137"/>
      <c r="Y126" s="137"/>
      <c r="Z126" s="137"/>
    </row>
    <row r="127" spans="1:26" ht="15" customHeight="1">
      <c r="A127" s="346">
        <f t="shared" si="33"/>
        <v>89</v>
      </c>
      <c r="B127" s="282"/>
      <c r="C127" s="347"/>
      <c r="D127" s="283"/>
      <c r="E127" s="347"/>
      <c r="F127" s="284"/>
      <c r="G127" s="348">
        <f>IFERROR(INDEX('【様式３】シフト表 '!$AK$7:$AK$106,MATCH($M127,'【様式３】シフト表 '!$B$7:$B$106,0),1),0)</f>
        <v>0</v>
      </c>
      <c r="H127" s="151"/>
      <c r="I127" s="285"/>
      <c r="J127" s="349" t="str">
        <f t="shared" si="29"/>
        <v>-</v>
      </c>
      <c r="K127" s="161"/>
      <c r="L127" s="286" t="b">
        <f t="shared" si="30"/>
        <v>0</v>
      </c>
      <c r="M127" s="287">
        <f>IF($E127&lt;&gt;$M$36,0,COUNTIF($E$39:E127,$M$36))</f>
        <v>0</v>
      </c>
      <c r="N127" s="287" t="e">
        <f t="shared" si="26"/>
        <v>#VALUE!</v>
      </c>
      <c r="O127" s="288" t="b">
        <f t="shared" si="31"/>
        <v>1</v>
      </c>
      <c r="P127" s="777"/>
      <c r="Q127" s="350">
        <f t="shared" si="27"/>
        <v>0</v>
      </c>
      <c r="R127" s="290">
        <f t="shared" si="28"/>
        <v>0</v>
      </c>
      <c r="S127" s="350">
        <f t="shared" si="34"/>
        <v>0</v>
      </c>
      <c r="T127" s="290">
        <f t="shared" si="34"/>
        <v>0</v>
      </c>
      <c r="U127" s="290">
        <f t="shared" si="34"/>
        <v>0</v>
      </c>
      <c r="V127" s="351">
        <f t="shared" si="34"/>
        <v>0</v>
      </c>
      <c r="W127" s="352">
        <f t="shared" si="32"/>
        <v>0</v>
      </c>
      <c r="X127" s="137"/>
      <c r="Y127" s="137"/>
      <c r="Z127" s="137"/>
    </row>
    <row r="128" spans="1:26" ht="15" customHeight="1">
      <c r="A128" s="346">
        <f t="shared" si="33"/>
        <v>90</v>
      </c>
      <c r="B128" s="282"/>
      <c r="C128" s="347"/>
      <c r="D128" s="283"/>
      <c r="E128" s="347"/>
      <c r="F128" s="284"/>
      <c r="G128" s="348">
        <f>IFERROR(INDEX('【様式３】シフト表 '!$AK$7:$AK$106,MATCH($M128,'【様式３】シフト表 '!$B$7:$B$106,0),1),0)</f>
        <v>0</v>
      </c>
      <c r="H128" s="151"/>
      <c r="I128" s="285"/>
      <c r="J128" s="349" t="str">
        <f t="shared" si="29"/>
        <v>-</v>
      </c>
      <c r="K128" s="161"/>
      <c r="L128" s="286" t="b">
        <f t="shared" si="30"/>
        <v>0</v>
      </c>
      <c r="M128" s="287">
        <f>IF($E128&lt;&gt;$M$36,0,COUNTIF($E$39:E128,$M$36))</f>
        <v>0</v>
      </c>
      <c r="N128" s="287" t="e">
        <f t="shared" si="26"/>
        <v>#VALUE!</v>
      </c>
      <c r="O128" s="288" t="b">
        <f t="shared" si="31"/>
        <v>1</v>
      </c>
      <c r="P128" s="777"/>
      <c r="Q128" s="350">
        <f t="shared" si="27"/>
        <v>0</v>
      </c>
      <c r="R128" s="290">
        <f t="shared" si="28"/>
        <v>0</v>
      </c>
      <c r="S128" s="350">
        <f t="shared" si="34"/>
        <v>0</v>
      </c>
      <c r="T128" s="290">
        <f t="shared" si="34"/>
        <v>0</v>
      </c>
      <c r="U128" s="290">
        <f t="shared" si="34"/>
        <v>0</v>
      </c>
      <c r="V128" s="351">
        <f t="shared" si="34"/>
        <v>0</v>
      </c>
      <c r="W128" s="352">
        <f t="shared" si="32"/>
        <v>0</v>
      </c>
      <c r="X128" s="137"/>
      <c r="Y128" s="137"/>
      <c r="Z128" s="137"/>
    </row>
    <row r="129" spans="1:26" ht="15" customHeight="1">
      <c r="A129" s="346">
        <f t="shared" si="33"/>
        <v>91</v>
      </c>
      <c r="B129" s="282"/>
      <c r="C129" s="347"/>
      <c r="D129" s="283"/>
      <c r="E129" s="347"/>
      <c r="F129" s="284"/>
      <c r="G129" s="348">
        <f>IFERROR(INDEX('【様式３】シフト表 '!$AK$7:$AK$106,MATCH($M129,'【様式３】シフト表 '!$B$7:$B$106,0),1),0)</f>
        <v>0</v>
      </c>
      <c r="H129" s="151"/>
      <c r="I129" s="285"/>
      <c r="J129" s="349" t="str">
        <f t="shared" si="29"/>
        <v>-</v>
      </c>
      <c r="K129" s="161"/>
      <c r="L129" s="286" t="b">
        <f t="shared" si="30"/>
        <v>0</v>
      </c>
      <c r="M129" s="287">
        <f>IF($E129&lt;&gt;$M$36,0,COUNTIF($E$39:E129,$M$36))</f>
        <v>0</v>
      </c>
      <c r="N129" s="287" t="e">
        <f t="shared" si="26"/>
        <v>#VALUE!</v>
      </c>
      <c r="O129" s="288" t="b">
        <f t="shared" si="31"/>
        <v>1</v>
      </c>
      <c r="P129" s="777"/>
      <c r="Q129" s="350">
        <f t="shared" si="27"/>
        <v>0</v>
      </c>
      <c r="R129" s="290">
        <f t="shared" si="28"/>
        <v>0</v>
      </c>
      <c r="S129" s="350">
        <f t="shared" si="34"/>
        <v>0</v>
      </c>
      <c r="T129" s="290">
        <f t="shared" si="34"/>
        <v>0</v>
      </c>
      <c r="U129" s="290">
        <f t="shared" si="34"/>
        <v>0</v>
      </c>
      <c r="V129" s="351">
        <f t="shared" si="34"/>
        <v>0</v>
      </c>
      <c r="W129" s="352">
        <f t="shared" si="32"/>
        <v>0</v>
      </c>
      <c r="X129" s="137"/>
      <c r="Y129" s="137"/>
      <c r="Z129" s="137"/>
    </row>
    <row r="130" spans="1:26" ht="15" customHeight="1">
      <c r="A130" s="346">
        <f t="shared" si="33"/>
        <v>92</v>
      </c>
      <c r="B130" s="282"/>
      <c r="C130" s="347"/>
      <c r="D130" s="283"/>
      <c r="E130" s="347"/>
      <c r="F130" s="284"/>
      <c r="G130" s="348">
        <f>IFERROR(INDEX('【様式３】シフト表 '!$AK$7:$AK$106,MATCH($M130,'【様式３】シフト表 '!$B$7:$B$106,0),1),0)</f>
        <v>0</v>
      </c>
      <c r="H130" s="151"/>
      <c r="I130" s="285"/>
      <c r="J130" s="349" t="str">
        <f t="shared" si="29"/>
        <v>-</v>
      </c>
      <c r="K130" s="161"/>
      <c r="L130" s="286" t="b">
        <f t="shared" si="30"/>
        <v>0</v>
      </c>
      <c r="M130" s="287">
        <f>IF($E130&lt;&gt;$M$36,0,COUNTIF($E$39:E130,$M$36))</f>
        <v>0</v>
      </c>
      <c r="N130" s="287" t="e">
        <f t="shared" si="26"/>
        <v>#VALUE!</v>
      </c>
      <c r="O130" s="288" t="b">
        <f t="shared" si="31"/>
        <v>1</v>
      </c>
      <c r="P130" s="777"/>
      <c r="Q130" s="350">
        <f t="shared" si="27"/>
        <v>0</v>
      </c>
      <c r="R130" s="290">
        <f t="shared" si="28"/>
        <v>0</v>
      </c>
      <c r="S130" s="350">
        <f t="shared" si="34"/>
        <v>0</v>
      </c>
      <c r="T130" s="290">
        <f t="shared" si="34"/>
        <v>0</v>
      </c>
      <c r="U130" s="290">
        <f t="shared" si="34"/>
        <v>0</v>
      </c>
      <c r="V130" s="351">
        <f t="shared" si="34"/>
        <v>0</v>
      </c>
      <c r="W130" s="352">
        <f t="shared" si="32"/>
        <v>0</v>
      </c>
      <c r="X130" s="137"/>
      <c r="Y130" s="137"/>
      <c r="Z130" s="137"/>
    </row>
    <row r="131" spans="1:26" ht="15" customHeight="1">
      <c r="A131" s="346">
        <f t="shared" si="33"/>
        <v>93</v>
      </c>
      <c r="B131" s="282"/>
      <c r="C131" s="347"/>
      <c r="D131" s="283"/>
      <c r="E131" s="347"/>
      <c r="F131" s="284"/>
      <c r="G131" s="348">
        <f>IFERROR(INDEX('【様式３】シフト表 '!$AK$7:$AK$106,MATCH($M131,'【様式３】シフト表 '!$B$7:$B$106,0),1),0)</f>
        <v>0</v>
      </c>
      <c r="H131" s="151"/>
      <c r="I131" s="285"/>
      <c r="J131" s="349" t="str">
        <f t="shared" si="29"/>
        <v>-</v>
      </c>
      <c r="K131" s="161"/>
      <c r="L131" s="286" t="b">
        <f t="shared" si="30"/>
        <v>0</v>
      </c>
      <c r="M131" s="287">
        <f>IF($E131&lt;&gt;$M$36,0,COUNTIF($E$39:E131,$M$36))</f>
        <v>0</v>
      </c>
      <c r="N131" s="287" t="e">
        <f t="shared" si="26"/>
        <v>#VALUE!</v>
      </c>
      <c r="O131" s="288" t="b">
        <f t="shared" si="31"/>
        <v>1</v>
      </c>
      <c r="P131" s="777"/>
      <c r="Q131" s="350">
        <f t="shared" si="27"/>
        <v>0</v>
      </c>
      <c r="R131" s="290">
        <f t="shared" si="28"/>
        <v>0</v>
      </c>
      <c r="S131" s="350">
        <f t="shared" si="34"/>
        <v>0</v>
      </c>
      <c r="T131" s="290">
        <f t="shared" si="34"/>
        <v>0</v>
      </c>
      <c r="U131" s="290">
        <f t="shared" si="34"/>
        <v>0</v>
      </c>
      <c r="V131" s="351">
        <f t="shared" si="34"/>
        <v>0</v>
      </c>
      <c r="W131" s="352">
        <f t="shared" si="32"/>
        <v>0</v>
      </c>
      <c r="X131" s="137"/>
      <c r="Y131" s="137"/>
      <c r="Z131" s="137"/>
    </row>
    <row r="132" spans="1:26" ht="15" customHeight="1">
      <c r="A132" s="346">
        <f t="shared" si="33"/>
        <v>94</v>
      </c>
      <c r="B132" s="282"/>
      <c r="C132" s="347"/>
      <c r="D132" s="283"/>
      <c r="E132" s="347"/>
      <c r="F132" s="284"/>
      <c r="G132" s="348">
        <f>IFERROR(INDEX('【様式３】シフト表 '!$AK$7:$AK$106,MATCH($M132,'【様式３】シフト表 '!$B$7:$B$106,0),1),0)</f>
        <v>0</v>
      </c>
      <c r="H132" s="151"/>
      <c r="I132" s="285"/>
      <c r="J132" s="349" t="str">
        <f t="shared" si="29"/>
        <v>-</v>
      </c>
      <c r="K132" s="161"/>
      <c r="L132" s="286" t="b">
        <f t="shared" si="30"/>
        <v>0</v>
      </c>
      <c r="M132" s="287">
        <f>IF($E132&lt;&gt;$M$36,0,COUNTIF($E$39:E132,$M$36))</f>
        <v>0</v>
      </c>
      <c r="N132" s="287" t="e">
        <f t="shared" si="26"/>
        <v>#VALUE!</v>
      </c>
      <c r="O132" s="288" t="b">
        <f t="shared" si="31"/>
        <v>1</v>
      </c>
      <c r="P132" s="777"/>
      <c r="Q132" s="350">
        <f t="shared" si="27"/>
        <v>0</v>
      </c>
      <c r="R132" s="290">
        <f t="shared" si="28"/>
        <v>0</v>
      </c>
      <c r="S132" s="350">
        <f t="shared" si="34"/>
        <v>0</v>
      </c>
      <c r="T132" s="290">
        <f t="shared" si="34"/>
        <v>0</v>
      </c>
      <c r="U132" s="290">
        <f t="shared" si="34"/>
        <v>0</v>
      </c>
      <c r="V132" s="351">
        <f t="shared" si="34"/>
        <v>0</v>
      </c>
      <c r="W132" s="352">
        <f t="shared" si="32"/>
        <v>0</v>
      </c>
      <c r="X132" s="137"/>
      <c r="Y132" s="137"/>
      <c r="Z132" s="137"/>
    </row>
    <row r="133" spans="1:26" ht="15" customHeight="1">
      <c r="A133" s="346">
        <f t="shared" si="33"/>
        <v>95</v>
      </c>
      <c r="B133" s="282"/>
      <c r="C133" s="347"/>
      <c r="D133" s="283"/>
      <c r="E133" s="347"/>
      <c r="F133" s="284"/>
      <c r="G133" s="348">
        <f>IFERROR(INDEX('【様式３】シフト表 '!$AK$7:$AK$106,MATCH($M133,'【様式３】シフト表 '!$B$7:$B$106,0),1),0)</f>
        <v>0</v>
      </c>
      <c r="H133" s="151"/>
      <c r="I133" s="285"/>
      <c r="J133" s="349" t="str">
        <f t="shared" si="29"/>
        <v>-</v>
      </c>
      <c r="K133" s="161"/>
      <c r="L133" s="286" t="b">
        <f t="shared" si="30"/>
        <v>0</v>
      </c>
      <c r="M133" s="287">
        <f>IF($E133&lt;&gt;$M$36,0,COUNTIF($E$39:E133,$M$36))</f>
        <v>0</v>
      </c>
      <c r="N133" s="287" t="e">
        <f t="shared" si="26"/>
        <v>#VALUE!</v>
      </c>
      <c r="O133" s="288" t="b">
        <f t="shared" si="31"/>
        <v>1</v>
      </c>
      <c r="P133" s="777"/>
      <c r="Q133" s="350">
        <f t="shared" si="27"/>
        <v>0</v>
      </c>
      <c r="R133" s="290">
        <f t="shared" si="28"/>
        <v>0</v>
      </c>
      <c r="S133" s="350">
        <f t="shared" si="34"/>
        <v>0</v>
      </c>
      <c r="T133" s="290">
        <f t="shared" si="34"/>
        <v>0</v>
      </c>
      <c r="U133" s="290">
        <f t="shared" si="34"/>
        <v>0</v>
      </c>
      <c r="V133" s="351">
        <f t="shared" si="34"/>
        <v>0</v>
      </c>
      <c r="W133" s="352">
        <f t="shared" si="32"/>
        <v>0</v>
      </c>
      <c r="X133" s="137"/>
      <c r="Y133" s="137"/>
      <c r="Z133" s="137"/>
    </row>
    <row r="134" spans="1:26" ht="15" customHeight="1">
      <c r="A134" s="346">
        <f t="shared" si="33"/>
        <v>96</v>
      </c>
      <c r="B134" s="282"/>
      <c r="C134" s="347"/>
      <c r="D134" s="283"/>
      <c r="E134" s="347"/>
      <c r="F134" s="284"/>
      <c r="G134" s="348">
        <f>IFERROR(INDEX('【様式３】シフト表 '!$AK$7:$AK$106,MATCH($M134,'【様式３】シフト表 '!$B$7:$B$106,0),1),0)</f>
        <v>0</v>
      </c>
      <c r="H134" s="151"/>
      <c r="I134" s="285"/>
      <c r="J134" s="349" t="str">
        <f t="shared" si="29"/>
        <v>-</v>
      </c>
      <c r="K134" s="161"/>
      <c r="L134" s="286" t="b">
        <f t="shared" si="30"/>
        <v>0</v>
      </c>
      <c r="M134" s="287">
        <f>IF($E134&lt;&gt;$M$36,0,COUNTIF($E$39:E134,$M$36))</f>
        <v>0</v>
      </c>
      <c r="N134" s="287" t="e">
        <f t="shared" si="26"/>
        <v>#VALUE!</v>
      </c>
      <c r="O134" s="288" t="b">
        <f t="shared" si="31"/>
        <v>1</v>
      </c>
      <c r="P134" s="777"/>
      <c r="Q134" s="350">
        <f t="shared" si="27"/>
        <v>0</v>
      </c>
      <c r="R134" s="290">
        <f t="shared" si="28"/>
        <v>0</v>
      </c>
      <c r="S134" s="350">
        <f t="shared" si="34"/>
        <v>0</v>
      </c>
      <c r="T134" s="290">
        <f t="shared" si="34"/>
        <v>0</v>
      </c>
      <c r="U134" s="290">
        <f t="shared" si="34"/>
        <v>0</v>
      </c>
      <c r="V134" s="351">
        <f t="shared" si="34"/>
        <v>0</v>
      </c>
      <c r="W134" s="352">
        <f t="shared" si="32"/>
        <v>0</v>
      </c>
      <c r="X134" s="137"/>
      <c r="Y134" s="137"/>
      <c r="Z134" s="137"/>
    </row>
    <row r="135" spans="1:26" ht="15" customHeight="1">
      <c r="A135" s="346">
        <f t="shared" si="33"/>
        <v>97</v>
      </c>
      <c r="B135" s="282"/>
      <c r="C135" s="347"/>
      <c r="D135" s="283"/>
      <c r="E135" s="347"/>
      <c r="F135" s="284"/>
      <c r="G135" s="348">
        <f>IFERROR(INDEX('【様式３】シフト表 '!$AK$7:$AK$106,MATCH($M135,'【様式３】シフト表 '!$B$7:$B$106,0),1),0)</f>
        <v>0</v>
      </c>
      <c r="H135" s="151"/>
      <c r="I135" s="285"/>
      <c r="J135" s="349" t="str">
        <f t="shared" si="29"/>
        <v>-</v>
      </c>
      <c r="K135" s="161"/>
      <c r="L135" s="286" t="b">
        <f t="shared" si="30"/>
        <v>0</v>
      </c>
      <c r="M135" s="287">
        <f>IF($E135&lt;&gt;$M$36,0,COUNTIF($E$39:E135,$M$36))</f>
        <v>0</v>
      </c>
      <c r="N135" s="287" t="e">
        <f t="shared" si="26"/>
        <v>#VALUE!</v>
      </c>
      <c r="O135" s="288" t="b">
        <f t="shared" si="31"/>
        <v>1</v>
      </c>
      <c r="P135" s="777"/>
      <c r="Q135" s="350">
        <f t="shared" si="27"/>
        <v>0</v>
      </c>
      <c r="R135" s="290">
        <f t="shared" si="28"/>
        <v>0</v>
      </c>
      <c r="S135" s="350">
        <f t="shared" si="34"/>
        <v>0</v>
      </c>
      <c r="T135" s="290">
        <f t="shared" si="34"/>
        <v>0</v>
      </c>
      <c r="U135" s="290">
        <f t="shared" si="34"/>
        <v>0</v>
      </c>
      <c r="V135" s="351">
        <f t="shared" si="34"/>
        <v>0</v>
      </c>
      <c r="W135" s="352">
        <f t="shared" si="32"/>
        <v>0</v>
      </c>
      <c r="X135" s="137"/>
      <c r="Y135" s="137"/>
    </row>
    <row r="136" spans="1:26" ht="15" customHeight="1">
      <c r="A136" s="346">
        <f t="shared" si="33"/>
        <v>98</v>
      </c>
      <c r="B136" s="282"/>
      <c r="C136" s="347"/>
      <c r="D136" s="283"/>
      <c r="E136" s="347"/>
      <c r="F136" s="284"/>
      <c r="G136" s="348">
        <f>IFERROR(INDEX('【様式３】シフト表 '!$AK$7:$AK$106,MATCH($M136,'【様式３】シフト表 '!$B$7:$B$106,0),1),0)</f>
        <v>0</v>
      </c>
      <c r="H136" s="151"/>
      <c r="I136" s="285"/>
      <c r="J136" s="349" t="str">
        <f t="shared" si="29"/>
        <v>-</v>
      </c>
      <c r="K136" s="161"/>
      <c r="L136" s="286" t="b">
        <f t="shared" si="30"/>
        <v>0</v>
      </c>
      <c r="M136" s="287">
        <f>IF($E136&lt;&gt;$M$36,0,COUNTIF($E$39:E136,$M$36))</f>
        <v>0</v>
      </c>
      <c r="N136" s="287" t="e">
        <f t="shared" si="26"/>
        <v>#VALUE!</v>
      </c>
      <c r="O136" s="288" t="b">
        <f t="shared" si="31"/>
        <v>1</v>
      </c>
      <c r="P136" s="777"/>
      <c r="Q136" s="350">
        <f t="shared" si="27"/>
        <v>0</v>
      </c>
      <c r="R136" s="290">
        <f t="shared" si="28"/>
        <v>0</v>
      </c>
      <c r="S136" s="350">
        <f t="shared" si="34"/>
        <v>0</v>
      </c>
      <c r="T136" s="290">
        <f t="shared" si="34"/>
        <v>0</v>
      </c>
      <c r="U136" s="290">
        <f t="shared" si="34"/>
        <v>0</v>
      </c>
      <c r="V136" s="351">
        <f t="shared" si="34"/>
        <v>0</v>
      </c>
      <c r="W136" s="352">
        <f t="shared" si="32"/>
        <v>0</v>
      </c>
      <c r="X136" s="137"/>
      <c r="Y136" s="137"/>
    </row>
    <row r="137" spans="1:26" ht="15" customHeight="1">
      <c r="A137" s="346">
        <f t="shared" si="33"/>
        <v>99</v>
      </c>
      <c r="B137" s="282"/>
      <c r="C137" s="347"/>
      <c r="D137" s="283"/>
      <c r="E137" s="347"/>
      <c r="F137" s="284"/>
      <c r="G137" s="348">
        <f>IFERROR(INDEX('【様式３】シフト表 '!$AK$7:$AK$106,MATCH($M137,'【様式３】シフト表 '!$B$7:$B$106,0),1),0)</f>
        <v>0</v>
      </c>
      <c r="H137" s="151"/>
      <c r="I137" s="285"/>
      <c r="J137" s="349" t="str">
        <f t="shared" si="29"/>
        <v>-</v>
      </c>
      <c r="K137" s="161"/>
      <c r="L137" s="286" t="b">
        <f t="shared" si="30"/>
        <v>0</v>
      </c>
      <c r="M137" s="287">
        <f>IF($E137&lt;&gt;$M$36,0,COUNTIF($E$39:E137,$M$36))</f>
        <v>0</v>
      </c>
      <c r="N137" s="287" t="e">
        <f t="shared" si="26"/>
        <v>#VALUE!</v>
      </c>
      <c r="O137" s="288" t="b">
        <f t="shared" si="31"/>
        <v>1</v>
      </c>
      <c r="P137" s="777"/>
      <c r="Q137" s="350">
        <f t="shared" si="27"/>
        <v>0</v>
      </c>
      <c r="R137" s="290">
        <f t="shared" si="28"/>
        <v>0</v>
      </c>
      <c r="S137" s="350">
        <f t="shared" si="34"/>
        <v>0</v>
      </c>
      <c r="T137" s="290">
        <f t="shared" si="34"/>
        <v>0</v>
      </c>
      <c r="U137" s="290">
        <f t="shared" si="34"/>
        <v>0</v>
      </c>
      <c r="V137" s="351">
        <f t="shared" si="34"/>
        <v>0</v>
      </c>
      <c r="W137" s="352">
        <f t="shared" si="32"/>
        <v>0</v>
      </c>
    </row>
    <row r="138" spans="1:26" ht="15" customHeight="1" thickBot="1">
      <c r="A138" s="353">
        <f t="shared" si="33"/>
        <v>100</v>
      </c>
      <c r="B138" s="298"/>
      <c r="C138" s="354"/>
      <c r="D138" s="299"/>
      <c r="E138" s="354"/>
      <c r="F138" s="300"/>
      <c r="G138" s="355">
        <f>IFERROR(INDEX('【様式３】シフト表 '!$AK$7:$AK$106,MATCH($M138,'【様式３】シフト表 '!$B$7:$B$106,0),1),0)</f>
        <v>0</v>
      </c>
      <c r="H138" s="301"/>
      <c r="I138" s="302"/>
      <c r="J138" s="356" t="str">
        <f t="shared" si="29"/>
        <v>-</v>
      </c>
      <c r="K138" s="161"/>
      <c r="L138" s="303" t="b">
        <f t="shared" si="30"/>
        <v>0</v>
      </c>
      <c r="M138" s="304">
        <f>IF($E138&lt;&gt;$M$36,0,COUNTIF($E$39:E138,$M$36))</f>
        <v>0</v>
      </c>
      <c r="N138" s="304" t="e">
        <f t="shared" si="26"/>
        <v>#VALUE!</v>
      </c>
      <c r="O138" s="305" t="b">
        <f t="shared" si="31"/>
        <v>1</v>
      </c>
      <c r="P138" s="777"/>
      <c r="Q138" s="357">
        <f t="shared" si="27"/>
        <v>0</v>
      </c>
      <c r="R138" s="307">
        <f t="shared" si="28"/>
        <v>0</v>
      </c>
      <c r="S138" s="357">
        <f t="shared" si="34"/>
        <v>0</v>
      </c>
      <c r="T138" s="307">
        <f t="shared" si="34"/>
        <v>0</v>
      </c>
      <c r="U138" s="307">
        <f t="shared" si="34"/>
        <v>0</v>
      </c>
      <c r="V138" s="358">
        <f t="shared" si="34"/>
        <v>0</v>
      </c>
      <c r="W138" s="359">
        <f t="shared" si="32"/>
        <v>0</v>
      </c>
    </row>
    <row r="139" spans="1:26" ht="20.100000000000001" customHeight="1" thickBot="1">
      <c r="O139" s="135"/>
      <c r="P139" s="360" t="str">
        <f t="shared" ref="P139:P144" si="35">Y26</f>
        <v>家庭的保育者</v>
      </c>
      <c r="Q139" s="622">
        <f t="shared" ref="Q139:Q144" si="36">SUMIFS(Q$39:Q$138,$J$39:$J$138,$P139)</f>
        <v>0</v>
      </c>
      <c r="R139" s="623">
        <f>SUM(SUMIFS(R$39:R$138,$J$39:$J$138,$P139),SUMIFS(R$28:R$33,$J$28:$J$33,$P139))</f>
        <v>0</v>
      </c>
      <c r="S139" s="343">
        <f t="shared" ref="S139:W144" si="37">COUNTIF(S$39:S$138,$P139)</f>
        <v>0</v>
      </c>
      <c r="T139" s="344">
        <f t="shared" si="37"/>
        <v>0</v>
      </c>
      <c r="U139" s="344">
        <f t="shared" si="37"/>
        <v>0</v>
      </c>
      <c r="V139" s="344">
        <f t="shared" si="37"/>
        <v>0</v>
      </c>
      <c r="W139" s="278">
        <f t="shared" si="37"/>
        <v>0</v>
      </c>
    </row>
    <row r="140" spans="1:26" ht="20.100000000000001" customHeight="1" thickBot="1">
      <c r="K140" s="232"/>
      <c r="L140" s="232"/>
      <c r="M140" s="362"/>
      <c r="N140" s="362"/>
      <c r="O140" s="362"/>
      <c r="P140" s="363" t="str">
        <f t="shared" si="35"/>
        <v>家庭的保育補助者</v>
      </c>
      <c r="Q140" s="364">
        <f t="shared" si="36"/>
        <v>0</v>
      </c>
      <c r="R140" s="365">
        <f>SUM(SUMIFS(R$39:R$138,$J$39:$J$138,$P140),SUMIFS(R$28:R$33,$J$28:$J$33,$P140))</f>
        <v>0</v>
      </c>
      <c r="S140" s="350">
        <f t="shared" si="37"/>
        <v>0</v>
      </c>
      <c r="T140" s="290">
        <f t="shared" si="37"/>
        <v>0</v>
      </c>
      <c r="U140" s="290">
        <f t="shared" si="37"/>
        <v>0</v>
      </c>
      <c r="V140" s="290">
        <f t="shared" si="37"/>
        <v>0</v>
      </c>
      <c r="W140" s="366">
        <f t="shared" si="37"/>
        <v>0</v>
      </c>
    </row>
    <row r="141" spans="1:26" ht="20.100000000000001" customHeight="1">
      <c r="K141" s="232"/>
      <c r="L141" s="232"/>
      <c r="M141" s="116"/>
      <c r="N141" s="116"/>
      <c r="P141" s="363" t="str">
        <f t="shared" si="35"/>
        <v>栄養士</v>
      </c>
      <c r="Q141" s="367">
        <f t="shared" si="36"/>
        <v>0</v>
      </c>
      <c r="R141" s="352">
        <f>SUMIFS(R$39:R$138,$J$39:$J$138,$P141)</f>
        <v>0</v>
      </c>
      <c r="S141" s="350">
        <f t="shared" si="37"/>
        <v>0</v>
      </c>
      <c r="T141" s="290">
        <f t="shared" si="37"/>
        <v>0</v>
      </c>
      <c r="U141" s="290">
        <f t="shared" si="37"/>
        <v>0</v>
      </c>
      <c r="V141" s="290">
        <f t="shared" si="37"/>
        <v>0</v>
      </c>
      <c r="W141" s="366">
        <f t="shared" si="37"/>
        <v>0</v>
      </c>
    </row>
    <row r="142" spans="1:26" ht="20.100000000000001" customHeight="1">
      <c r="K142" s="232"/>
      <c r="L142" s="232"/>
      <c r="M142" s="116"/>
      <c r="N142" s="116"/>
      <c r="P142" s="363" t="str">
        <f t="shared" si="35"/>
        <v>調理員</v>
      </c>
      <c r="Q142" s="367">
        <f t="shared" si="36"/>
        <v>0</v>
      </c>
      <c r="R142" s="366">
        <f>SUMIFS(R$39:R$138,$J$39:$J$138,$P142)</f>
        <v>0</v>
      </c>
      <c r="S142" s="350">
        <f t="shared" si="37"/>
        <v>0</v>
      </c>
      <c r="T142" s="290">
        <f t="shared" si="37"/>
        <v>0</v>
      </c>
      <c r="U142" s="290">
        <f t="shared" si="37"/>
        <v>0</v>
      </c>
      <c r="V142" s="290">
        <f t="shared" si="37"/>
        <v>0</v>
      </c>
      <c r="W142" s="366">
        <f t="shared" si="37"/>
        <v>0</v>
      </c>
    </row>
    <row r="143" spans="1:26" ht="20.100000000000001" customHeight="1">
      <c r="K143" s="232"/>
      <c r="L143" s="232"/>
      <c r="M143" s="116"/>
      <c r="N143" s="116"/>
      <c r="P143" s="363" t="str">
        <f t="shared" si="35"/>
        <v>事務員</v>
      </c>
      <c r="Q143" s="367">
        <f t="shared" si="36"/>
        <v>0</v>
      </c>
      <c r="R143" s="366">
        <f>SUMIFS(R$39:R$138,$J$39:$J$138,$P143)</f>
        <v>0</v>
      </c>
      <c r="S143" s="350">
        <f t="shared" si="37"/>
        <v>0</v>
      </c>
      <c r="T143" s="290">
        <f t="shared" si="37"/>
        <v>0</v>
      </c>
      <c r="U143" s="290">
        <f t="shared" si="37"/>
        <v>0</v>
      </c>
      <c r="V143" s="290">
        <f t="shared" si="37"/>
        <v>0</v>
      </c>
      <c r="W143" s="366">
        <f t="shared" si="37"/>
        <v>0</v>
      </c>
    </row>
    <row r="144" spans="1:26" ht="20.100000000000001" customHeight="1" thickBot="1">
      <c r="K144" s="136"/>
      <c r="L144" s="136"/>
      <c r="M144" s="116"/>
      <c r="N144" s="116"/>
      <c r="P144" s="368" t="str">
        <f t="shared" si="35"/>
        <v>その他</v>
      </c>
      <c r="Q144" s="369">
        <f t="shared" si="36"/>
        <v>0</v>
      </c>
      <c r="R144" s="359">
        <f>SUMIFS(R$39:R$138,$J$39:$J$138,$P144)</f>
        <v>0</v>
      </c>
      <c r="S144" s="357">
        <f t="shared" si="37"/>
        <v>0</v>
      </c>
      <c r="T144" s="307">
        <f t="shared" si="37"/>
        <v>0</v>
      </c>
      <c r="U144" s="307">
        <f t="shared" si="37"/>
        <v>0</v>
      </c>
      <c r="V144" s="307">
        <f t="shared" si="37"/>
        <v>0</v>
      </c>
      <c r="W144" s="359">
        <f t="shared" si="37"/>
        <v>0</v>
      </c>
    </row>
    <row r="145" spans="11:20" ht="20.100000000000001" customHeight="1">
      <c r="K145" s="136"/>
      <c r="L145" s="136"/>
      <c r="M145" s="116"/>
      <c r="N145" s="116"/>
      <c r="P145" s="777"/>
      <c r="R145" s="116"/>
      <c r="S145" s="137"/>
      <c r="T145" s="137"/>
    </row>
    <row r="146" spans="11:20" ht="20.100000000000001" customHeight="1">
      <c r="K146" s="136"/>
      <c r="L146" s="136"/>
      <c r="M146" s="116"/>
      <c r="N146" s="116"/>
      <c r="P146" s="777"/>
      <c r="R146" s="116"/>
      <c r="S146" s="137"/>
      <c r="T146" s="137"/>
    </row>
    <row r="147" spans="11:20" ht="20.100000000000001" customHeight="1">
      <c r="O147" s="135"/>
      <c r="P147" s="777"/>
      <c r="Q147" s="135"/>
      <c r="R147" s="135"/>
      <c r="S147" s="137"/>
    </row>
    <row r="148" spans="11:20">
      <c r="O148" s="135"/>
      <c r="P148" s="777"/>
      <c r="Q148" s="135"/>
      <c r="R148" s="135"/>
      <c r="S148" s="137"/>
    </row>
    <row r="149" spans="11:20">
      <c r="O149" s="135"/>
      <c r="P149" s="777"/>
      <c r="Q149" s="135"/>
      <c r="R149" s="135"/>
      <c r="S149" s="137"/>
    </row>
    <row r="150" spans="11:20">
      <c r="O150" s="135"/>
      <c r="P150" s="777"/>
      <c r="Q150" s="135"/>
      <c r="R150" s="135"/>
      <c r="S150" s="137"/>
      <c r="T150" s="362"/>
    </row>
    <row r="151" spans="11:20">
      <c r="O151" s="135"/>
      <c r="P151" s="777"/>
      <c r="Q151" s="135"/>
      <c r="R151" s="135"/>
      <c r="S151" s="137"/>
      <c r="T151" s="362"/>
    </row>
    <row r="152" spans="11:20">
      <c r="O152" s="135"/>
      <c r="P152" s="777"/>
      <c r="Q152" s="135"/>
      <c r="R152" s="135"/>
      <c r="S152" s="137"/>
      <c r="T152" s="362"/>
    </row>
    <row r="153" spans="11:20">
      <c r="K153" s="370"/>
      <c r="L153" s="370"/>
      <c r="O153" s="135"/>
      <c r="P153" s="777"/>
      <c r="Q153" s="135"/>
      <c r="R153" s="135"/>
      <c r="S153" s="137"/>
      <c r="T153" s="205"/>
    </row>
    <row r="154" spans="11:20">
      <c r="O154" s="135"/>
      <c r="P154" s="777"/>
      <c r="Q154" s="135"/>
      <c r="R154" s="135"/>
    </row>
    <row r="155" spans="11:20">
      <c r="K155" s="135"/>
      <c r="L155" s="135"/>
      <c r="M155" s="116"/>
      <c r="N155" s="116"/>
      <c r="P155" s="777"/>
      <c r="R155" s="116"/>
    </row>
    <row r="156" spans="11:20">
      <c r="K156" s="135"/>
      <c r="L156" s="135"/>
      <c r="M156" s="116"/>
      <c r="N156" s="116"/>
      <c r="P156" s="777"/>
      <c r="R156" s="116"/>
    </row>
    <row r="157" spans="11:20">
      <c r="K157" s="135"/>
      <c r="L157" s="135"/>
      <c r="M157" s="116"/>
      <c r="N157" s="116"/>
    </row>
  </sheetData>
  <sheetProtection algorithmName="SHA-512" hashValue="EyHw/oTQQ/rk7Q+1uxl77Jy7+flE040SfBriluQiNNlUS4UAhQ0Q3XSYJem3iOTouggl1Gwqt4fYv6hTkKY/1g==" saltValue="C1Lgn2l2QwoY3o8MsVIVNw==" spinCount="100000" sheet="1" objects="1" scenarios="1"/>
  <mergeCells count="52">
    <mergeCell ref="H1:J1"/>
    <mergeCell ref="A2:D2"/>
    <mergeCell ref="E2:F2"/>
    <mergeCell ref="B4:J4"/>
    <mergeCell ref="B5:D7"/>
    <mergeCell ref="F5:I5"/>
    <mergeCell ref="E6:E7"/>
    <mergeCell ref="F6:J7"/>
    <mergeCell ref="B8:B10"/>
    <mergeCell ref="C8:F8"/>
    <mergeCell ref="G8:J8"/>
    <mergeCell ref="C9:E9"/>
    <mergeCell ref="F9:F10"/>
    <mergeCell ref="H9:I9"/>
    <mergeCell ref="J9:J10"/>
    <mergeCell ref="B17:J17"/>
    <mergeCell ref="A19:J19"/>
    <mergeCell ref="A20:J20"/>
    <mergeCell ref="A21:J21"/>
    <mergeCell ref="A22:J22"/>
    <mergeCell ref="Y23:AD23"/>
    <mergeCell ref="A25:B25"/>
    <mergeCell ref="C25:D25"/>
    <mergeCell ref="E25:G25"/>
    <mergeCell ref="I25:I27"/>
    <mergeCell ref="J25:J27"/>
    <mergeCell ref="F26:F27"/>
    <mergeCell ref="L23:M23"/>
    <mergeCell ref="N23:O23"/>
    <mergeCell ref="Q23:R23"/>
    <mergeCell ref="S23:W23"/>
    <mergeCell ref="H37:H38"/>
    <mergeCell ref="G26:G27"/>
    <mergeCell ref="H26:H27"/>
    <mergeCell ref="AB30:AC33"/>
    <mergeCell ref="A36:B36"/>
    <mergeCell ref="C36:D36"/>
    <mergeCell ref="E36:G36"/>
    <mergeCell ref="I36:I38"/>
    <mergeCell ref="J36:J38"/>
    <mergeCell ref="A37:A38"/>
    <mergeCell ref="B37:B38"/>
    <mergeCell ref="A26:A27"/>
    <mergeCell ref="B26:B27"/>
    <mergeCell ref="C26:C27"/>
    <mergeCell ref="D26:D27"/>
    <mergeCell ref="E26:E27"/>
    <mergeCell ref="C37:C38"/>
    <mergeCell ref="D37:D38"/>
    <mergeCell ref="E37:E38"/>
    <mergeCell ref="F37:F38"/>
    <mergeCell ref="G37:G38"/>
  </mergeCells>
  <phoneticPr fontId="1"/>
  <conditionalFormatting sqref="F39:F138">
    <cfRule type="expression" dxfId="51" priority="14">
      <formula>OR($E39="常勤",$E39="非常勤")</formula>
    </cfRule>
  </conditionalFormatting>
  <conditionalFormatting sqref="J39:J138 J28:J33">
    <cfRule type="containsText" dxfId="50" priority="13" operator="containsText" text="エラー">
      <formula>NOT(ISERROR(SEARCH("エラー",J28)))</formula>
    </cfRule>
  </conditionalFormatting>
  <conditionalFormatting sqref="G39:G138">
    <cfRule type="expression" dxfId="49" priority="15">
      <formula>$E39="非常勤"</formula>
    </cfRule>
  </conditionalFormatting>
  <conditionalFormatting sqref="F6">
    <cfRule type="expression" dxfId="48" priority="16">
      <formula>AND($F$5&gt;=150,NOT(ISTEXT($F$5)))</formula>
    </cfRule>
    <cfRule type="expression" dxfId="47" priority="17">
      <formula>AND($F$5&lt;150,NOT(ISTEXT($F$6)))</formula>
    </cfRule>
  </conditionalFormatting>
  <conditionalFormatting sqref="F5">
    <cfRule type="expression" dxfId="46" priority="18">
      <formula>OR($F$5=0,ISTEXT($F$5))</formula>
    </cfRule>
  </conditionalFormatting>
  <conditionalFormatting sqref="G37:G38">
    <cfRule type="containsText" dxfId="45" priority="12" operator="containsText" text="エラー">
      <formula>NOT(ISERROR(SEARCH("エラー",G37)))</formula>
    </cfRule>
  </conditionalFormatting>
  <conditionalFormatting sqref="F89:F107">
    <cfRule type="expression" dxfId="44" priority="10">
      <formula>OR($E89="常勤",$E89="非常勤")</formula>
    </cfRule>
  </conditionalFormatting>
  <conditionalFormatting sqref="J89:K107">
    <cfRule type="containsText" dxfId="43" priority="9" operator="containsText" text="エラー">
      <formula>NOT(ISERROR(SEARCH("エラー",J89)))</formula>
    </cfRule>
  </conditionalFormatting>
  <conditionalFormatting sqref="G89:G107">
    <cfRule type="expression" dxfId="42" priority="11">
      <formula>$E89="非常勤"</formula>
    </cfRule>
  </conditionalFormatting>
  <conditionalFormatting sqref="F126">
    <cfRule type="expression" dxfId="41" priority="7">
      <formula>OR($E126="常勤",$E126="非常勤")</formula>
    </cfRule>
  </conditionalFormatting>
  <conditionalFormatting sqref="J126:K126">
    <cfRule type="containsText" dxfId="40" priority="6" operator="containsText" text="エラー">
      <formula>NOT(ISERROR(SEARCH("エラー",J126)))</formula>
    </cfRule>
  </conditionalFormatting>
  <conditionalFormatting sqref="G126">
    <cfRule type="expression" dxfId="39" priority="8">
      <formula>$E126="非常勤"</formula>
    </cfRule>
  </conditionalFormatting>
  <conditionalFormatting sqref="G26:G27">
    <cfRule type="containsText" dxfId="38" priority="5" operator="containsText" text="エラー">
      <formula>NOT(ISERROR(SEARCH("エラー",G26)))</formula>
    </cfRule>
  </conditionalFormatting>
  <conditionalFormatting sqref="J33">
    <cfRule type="containsText" dxfId="37" priority="3" operator="containsText" text="エラー">
      <formula>NOT(ISERROR(SEARCH("エラー",J33)))</formula>
    </cfRule>
  </conditionalFormatting>
  <conditionalFormatting sqref="G28:G33">
    <cfRule type="expression" dxfId="36" priority="2">
      <formula>ISTEXT($G28)</formula>
    </cfRule>
    <cfRule type="expression" dxfId="35" priority="4">
      <formula>$E28="委託"</formula>
    </cfRule>
  </conditionalFormatting>
  <conditionalFormatting sqref="J32">
    <cfRule type="containsText" dxfId="34" priority="1" operator="containsText" text="エラー">
      <formula>NOT(ISERROR(SEARCH("エラー",J32)))</formula>
    </cfRule>
  </conditionalFormatting>
  <conditionalFormatting sqref="H39:H138 H28:H33">
    <cfRule type="expression" dxfId="33" priority="195">
      <formula>$H28&gt;$AD$26</formula>
    </cfRule>
  </conditionalFormatting>
  <dataValidations count="8">
    <dataValidation type="decimal" operator="greaterThan" allowBlank="1" showInputMessage="1" showErrorMessage="1" sqref="G28:G33" xr:uid="{00000000-0002-0000-0600-000000000000}">
      <formula1>0</formula1>
    </dataValidation>
    <dataValidation type="decimal" allowBlank="1" showInputMessage="1" showErrorMessage="1" sqref="G39:G138" xr:uid="{00000000-0002-0000-0600-000001000000}">
      <formula1>0</formula1>
      <formula2>200</formula2>
    </dataValidation>
    <dataValidation type="decimal" errorStyle="warning" operator="greaterThanOrEqual" allowBlank="1" showInputMessage="1" showErrorMessage="1" errorTitle="150時間未満の場合" error="以下の理由欄に記載してください。" sqref="F5" xr:uid="{00000000-0002-0000-0600-000002000000}">
      <formula1>150</formula1>
    </dataValidation>
    <dataValidation type="list" showInputMessage="1" showErrorMessage="1" sqref="F39:F138" xr:uid="{00000000-0002-0000-0600-000003000000}">
      <formula1>INDIRECT($E39)</formula1>
    </dataValidation>
    <dataValidation type="date" operator="lessThanOrEqual" allowBlank="1" showInputMessage="1" showErrorMessage="1" errorTitle="雇用開始月日が不正です。" sqref="H39:H138 H28:H33" xr:uid="{00000000-0002-0000-0600-000004000000}">
      <formula1>$AD$26</formula1>
    </dataValidation>
    <dataValidation type="list" showInputMessage="1" showErrorMessage="1" sqref="E39:E138" xr:uid="{00000000-0002-0000-0600-000005000000}">
      <formula1>$AA$25:$AA$28</formula1>
    </dataValidation>
    <dataValidation type="list" showInputMessage="1" showErrorMessage="1" sqref="C39:C138" xr:uid="{00000000-0002-0000-0600-000006000000}">
      <formula1>$Y$25:$Y$33</formula1>
    </dataValidation>
    <dataValidation type="list" showInputMessage="1" showErrorMessage="1" sqref="D39:D138 D28:D33" xr:uid="{00000000-0002-0000-0600-000007000000}">
      <formula1>$Z$25:$Z$29</formula1>
    </dataValidation>
  </dataValidations>
  <pageMargins left="0.59055118110236227" right="0.59055118110236227" top="0.55118110236220474" bottom="0.15748031496062992" header="0.31496062992125984" footer="0.31496062992125984"/>
  <pageSetup paperSize="9" scale="63" fitToHeight="2" orientation="portrait" r:id="rId1"/>
  <rowBreaks count="1" manualBreakCount="1">
    <brk id="90"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A1:AX107"/>
  <sheetViews>
    <sheetView view="pageBreakPreview" topLeftCell="B1" zoomScale="90" zoomScaleNormal="70" zoomScaleSheetLayoutView="90" workbookViewId="0">
      <pane xSplit="4" ySplit="6" topLeftCell="F7" activePane="bottomRight" state="frozen"/>
      <selection activeCell="B1" sqref="B1"/>
      <selection pane="topRight" activeCell="F1" sqref="F1"/>
      <selection pane="bottomLeft" activeCell="B7" sqref="B7"/>
      <selection pane="bottomRight" activeCell="B1" sqref="B1:E1"/>
    </sheetView>
  </sheetViews>
  <sheetFormatPr defaultColWidth="9" defaultRowHeight="13.5" outlineLevelCol="1"/>
  <cols>
    <col min="1" max="1" width="4" style="65" hidden="1" customWidth="1"/>
    <col min="2" max="2" width="2.625" style="65" customWidth="1"/>
    <col min="3" max="3" width="20.125" style="65" customWidth="1"/>
    <col min="4" max="5" width="3.125" style="65" customWidth="1"/>
    <col min="6" max="36" width="5.625" style="65" customWidth="1"/>
    <col min="37" max="37" width="13.625" style="65" customWidth="1"/>
    <col min="38" max="38" width="50.625" style="65" customWidth="1"/>
    <col min="39" max="39" width="9" style="113" hidden="1" customWidth="1" outlineLevel="1"/>
    <col min="40" max="40" width="9" style="109" hidden="1" customWidth="1" outlineLevel="1"/>
    <col min="41" max="49" width="9" style="65" hidden="1" customWidth="1" outlineLevel="1"/>
    <col min="50" max="50" width="9" style="154" customWidth="1" collapsed="1"/>
    <col min="51" max="16384" width="9" style="65"/>
  </cols>
  <sheetData>
    <row r="1" spans="1:49" s="95" customFormat="1" ht="15" customHeight="1" thickBot="1">
      <c r="A1" s="99"/>
      <c r="B1" s="1385" t="s">
        <v>355</v>
      </c>
      <c r="C1" s="1385"/>
      <c r="D1" s="1385"/>
      <c r="E1" s="1385"/>
      <c r="F1" s="100"/>
      <c r="G1" s="1386" t="str">
        <f>AO1</f>
        <v/>
      </c>
      <c r="H1" s="1386"/>
      <c r="I1" s="114" t="s">
        <v>288</v>
      </c>
      <c r="J1" s="115">
        <f>AO2</f>
        <v>0</v>
      </c>
      <c r="K1" s="114" t="s">
        <v>289</v>
      </c>
      <c r="L1" s="1387" t="s">
        <v>290</v>
      </c>
      <c r="M1" s="1387"/>
      <c r="N1" s="1387"/>
      <c r="O1" s="1387"/>
      <c r="P1" s="1387"/>
      <c r="Q1" s="1387"/>
      <c r="R1" s="1387"/>
      <c r="S1" s="1387"/>
      <c r="T1" s="1387"/>
      <c r="U1" s="101"/>
      <c r="V1" s="101"/>
      <c r="W1" s="101"/>
      <c r="X1" s="101"/>
      <c r="Y1" s="101"/>
      <c r="Z1" s="101"/>
      <c r="AA1" s="101"/>
      <c r="AB1" s="101"/>
      <c r="AC1" s="1331" t="str">
        <f>AM2&amp;"様式3"&amp;AM3</f>
        <v>加-23_月申-様式3-家_Ver.2.00</v>
      </c>
      <c r="AD1" s="1331"/>
      <c r="AE1" s="1331"/>
      <c r="AF1" s="1331"/>
      <c r="AG1" s="1331"/>
      <c r="AH1" s="1331"/>
      <c r="AI1" s="1331"/>
      <c r="AJ1" s="1331"/>
      <c r="AK1" s="101"/>
      <c r="AL1" s="101"/>
      <c r="AM1" s="721" t="s">
        <v>654</v>
      </c>
      <c r="AN1" s="94" t="s">
        <v>288</v>
      </c>
      <c r="AO1" s="102" t="str">
        <f>【様式１】総括表・個票!D10</f>
        <v/>
      </c>
      <c r="AP1" s="129" t="s">
        <v>291</v>
      </c>
      <c r="AQ1" s="103">
        <v>1</v>
      </c>
      <c r="AR1" s="103">
        <v>2</v>
      </c>
      <c r="AS1" s="103">
        <v>3</v>
      </c>
      <c r="AT1" s="103">
        <v>4</v>
      </c>
      <c r="AU1" s="103">
        <v>5</v>
      </c>
      <c r="AV1" s="103">
        <v>6</v>
      </c>
      <c r="AW1" s="103">
        <v>7</v>
      </c>
    </row>
    <row r="2" spans="1:49" ht="15" customHeight="1" thickBot="1">
      <c r="A2" s="104"/>
      <c r="B2" s="105" t="s">
        <v>504</v>
      </c>
      <c r="C2" s="1372" t="s">
        <v>505</v>
      </c>
      <c r="D2" s="1372"/>
      <c r="E2" s="1373"/>
      <c r="F2" s="1388" t="e">
        <f>【様式１】総括表・個票!W4</f>
        <v>#N/A</v>
      </c>
      <c r="G2" s="1389"/>
      <c r="H2" s="1389"/>
      <c r="I2" s="1389"/>
      <c r="J2" s="1390"/>
      <c r="K2" s="1399" t="s">
        <v>426</v>
      </c>
      <c r="L2" s="1400"/>
      <c r="M2" s="1400"/>
      <c r="N2" s="1400"/>
      <c r="O2" s="1400"/>
      <c r="P2" s="1400"/>
      <c r="Q2" s="1400"/>
      <c r="R2" s="1400"/>
      <c r="S2" s="1400"/>
      <c r="T2" s="1400"/>
      <c r="U2" s="1400"/>
      <c r="V2" s="1400"/>
      <c r="W2" s="1400"/>
      <c r="X2" s="1400"/>
      <c r="Y2" s="1400"/>
      <c r="Z2" s="1400"/>
      <c r="AA2" s="1393" t="s">
        <v>656</v>
      </c>
      <c r="AB2" s="1401"/>
      <c r="AC2" s="1391"/>
      <c r="AD2" s="1392"/>
      <c r="AE2" s="63" t="s">
        <v>292</v>
      </c>
      <c r="AF2" s="1393" t="s">
        <v>506</v>
      </c>
      <c r="AG2" s="1393"/>
      <c r="AH2" s="1395">
        <f>SUM(AC2,ROUND(AC3/60,2))</f>
        <v>0</v>
      </c>
      <c r="AI2" s="1396"/>
      <c r="AJ2" s="1370" t="s">
        <v>293</v>
      </c>
      <c r="AK2" s="106"/>
      <c r="AL2" s="106"/>
      <c r="AM2" s="721" t="str">
        <f>【様式１】総括表・個票!$AI$2</f>
        <v>加-23_月申-</v>
      </c>
      <c r="AN2" s="102" t="s">
        <v>294</v>
      </c>
      <c r="AO2" s="102">
        <f>【様式１】総括表・個票!I10</f>
        <v>0</v>
      </c>
      <c r="AP2" s="129" t="s">
        <v>295</v>
      </c>
      <c r="AQ2" s="130" t="s">
        <v>296</v>
      </c>
      <c r="AR2" s="131" t="s">
        <v>297</v>
      </c>
      <c r="AS2" s="131" t="s">
        <v>298</v>
      </c>
      <c r="AT2" s="131" t="s">
        <v>299</v>
      </c>
      <c r="AU2" s="131" t="s">
        <v>300</v>
      </c>
      <c r="AV2" s="131" t="s">
        <v>301</v>
      </c>
      <c r="AW2" s="132" t="s">
        <v>302</v>
      </c>
    </row>
    <row r="3" spans="1:49" ht="15" customHeight="1" thickBot="1">
      <c r="A3" s="107"/>
      <c r="B3" s="105" t="s">
        <v>507</v>
      </c>
      <c r="C3" s="1372" t="s">
        <v>3</v>
      </c>
      <c r="D3" s="1372"/>
      <c r="E3" s="1373"/>
      <c r="F3" s="1374">
        <f>【様式１】総括表・個票!D12</f>
        <v>0</v>
      </c>
      <c r="G3" s="1375"/>
      <c r="H3" s="1375"/>
      <c r="I3" s="1375"/>
      <c r="J3" s="1376"/>
      <c r="K3" s="1402" t="s">
        <v>508</v>
      </c>
      <c r="L3" s="1403"/>
      <c r="M3" s="1403"/>
      <c r="N3" s="1403"/>
      <c r="O3" s="1403"/>
      <c r="P3" s="1403"/>
      <c r="Q3" s="1403"/>
      <c r="R3" s="1403"/>
      <c r="S3" s="1403"/>
      <c r="T3" s="1403"/>
      <c r="U3" s="1403"/>
      <c r="V3" s="1403"/>
      <c r="W3" s="1403"/>
      <c r="X3" s="1403"/>
      <c r="Y3" s="1403"/>
      <c r="Z3" s="1403"/>
      <c r="AA3" s="1394"/>
      <c r="AB3" s="1398"/>
      <c r="AC3" s="1377"/>
      <c r="AD3" s="1378"/>
      <c r="AE3" s="64" t="s">
        <v>303</v>
      </c>
      <c r="AF3" s="1394"/>
      <c r="AG3" s="1394"/>
      <c r="AH3" s="1397"/>
      <c r="AI3" s="1398"/>
      <c r="AJ3" s="1371"/>
      <c r="AK3" s="371" t="s">
        <v>509</v>
      </c>
      <c r="AL3" s="108"/>
      <c r="AM3" s="721" t="str">
        <f>【様式１】総括表・個票!$AI$3</f>
        <v>-家_Ver.2.00</v>
      </c>
      <c r="AO3" s="110"/>
      <c r="AP3" s="133"/>
      <c r="AQ3" s="111"/>
    </row>
    <row r="4" spans="1:49" ht="15" customHeight="1">
      <c r="A4" s="107"/>
      <c r="B4" s="1379" t="s">
        <v>304</v>
      </c>
      <c r="C4" s="1381" t="s">
        <v>305</v>
      </c>
      <c r="D4" s="1383" t="s">
        <v>306</v>
      </c>
      <c r="E4" s="1384"/>
      <c r="F4" s="372">
        <v>1</v>
      </c>
      <c r="G4" s="372">
        <v>2</v>
      </c>
      <c r="H4" s="372">
        <v>3</v>
      </c>
      <c r="I4" s="372">
        <v>4</v>
      </c>
      <c r="J4" s="372">
        <v>5</v>
      </c>
      <c r="K4" s="372">
        <v>6</v>
      </c>
      <c r="L4" s="372">
        <v>7</v>
      </c>
      <c r="M4" s="372">
        <v>8</v>
      </c>
      <c r="N4" s="372">
        <v>9</v>
      </c>
      <c r="O4" s="372">
        <v>10</v>
      </c>
      <c r="P4" s="372">
        <v>11</v>
      </c>
      <c r="Q4" s="372">
        <v>12</v>
      </c>
      <c r="R4" s="372">
        <v>13</v>
      </c>
      <c r="S4" s="372">
        <v>14</v>
      </c>
      <c r="T4" s="372">
        <v>15</v>
      </c>
      <c r="U4" s="372">
        <v>16</v>
      </c>
      <c r="V4" s="372">
        <v>17</v>
      </c>
      <c r="W4" s="372">
        <v>18</v>
      </c>
      <c r="X4" s="372">
        <v>19</v>
      </c>
      <c r="Y4" s="372">
        <v>20</v>
      </c>
      <c r="Z4" s="372">
        <v>21</v>
      </c>
      <c r="AA4" s="372">
        <v>22</v>
      </c>
      <c r="AB4" s="372">
        <v>23</v>
      </c>
      <c r="AC4" s="372">
        <v>24</v>
      </c>
      <c r="AD4" s="372">
        <v>25</v>
      </c>
      <c r="AE4" s="372">
        <v>26</v>
      </c>
      <c r="AF4" s="372">
        <v>27</v>
      </c>
      <c r="AG4" s="372">
        <v>28</v>
      </c>
      <c r="AH4" s="372" t="e">
        <f>IF(AG4="","",IF(MONTH(DATE($AO$1,$AO$2,AG4+1))=$AO$2,AG4+1,""))</f>
        <v>#VALUE!</v>
      </c>
      <c r="AI4" s="372" t="e">
        <f>IF(AH4="","",IF(MONTH(DATE($AO$1,$AO$2,AH4+1))=$AO$2,AH4+1,""))</f>
        <v>#VALUE!</v>
      </c>
      <c r="AJ4" s="372" t="e">
        <f>IF(AI4="","",IF(MONTH(DATE($AO$1,$AO$2,AI4+1))=$AO$2,AI4+1,""))</f>
        <v>#VALUE!</v>
      </c>
      <c r="AK4" s="1362" t="s">
        <v>150</v>
      </c>
      <c r="AL4" s="112"/>
      <c r="AM4" s="65"/>
      <c r="AN4" s="65"/>
      <c r="AP4" s="133"/>
    </row>
    <row r="5" spans="1:49" ht="15" customHeight="1">
      <c r="A5" s="107"/>
      <c r="B5" s="1380"/>
      <c r="C5" s="1382"/>
      <c r="D5" s="1364" t="s">
        <v>510</v>
      </c>
      <c r="E5" s="1365"/>
      <c r="F5" s="373" t="e">
        <f>IF(F4&lt;&gt;"",IF(OR(WEEKDAY(DATE($AO$1,$AO$2,F$4),2)&gt;6,COUNTIF('休日情報(要更新) '!$A$5:$J$32,DATE($AO$1,$AO$2,F$4)) &gt;=1),"○",""),"")</f>
        <v>#VALUE!</v>
      </c>
      <c r="G5" s="373" t="e">
        <f>IF(G4&lt;&gt;"",IF(OR(WEEKDAY(DATE($AO$1,$AO$2,G$4),2)&gt;6,COUNTIF('休日情報(要更新) '!$A$5:$J$32,DATE($AO$1,$AO$2,G$4)) &gt;=1),"○",""),"")</f>
        <v>#VALUE!</v>
      </c>
      <c r="H5" s="373" t="e">
        <f>IF(H4&lt;&gt;"",IF(OR(WEEKDAY(DATE($AO$1,$AO$2,H$4),2)&gt;6,COUNTIF('休日情報(要更新) '!$A$5:$J$32,DATE($AO$1,$AO$2,H$4)) &gt;=1),"○",""),"")</f>
        <v>#VALUE!</v>
      </c>
      <c r="I5" s="373" t="e">
        <f>IF(I4&lt;&gt;"",IF(OR(WEEKDAY(DATE($AO$1,$AO$2,I$4),2)&gt;6,COUNTIF('休日情報(要更新) '!$A$5:$J$32,DATE($AO$1,$AO$2,I$4)) &gt;=1),"○",""),"")</f>
        <v>#VALUE!</v>
      </c>
      <c r="J5" s="373" t="e">
        <f>IF(J4&lt;&gt;"",IF(OR(WEEKDAY(DATE($AO$1,$AO$2,J$4),2)&gt;6,COUNTIF('休日情報(要更新) '!$A$5:$J$32,DATE($AO$1,$AO$2,J$4)) &gt;=1),"○",""),"")</f>
        <v>#VALUE!</v>
      </c>
      <c r="K5" s="373" t="e">
        <f>IF(K4&lt;&gt;"",IF(OR(WEEKDAY(DATE($AO$1,$AO$2,K$4),2)&gt;6,COUNTIF('休日情報(要更新) '!$A$5:$J$32,DATE($AO$1,$AO$2,K$4)) &gt;=1),"○",""),"")</f>
        <v>#VALUE!</v>
      </c>
      <c r="L5" s="373" t="e">
        <f>IF(L4&lt;&gt;"",IF(OR(WEEKDAY(DATE($AO$1,$AO$2,L$4),2)&gt;6,COUNTIF('休日情報(要更新) '!$A$5:$J$32,DATE($AO$1,$AO$2,L$4)) &gt;=1),"○",""),"")</f>
        <v>#VALUE!</v>
      </c>
      <c r="M5" s="373" t="e">
        <f>IF(M4&lt;&gt;"",IF(OR(WEEKDAY(DATE($AO$1,$AO$2,M$4),2)&gt;6,COUNTIF('休日情報(要更新) '!$A$5:$J$32,DATE($AO$1,$AO$2,M$4)) &gt;=1),"○",""),"")</f>
        <v>#VALUE!</v>
      </c>
      <c r="N5" s="373" t="e">
        <f>IF(N4&lt;&gt;"",IF(OR(WEEKDAY(DATE($AO$1,$AO$2,N$4),2)&gt;6,COUNTIF('休日情報(要更新) '!$A$5:$J$32,DATE($AO$1,$AO$2,N$4)) &gt;=1),"○",""),"")</f>
        <v>#VALUE!</v>
      </c>
      <c r="O5" s="373" t="e">
        <f>IF(O4&lt;&gt;"",IF(OR(WEEKDAY(DATE($AO$1,$AO$2,O$4),2)&gt;6,COUNTIF('休日情報(要更新) '!$A$5:$J$32,DATE($AO$1,$AO$2,O$4)) &gt;=1),"○",""),"")</f>
        <v>#VALUE!</v>
      </c>
      <c r="P5" s="373" t="e">
        <f>IF(P4&lt;&gt;"",IF(OR(WEEKDAY(DATE($AO$1,$AO$2,P$4),2)&gt;6,COUNTIF('休日情報(要更新) '!$A$5:$J$32,DATE($AO$1,$AO$2,P$4)) &gt;=1),"○",""),"")</f>
        <v>#VALUE!</v>
      </c>
      <c r="Q5" s="373" t="e">
        <f>IF(Q4&lt;&gt;"",IF(OR(WEEKDAY(DATE($AO$1,$AO$2,Q$4),2)&gt;6,COUNTIF('休日情報(要更新) '!$A$5:$J$32,DATE($AO$1,$AO$2,Q$4)) &gt;=1),"○",""),"")</f>
        <v>#VALUE!</v>
      </c>
      <c r="R5" s="373" t="e">
        <f>IF(R4&lt;&gt;"",IF(OR(WEEKDAY(DATE($AO$1,$AO$2,R$4),2)&gt;6,COUNTIF('休日情報(要更新) '!$A$5:$J$32,DATE($AO$1,$AO$2,R$4)) &gt;=1),"○",""),"")</f>
        <v>#VALUE!</v>
      </c>
      <c r="S5" s="373" t="e">
        <f>IF(S4&lt;&gt;"",IF(OR(WEEKDAY(DATE($AO$1,$AO$2,S$4),2)&gt;6,COUNTIF('休日情報(要更新) '!$A$5:$J$32,DATE($AO$1,$AO$2,S$4)) &gt;=1),"○",""),"")</f>
        <v>#VALUE!</v>
      </c>
      <c r="T5" s="373" t="e">
        <f>IF(T4&lt;&gt;"",IF(OR(WEEKDAY(DATE($AO$1,$AO$2,T$4),2)&gt;6,COUNTIF('休日情報(要更新) '!$A$5:$J$32,DATE($AO$1,$AO$2,T$4)) &gt;=1),"○",""),"")</f>
        <v>#VALUE!</v>
      </c>
      <c r="U5" s="373" t="e">
        <f>IF(U4&lt;&gt;"",IF(OR(WEEKDAY(DATE($AO$1,$AO$2,U$4),2)&gt;6,COUNTIF('休日情報(要更新) '!$A$5:$J$32,DATE($AO$1,$AO$2,U$4)) &gt;=1),"○",""),"")</f>
        <v>#VALUE!</v>
      </c>
      <c r="V5" s="373" t="e">
        <f>IF(V4&lt;&gt;"",IF(OR(WEEKDAY(DATE($AO$1,$AO$2,V$4),2)&gt;6,COUNTIF('休日情報(要更新) '!$A$5:$J$32,DATE($AO$1,$AO$2,V$4)) &gt;=1),"○",""),"")</f>
        <v>#VALUE!</v>
      </c>
      <c r="W5" s="373" t="e">
        <f>IF(W4&lt;&gt;"",IF(OR(WEEKDAY(DATE($AO$1,$AO$2,W$4),2)&gt;6,COUNTIF('休日情報(要更新) '!$A$5:$J$32,DATE($AO$1,$AO$2,W$4)) &gt;=1),"○",""),"")</f>
        <v>#VALUE!</v>
      </c>
      <c r="X5" s="373" t="e">
        <f>IF(X4&lt;&gt;"",IF(OR(WEEKDAY(DATE($AO$1,$AO$2,X$4),2)&gt;6,COUNTIF('休日情報(要更新) '!$A$5:$J$32,DATE($AO$1,$AO$2,X$4)) &gt;=1),"○",""),"")</f>
        <v>#VALUE!</v>
      </c>
      <c r="Y5" s="373" t="e">
        <f>IF(Y4&lt;&gt;"",IF(OR(WEEKDAY(DATE($AO$1,$AO$2,Y$4),2)&gt;6,COUNTIF('休日情報(要更新) '!$A$5:$J$32,DATE($AO$1,$AO$2,Y$4)) &gt;=1),"○",""),"")</f>
        <v>#VALUE!</v>
      </c>
      <c r="Z5" s="373" t="e">
        <f>IF(Z4&lt;&gt;"",IF(OR(WEEKDAY(DATE($AO$1,$AO$2,Z$4),2)&gt;6,COUNTIF('休日情報(要更新) '!$A$5:$J$32,DATE($AO$1,$AO$2,Z$4)) &gt;=1),"○",""),"")</f>
        <v>#VALUE!</v>
      </c>
      <c r="AA5" s="373" t="e">
        <f>IF(AA4&lt;&gt;"",IF(OR(WEEKDAY(DATE($AO$1,$AO$2,AA$4),2)&gt;6,COUNTIF('休日情報(要更新) '!$A$5:$J$32,DATE($AO$1,$AO$2,AA$4)) &gt;=1),"○",""),"")</f>
        <v>#VALUE!</v>
      </c>
      <c r="AB5" s="373" t="e">
        <f>IF(AB4&lt;&gt;"",IF(OR(WEEKDAY(DATE($AO$1,$AO$2,AB$4),2)&gt;6,COUNTIF('休日情報(要更新) '!$A$5:$J$32,DATE($AO$1,$AO$2,AB$4)) &gt;=1),"○",""),"")</f>
        <v>#VALUE!</v>
      </c>
      <c r="AC5" s="373" t="e">
        <f>IF(AC4&lt;&gt;"",IF(OR(WEEKDAY(DATE($AO$1,$AO$2,AC$4),2)&gt;6,COUNTIF('休日情報(要更新) '!$A$5:$J$32,DATE($AO$1,$AO$2,AC$4)) &gt;=1),"○",""),"")</f>
        <v>#VALUE!</v>
      </c>
      <c r="AD5" s="373" t="e">
        <f>IF(AD4&lt;&gt;"",IF(OR(WEEKDAY(DATE($AO$1,$AO$2,AD$4),2)&gt;6,COUNTIF('休日情報(要更新) '!$A$5:$J$32,DATE($AO$1,$AO$2,AD$4)) &gt;=1),"○",""),"")</f>
        <v>#VALUE!</v>
      </c>
      <c r="AE5" s="373" t="e">
        <f>IF(AE4&lt;&gt;"",IF(OR(WEEKDAY(DATE($AO$1,$AO$2,AE$4),2)&gt;6,COUNTIF('休日情報(要更新) '!$A$5:$J$32,DATE($AO$1,$AO$2,AE$4)) &gt;=1),"○",""),"")</f>
        <v>#VALUE!</v>
      </c>
      <c r="AF5" s="373" t="e">
        <f>IF(AF4&lt;&gt;"",IF(OR(WEEKDAY(DATE($AO$1,$AO$2,AF$4),2)&gt;6,COUNTIF('休日情報(要更新) '!$A$5:$J$32,DATE($AO$1,$AO$2,AF$4)) &gt;=1),"○",""),"")</f>
        <v>#VALUE!</v>
      </c>
      <c r="AG5" s="373" t="e">
        <f>IF(AG4&lt;&gt;"",IF(OR(WEEKDAY(DATE($AO$1,$AO$2,AG$4),2)&gt;6,COUNTIF('休日情報(要更新) '!$A$5:$J$32,DATE($AO$1,$AO$2,AG$4)) &gt;=1),"○",""),"")</f>
        <v>#VALUE!</v>
      </c>
      <c r="AH5" s="373" t="e">
        <f>IF(AH4&lt;&gt;"",IF(OR(WEEKDAY(DATE($AO$1,$AO$2,AH$4),2)&gt;6,COUNTIF('休日情報(要更新) '!$A$5:$J$32,DATE($AO$1,$AO$2,AH$4)) &gt;=1),"○",""),"")</f>
        <v>#VALUE!</v>
      </c>
      <c r="AI5" s="373" t="e">
        <f>IF(AI4&lt;&gt;"",IF(OR(WEEKDAY(DATE($AO$1,$AO$2,AI$4),2)&gt;6,COUNTIF('休日情報(要更新) '!$A$5:$J$32,DATE($AO$1,$AO$2,AI$4)) &gt;=1),"○",""),"")</f>
        <v>#VALUE!</v>
      </c>
      <c r="AJ5" s="373" t="e">
        <f>IF(AJ4&lt;&gt;"",IF(OR(WEEKDAY(DATE($AO$1,$AO$2,AJ$4),2)&gt;6,COUNTIF('休日情報(要更新) '!$A$5:$J$32,DATE($AO$1,$AO$2,AJ$4)) &gt;=1),"○",""),"")</f>
        <v>#VALUE!</v>
      </c>
      <c r="AK5" s="1363"/>
      <c r="AL5" s="112"/>
      <c r="AM5" s="65"/>
      <c r="AN5" s="65"/>
      <c r="AP5" s="133"/>
    </row>
    <row r="6" spans="1:49" ht="15" customHeight="1" thickBot="1">
      <c r="A6" s="107"/>
      <c r="B6" s="1380"/>
      <c r="C6" s="1371"/>
      <c r="D6" s="1366" t="s">
        <v>307</v>
      </c>
      <c r="E6" s="1367"/>
      <c r="F6" s="760" t="e">
        <f t="shared" ref="F6:AG6" si="0">HLOOKUP(WEEKDAY(DATE($AO$1,$AO$2,F$4)),$AQ$1:$AW$2,2,FALSE)</f>
        <v>#VALUE!</v>
      </c>
      <c r="G6" s="760" t="e">
        <f t="shared" si="0"/>
        <v>#VALUE!</v>
      </c>
      <c r="H6" s="760" t="e">
        <f t="shared" si="0"/>
        <v>#VALUE!</v>
      </c>
      <c r="I6" s="760" t="e">
        <f t="shared" si="0"/>
        <v>#VALUE!</v>
      </c>
      <c r="J6" s="760" t="e">
        <f t="shared" si="0"/>
        <v>#VALUE!</v>
      </c>
      <c r="K6" s="760" t="e">
        <f t="shared" si="0"/>
        <v>#VALUE!</v>
      </c>
      <c r="L6" s="760" t="e">
        <f t="shared" si="0"/>
        <v>#VALUE!</v>
      </c>
      <c r="M6" s="760" t="e">
        <f t="shared" si="0"/>
        <v>#VALUE!</v>
      </c>
      <c r="N6" s="760" t="e">
        <f t="shared" si="0"/>
        <v>#VALUE!</v>
      </c>
      <c r="O6" s="760" t="e">
        <f t="shared" si="0"/>
        <v>#VALUE!</v>
      </c>
      <c r="P6" s="760" t="e">
        <f t="shared" si="0"/>
        <v>#VALUE!</v>
      </c>
      <c r="Q6" s="760" t="e">
        <f t="shared" si="0"/>
        <v>#VALUE!</v>
      </c>
      <c r="R6" s="760" t="e">
        <f t="shared" si="0"/>
        <v>#VALUE!</v>
      </c>
      <c r="S6" s="760" t="e">
        <f t="shared" si="0"/>
        <v>#VALUE!</v>
      </c>
      <c r="T6" s="760" t="e">
        <f t="shared" si="0"/>
        <v>#VALUE!</v>
      </c>
      <c r="U6" s="760" t="e">
        <f t="shared" si="0"/>
        <v>#VALUE!</v>
      </c>
      <c r="V6" s="760" t="e">
        <f t="shared" si="0"/>
        <v>#VALUE!</v>
      </c>
      <c r="W6" s="760" t="e">
        <f t="shared" si="0"/>
        <v>#VALUE!</v>
      </c>
      <c r="X6" s="760" t="e">
        <f t="shared" si="0"/>
        <v>#VALUE!</v>
      </c>
      <c r="Y6" s="760" t="e">
        <f t="shared" si="0"/>
        <v>#VALUE!</v>
      </c>
      <c r="Z6" s="760" t="e">
        <f t="shared" si="0"/>
        <v>#VALUE!</v>
      </c>
      <c r="AA6" s="760" t="e">
        <f t="shared" si="0"/>
        <v>#VALUE!</v>
      </c>
      <c r="AB6" s="760" t="e">
        <f t="shared" si="0"/>
        <v>#VALUE!</v>
      </c>
      <c r="AC6" s="760" t="e">
        <f t="shared" si="0"/>
        <v>#VALUE!</v>
      </c>
      <c r="AD6" s="760" t="e">
        <f t="shared" si="0"/>
        <v>#VALUE!</v>
      </c>
      <c r="AE6" s="760" t="e">
        <f t="shared" si="0"/>
        <v>#VALUE!</v>
      </c>
      <c r="AF6" s="760" t="e">
        <f t="shared" si="0"/>
        <v>#VALUE!</v>
      </c>
      <c r="AG6" s="760" t="e">
        <f t="shared" si="0"/>
        <v>#VALUE!</v>
      </c>
      <c r="AH6" s="760" t="e">
        <f>IF(AH4&lt;&gt;"",HLOOKUP(WEEKDAY(DATE($AO$1,$AO$2,AH$4)),$AQ$1:$AW$2,2,FALSE),"")</f>
        <v>#VALUE!</v>
      </c>
      <c r="AI6" s="760" t="e">
        <f>IF(AI4&lt;&gt;"",HLOOKUP(WEEKDAY(DATE($AO$1,$AO$2,AI$4)),$AQ$1:$AW$2,2,FALSE),"")</f>
        <v>#VALUE!</v>
      </c>
      <c r="AJ6" s="760" t="e">
        <f>IF(AJ4&lt;&gt;"",HLOOKUP(WEEKDAY(DATE($AO$1,$AO$2,AJ$4)),$AQ$1:$AW$2,2,FALSE),"")</f>
        <v>#VALUE!</v>
      </c>
      <c r="AK6" s="1363"/>
      <c r="AL6" s="112"/>
      <c r="AM6" s="65"/>
      <c r="AN6" s="65"/>
      <c r="AP6" s="133"/>
    </row>
    <row r="7" spans="1:49" ht="15" customHeight="1">
      <c r="A7" s="107"/>
      <c r="B7" s="145">
        <f>ROW()-6</f>
        <v>1</v>
      </c>
      <c r="C7" s="374" t="str">
        <f>IFERROR(INDEX(【様式2】職員名簿!$B$39:$B$138,MATCH($B7,【様式2】職員名簿!$M$39:$M$138,0),1),"")</f>
        <v/>
      </c>
      <c r="D7" s="1368" t="s">
        <v>308</v>
      </c>
      <c r="E7" s="1369"/>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375">
        <f>MIN(SUMIF($F$4:$AJ$4,"&gt;0",F7:AJ7),【様式2】職員名簿!$F$5)</f>
        <v>0</v>
      </c>
      <c r="AL7" s="134"/>
      <c r="AM7" s="65"/>
      <c r="AN7" s="65"/>
      <c r="AP7" s="133"/>
    </row>
    <row r="8" spans="1:49" ht="15" customHeight="1">
      <c r="B8" s="147">
        <f t="shared" ref="B8:B106" si="1">ROW()-6</f>
        <v>2</v>
      </c>
      <c r="C8" s="376" t="str">
        <f>IFERROR(INDEX(【様式2】職員名簿!$B$39:$B$138,MATCH($B8,【様式2】職員名簿!$M$39:$M$138,0),1),"")</f>
        <v/>
      </c>
      <c r="D8" s="1360" t="s">
        <v>308</v>
      </c>
      <c r="E8" s="1361"/>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377">
        <f>MIN(SUMIF($F$4:$AJ$4,"&gt;0",F8:AJ8),【様式2】職員名簿!$F$5)</f>
        <v>0</v>
      </c>
    </row>
    <row r="9" spans="1:49" ht="15" customHeight="1">
      <c r="B9" s="147">
        <f t="shared" si="1"/>
        <v>3</v>
      </c>
      <c r="C9" s="376" t="str">
        <f>IFERROR(INDEX(【様式2】職員名簿!$B$39:$B$138,MATCH($B9,【様式2】職員名簿!$M$39:$M$138,0),1),"")</f>
        <v/>
      </c>
      <c r="D9" s="1360" t="s">
        <v>308</v>
      </c>
      <c r="E9" s="1361"/>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377">
        <f>MIN(SUMIF($F$4:$AJ$4,"&gt;0",F9:AJ9),【様式2】職員名簿!$F$5)</f>
        <v>0</v>
      </c>
    </row>
    <row r="10" spans="1:49" ht="15" customHeight="1">
      <c r="B10" s="147">
        <f t="shared" si="1"/>
        <v>4</v>
      </c>
      <c r="C10" s="376" t="str">
        <f>IFERROR(INDEX(【様式2】職員名簿!$B$39:$B$138,MATCH($B10,【様式2】職員名簿!$M$39:$M$138,0),1),"")</f>
        <v/>
      </c>
      <c r="D10" s="1360" t="s">
        <v>308</v>
      </c>
      <c r="E10" s="1361"/>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377">
        <f>MIN(SUMIF($F$4:$AJ$4,"&gt;0",F10:AJ10),【様式2】職員名簿!$F$5)</f>
        <v>0</v>
      </c>
    </row>
    <row r="11" spans="1:49" ht="15" customHeight="1">
      <c r="B11" s="147">
        <f t="shared" si="1"/>
        <v>5</v>
      </c>
      <c r="C11" s="376" t="str">
        <f>IFERROR(INDEX(【様式2】職員名簿!$B$39:$B$138,MATCH($B11,【様式2】職員名簿!$M$39:$M$138,0),1),"")</f>
        <v/>
      </c>
      <c r="D11" s="1360" t="s">
        <v>308</v>
      </c>
      <c r="E11" s="1361"/>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377">
        <f>MIN(SUMIF($F$4:$AJ$4,"&gt;0",F11:AJ11),【様式2】職員名簿!$F$5)</f>
        <v>0</v>
      </c>
    </row>
    <row r="12" spans="1:49" ht="15" customHeight="1">
      <c r="B12" s="147">
        <f t="shared" si="1"/>
        <v>6</v>
      </c>
      <c r="C12" s="376" t="str">
        <f>IFERROR(INDEX(【様式2】職員名簿!$B$39:$B$138,MATCH($B12,【様式2】職員名簿!$M$39:$M$138,0),1),"")</f>
        <v/>
      </c>
      <c r="D12" s="1360" t="s">
        <v>308</v>
      </c>
      <c r="E12" s="1361"/>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377">
        <f>MIN(SUMIF($F$4:$AJ$4,"&gt;0",F12:AJ12),【様式2】職員名簿!$F$5)</f>
        <v>0</v>
      </c>
    </row>
    <row r="13" spans="1:49" ht="15" customHeight="1">
      <c r="B13" s="147">
        <f t="shared" si="1"/>
        <v>7</v>
      </c>
      <c r="C13" s="376" t="str">
        <f>IFERROR(INDEX(【様式2】職員名簿!$B$39:$B$138,MATCH($B13,【様式2】職員名簿!$M$39:$M$138,0),1),"")</f>
        <v/>
      </c>
      <c r="D13" s="1360" t="s">
        <v>308</v>
      </c>
      <c r="E13" s="1361"/>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377">
        <f>MIN(SUMIF($F$4:$AJ$4,"&gt;0",F13:AJ13),【様式2】職員名簿!$F$5)</f>
        <v>0</v>
      </c>
    </row>
    <row r="14" spans="1:49" ht="15" customHeight="1">
      <c r="B14" s="147">
        <f t="shared" si="1"/>
        <v>8</v>
      </c>
      <c r="C14" s="376" t="str">
        <f>IFERROR(INDEX(【様式2】職員名簿!$B$39:$B$138,MATCH($B14,【様式2】職員名簿!$M$39:$M$138,0),1),"")</f>
        <v/>
      </c>
      <c r="D14" s="1360" t="s">
        <v>308</v>
      </c>
      <c r="E14" s="1361"/>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377">
        <f>MIN(SUMIF($F$4:$AJ$4,"&gt;0",F14:AJ14),【様式2】職員名簿!$F$5)</f>
        <v>0</v>
      </c>
    </row>
    <row r="15" spans="1:49" ht="15" customHeight="1">
      <c r="B15" s="147">
        <f t="shared" si="1"/>
        <v>9</v>
      </c>
      <c r="C15" s="376" t="str">
        <f>IFERROR(INDEX(【様式2】職員名簿!$B$39:$B$138,MATCH($B15,【様式2】職員名簿!$M$39:$M$138,0),1),"")</f>
        <v/>
      </c>
      <c r="D15" s="1360" t="s">
        <v>308</v>
      </c>
      <c r="E15" s="1361"/>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377">
        <f>MIN(SUMIF($F$4:$AJ$4,"&gt;0",F15:AJ15),【様式2】職員名簿!$F$5)</f>
        <v>0</v>
      </c>
    </row>
    <row r="16" spans="1:49" ht="15" customHeight="1">
      <c r="B16" s="147">
        <f t="shared" si="1"/>
        <v>10</v>
      </c>
      <c r="C16" s="376" t="str">
        <f>IFERROR(INDEX(【様式2】職員名簿!$B$39:$B$138,MATCH($B16,【様式2】職員名簿!$M$39:$M$138,0),1),"")</f>
        <v/>
      </c>
      <c r="D16" s="1360" t="s">
        <v>308</v>
      </c>
      <c r="E16" s="1361"/>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377">
        <f>MIN(SUMIF($F$4:$AJ$4,"&gt;0",F16:AJ16),【様式2】職員名簿!$F$5)</f>
        <v>0</v>
      </c>
    </row>
    <row r="17" spans="2:37" ht="15" customHeight="1">
      <c r="B17" s="147">
        <f t="shared" si="1"/>
        <v>11</v>
      </c>
      <c r="C17" s="376" t="str">
        <f>IFERROR(INDEX(【様式2】職員名簿!$B$39:$B$138,MATCH($B17,【様式2】職員名簿!$M$39:$M$138,0),1),"")</f>
        <v/>
      </c>
      <c r="D17" s="1360" t="s">
        <v>308</v>
      </c>
      <c r="E17" s="1361"/>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377">
        <f>MIN(SUMIF($F$4:$AJ$4,"&gt;0",F17:AJ17),【様式2】職員名簿!$F$5)</f>
        <v>0</v>
      </c>
    </row>
    <row r="18" spans="2:37" ht="15" customHeight="1">
      <c r="B18" s="147">
        <f t="shared" si="1"/>
        <v>12</v>
      </c>
      <c r="C18" s="376" t="str">
        <f>IFERROR(INDEX(【様式2】職員名簿!$B$39:$B$138,MATCH($B18,【様式2】職員名簿!$M$39:$M$138,0),1),"")</f>
        <v/>
      </c>
      <c r="D18" s="1360" t="s">
        <v>308</v>
      </c>
      <c r="E18" s="1361"/>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377">
        <f>MIN(SUMIF($F$4:$AJ$4,"&gt;0",F18:AJ18),【様式2】職員名簿!$F$5)</f>
        <v>0</v>
      </c>
    </row>
    <row r="19" spans="2:37" ht="15" customHeight="1">
      <c r="B19" s="147">
        <f t="shared" si="1"/>
        <v>13</v>
      </c>
      <c r="C19" s="376" t="str">
        <f>IFERROR(INDEX(【様式2】職員名簿!$B$39:$B$138,MATCH($B19,【様式2】職員名簿!$M$39:$M$138,0),1),"")</f>
        <v/>
      </c>
      <c r="D19" s="1360" t="s">
        <v>308</v>
      </c>
      <c r="E19" s="1361"/>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377">
        <f>MIN(SUMIF($F$4:$AJ$4,"&gt;0",F19:AJ19),【様式2】職員名簿!$F$5)</f>
        <v>0</v>
      </c>
    </row>
    <row r="20" spans="2:37" ht="15" customHeight="1">
      <c r="B20" s="147">
        <f t="shared" si="1"/>
        <v>14</v>
      </c>
      <c r="C20" s="376" t="str">
        <f>IFERROR(INDEX(【様式2】職員名簿!$B$39:$B$138,MATCH($B20,【様式2】職員名簿!$M$39:$M$138,0),1),"")</f>
        <v/>
      </c>
      <c r="D20" s="1360" t="s">
        <v>308</v>
      </c>
      <c r="E20" s="1361"/>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377">
        <f>MIN(SUMIF($F$4:$AJ$4,"&gt;0",F20:AJ20),【様式2】職員名簿!$F$5)</f>
        <v>0</v>
      </c>
    </row>
    <row r="21" spans="2:37" ht="15" customHeight="1">
      <c r="B21" s="147">
        <f t="shared" si="1"/>
        <v>15</v>
      </c>
      <c r="C21" s="376" t="str">
        <f>IFERROR(INDEX(【様式2】職員名簿!$B$39:$B$138,MATCH($B21,【様式2】職員名簿!$M$39:$M$138,0),1),"")</f>
        <v/>
      </c>
      <c r="D21" s="1360" t="s">
        <v>308</v>
      </c>
      <c r="E21" s="1361"/>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377">
        <f>MIN(SUMIF($F$4:$AJ$4,"&gt;0",F21:AJ21),【様式2】職員名簿!$F$5)</f>
        <v>0</v>
      </c>
    </row>
    <row r="22" spans="2:37" ht="15" customHeight="1">
      <c r="B22" s="147">
        <f t="shared" si="1"/>
        <v>16</v>
      </c>
      <c r="C22" s="376" t="str">
        <f>IFERROR(INDEX(【様式2】職員名簿!$B$39:$B$138,MATCH($B22,【様式2】職員名簿!$M$39:$M$138,0),1),"")</f>
        <v/>
      </c>
      <c r="D22" s="1360" t="s">
        <v>308</v>
      </c>
      <c r="E22" s="1361"/>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377">
        <f>MIN(SUMIF($F$4:$AJ$4,"&gt;0",F22:AJ22),【様式2】職員名簿!$F$5)</f>
        <v>0</v>
      </c>
    </row>
    <row r="23" spans="2:37" ht="15" customHeight="1">
      <c r="B23" s="147">
        <f t="shared" si="1"/>
        <v>17</v>
      </c>
      <c r="C23" s="376" t="str">
        <f>IFERROR(INDEX(【様式2】職員名簿!$B$39:$B$138,MATCH($B23,【様式2】職員名簿!$M$39:$M$138,0),1),"")</f>
        <v/>
      </c>
      <c r="D23" s="1360" t="s">
        <v>308</v>
      </c>
      <c r="E23" s="1361"/>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377">
        <f>MIN(SUMIF($F$4:$AJ$4,"&gt;0",F23:AJ23),【様式2】職員名簿!$F$5)</f>
        <v>0</v>
      </c>
    </row>
    <row r="24" spans="2:37" ht="15" customHeight="1">
      <c r="B24" s="147">
        <f t="shared" si="1"/>
        <v>18</v>
      </c>
      <c r="C24" s="376" t="str">
        <f>IFERROR(INDEX(【様式2】職員名簿!$B$39:$B$138,MATCH($B24,【様式2】職員名簿!$M$39:$M$138,0),1),"")</f>
        <v/>
      </c>
      <c r="D24" s="1360" t="s">
        <v>308</v>
      </c>
      <c r="E24" s="1361"/>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377">
        <f>MIN(SUMIF($F$4:$AJ$4,"&gt;0",F24:AJ24),【様式2】職員名簿!$F$5)</f>
        <v>0</v>
      </c>
    </row>
    <row r="25" spans="2:37" ht="15" customHeight="1">
      <c r="B25" s="147">
        <f t="shared" si="1"/>
        <v>19</v>
      </c>
      <c r="C25" s="376" t="str">
        <f>IFERROR(INDEX(【様式2】職員名簿!$B$39:$B$138,MATCH($B25,【様式2】職員名簿!$M$39:$M$138,0),1),"")</f>
        <v/>
      </c>
      <c r="D25" s="1360" t="s">
        <v>308</v>
      </c>
      <c r="E25" s="1361"/>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377">
        <f>MIN(SUMIF($F$4:$AJ$4,"&gt;0",F25:AJ25),【様式2】職員名簿!$F$5)</f>
        <v>0</v>
      </c>
    </row>
    <row r="26" spans="2:37" ht="15" customHeight="1">
      <c r="B26" s="147">
        <f t="shared" si="1"/>
        <v>20</v>
      </c>
      <c r="C26" s="376" t="str">
        <f>IFERROR(INDEX(【様式2】職員名簿!$B$39:$B$138,MATCH($B26,【様式2】職員名簿!$M$39:$M$138,0),1),"")</f>
        <v/>
      </c>
      <c r="D26" s="1360" t="s">
        <v>308</v>
      </c>
      <c r="E26" s="1361"/>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377">
        <f>MIN(SUMIF($F$4:$AJ$4,"&gt;0",F26:AJ26),【様式2】職員名簿!$F$5)</f>
        <v>0</v>
      </c>
    </row>
    <row r="27" spans="2:37" ht="15" customHeight="1">
      <c r="B27" s="147">
        <f t="shared" si="1"/>
        <v>21</v>
      </c>
      <c r="C27" s="376" t="str">
        <f>IFERROR(INDEX(【様式2】職員名簿!$B$39:$B$138,MATCH($B27,【様式2】職員名簿!$M$39:$M$138,0),1),"")</f>
        <v/>
      </c>
      <c r="D27" s="1360" t="s">
        <v>308</v>
      </c>
      <c r="E27" s="1361"/>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377">
        <f>MIN(SUMIF($F$4:$AJ$4,"&gt;0",F27:AJ27),【様式2】職員名簿!$F$5)</f>
        <v>0</v>
      </c>
    </row>
    <row r="28" spans="2:37" ht="15" customHeight="1">
      <c r="B28" s="147">
        <f t="shared" si="1"/>
        <v>22</v>
      </c>
      <c r="C28" s="376" t="str">
        <f>IFERROR(INDEX(【様式2】職員名簿!$B$39:$B$138,MATCH($B28,【様式2】職員名簿!$M$39:$M$138,0),1),"")</f>
        <v/>
      </c>
      <c r="D28" s="1360" t="s">
        <v>308</v>
      </c>
      <c r="E28" s="1361"/>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377">
        <f>MIN(SUMIF($F$4:$AJ$4,"&gt;0",F28:AJ28),【様式2】職員名簿!$F$5)</f>
        <v>0</v>
      </c>
    </row>
    <row r="29" spans="2:37" ht="15" customHeight="1">
      <c r="B29" s="147">
        <f t="shared" si="1"/>
        <v>23</v>
      </c>
      <c r="C29" s="376" t="str">
        <f>IFERROR(INDEX(【様式2】職員名簿!$B$39:$B$138,MATCH($B29,【様式2】職員名簿!$M$39:$M$138,0),1),"")</f>
        <v/>
      </c>
      <c r="D29" s="1360" t="s">
        <v>308</v>
      </c>
      <c r="E29" s="1361"/>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377">
        <f>MIN(SUMIF($F$4:$AJ$4,"&gt;0",F29:AJ29),【様式2】職員名簿!$F$5)</f>
        <v>0</v>
      </c>
    </row>
    <row r="30" spans="2:37" ht="15" customHeight="1">
      <c r="B30" s="147">
        <f t="shared" si="1"/>
        <v>24</v>
      </c>
      <c r="C30" s="376" t="str">
        <f>IFERROR(INDEX(【様式2】職員名簿!$B$39:$B$138,MATCH($B30,【様式2】職員名簿!$M$39:$M$138,0),1),"")</f>
        <v/>
      </c>
      <c r="D30" s="1360" t="s">
        <v>308</v>
      </c>
      <c r="E30" s="1361"/>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377">
        <f>MIN(SUMIF($F$4:$AJ$4,"&gt;0",F30:AJ30),【様式2】職員名簿!$F$5)</f>
        <v>0</v>
      </c>
    </row>
    <row r="31" spans="2:37" ht="15" customHeight="1">
      <c r="B31" s="147">
        <f t="shared" si="1"/>
        <v>25</v>
      </c>
      <c r="C31" s="376" t="str">
        <f>IFERROR(INDEX(【様式2】職員名簿!$B$39:$B$138,MATCH($B31,【様式2】職員名簿!$M$39:$M$138,0),1),"")</f>
        <v/>
      </c>
      <c r="D31" s="1360" t="s">
        <v>308</v>
      </c>
      <c r="E31" s="1361"/>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377">
        <f>MIN(SUMIF($F$4:$AJ$4,"&gt;0",F31:AJ31),【様式2】職員名簿!$F$5)</f>
        <v>0</v>
      </c>
    </row>
    <row r="32" spans="2:37" ht="15" customHeight="1">
      <c r="B32" s="147">
        <f t="shared" si="1"/>
        <v>26</v>
      </c>
      <c r="C32" s="376" t="str">
        <f>IFERROR(INDEX(【様式2】職員名簿!$B$39:$B$138,MATCH($B32,【様式2】職員名簿!$M$39:$M$138,0),1),"")</f>
        <v/>
      </c>
      <c r="D32" s="1360" t="s">
        <v>308</v>
      </c>
      <c r="E32" s="1361"/>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377">
        <f>MIN(SUMIF($F$4:$AJ$4,"&gt;0",F32:AJ32),【様式2】職員名簿!$F$5)</f>
        <v>0</v>
      </c>
    </row>
    <row r="33" spans="2:37" ht="15" customHeight="1">
      <c r="B33" s="147">
        <f t="shared" si="1"/>
        <v>27</v>
      </c>
      <c r="C33" s="376" t="str">
        <f>IFERROR(INDEX(【様式2】職員名簿!$B$39:$B$138,MATCH($B33,【様式2】職員名簿!$M$39:$M$138,0),1),"")</f>
        <v/>
      </c>
      <c r="D33" s="1360" t="s">
        <v>308</v>
      </c>
      <c r="E33" s="1361"/>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377">
        <f>MIN(SUMIF($F$4:$AJ$4,"&gt;0",F33:AJ33),【様式2】職員名簿!$F$5)</f>
        <v>0</v>
      </c>
    </row>
    <row r="34" spans="2:37" ht="15" customHeight="1">
      <c r="B34" s="147">
        <f t="shared" si="1"/>
        <v>28</v>
      </c>
      <c r="C34" s="376" t="str">
        <f>IFERROR(INDEX(【様式2】職員名簿!$B$39:$B$138,MATCH($B34,【様式2】職員名簿!$M$39:$M$138,0),1),"")</f>
        <v/>
      </c>
      <c r="D34" s="1360" t="s">
        <v>308</v>
      </c>
      <c r="E34" s="1361"/>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377">
        <f>MIN(SUMIF($F$4:$AJ$4,"&gt;0",F34:AJ34),【様式2】職員名簿!$F$5)</f>
        <v>0</v>
      </c>
    </row>
    <row r="35" spans="2:37" ht="15" customHeight="1">
      <c r="B35" s="147">
        <f t="shared" si="1"/>
        <v>29</v>
      </c>
      <c r="C35" s="376" t="str">
        <f>IFERROR(INDEX(【様式2】職員名簿!$B$39:$B$138,MATCH($B35,【様式2】職員名簿!$M$39:$M$138,0),1),"")</f>
        <v/>
      </c>
      <c r="D35" s="1360" t="s">
        <v>308</v>
      </c>
      <c r="E35" s="1361"/>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377">
        <f>MIN(SUMIF($F$4:$AJ$4,"&gt;0",F35:AJ35),【様式2】職員名簿!$F$5)</f>
        <v>0</v>
      </c>
    </row>
    <row r="36" spans="2:37" ht="15" customHeight="1">
      <c r="B36" s="147">
        <f t="shared" si="1"/>
        <v>30</v>
      </c>
      <c r="C36" s="376" t="str">
        <f>IFERROR(INDEX(【様式2】職員名簿!$B$39:$B$138,MATCH($B36,【様式2】職員名簿!$M$39:$M$138,0),1),"")</f>
        <v/>
      </c>
      <c r="D36" s="1360" t="s">
        <v>308</v>
      </c>
      <c r="E36" s="1361"/>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377">
        <f>MIN(SUMIF($F$4:$AJ$4,"&gt;0",F36:AJ36),【様式2】職員名簿!$F$5)</f>
        <v>0</v>
      </c>
    </row>
    <row r="37" spans="2:37" ht="15" customHeight="1">
      <c r="B37" s="147">
        <f t="shared" si="1"/>
        <v>31</v>
      </c>
      <c r="C37" s="376" t="str">
        <f>IFERROR(INDEX(【様式2】職員名簿!$B$39:$B$138,MATCH($B37,【様式2】職員名簿!$M$39:$M$138,0),1),"")</f>
        <v/>
      </c>
      <c r="D37" s="1360" t="s">
        <v>308</v>
      </c>
      <c r="E37" s="1361"/>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377">
        <f>MIN(SUMIF($F$4:$AJ$4,"&gt;0",F37:AJ37),【様式2】職員名簿!$F$5)</f>
        <v>0</v>
      </c>
    </row>
    <row r="38" spans="2:37" ht="15" customHeight="1">
      <c r="B38" s="147">
        <f t="shared" si="1"/>
        <v>32</v>
      </c>
      <c r="C38" s="376" t="str">
        <f>IFERROR(INDEX(【様式2】職員名簿!$B$39:$B$138,MATCH($B38,【様式2】職員名簿!$M$39:$M$138,0),1),"")</f>
        <v/>
      </c>
      <c r="D38" s="1360" t="s">
        <v>308</v>
      </c>
      <c r="E38" s="1361"/>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377">
        <f>MIN(SUMIF($F$4:$AJ$4,"&gt;0",F38:AJ38),【様式2】職員名簿!$F$5)</f>
        <v>0</v>
      </c>
    </row>
    <row r="39" spans="2:37" ht="15" customHeight="1">
      <c r="B39" s="147">
        <f t="shared" si="1"/>
        <v>33</v>
      </c>
      <c r="C39" s="376" t="str">
        <f>IFERROR(INDEX(【様式2】職員名簿!$B$39:$B$138,MATCH($B39,【様式2】職員名簿!$M$39:$M$138,0),1),"")</f>
        <v/>
      </c>
      <c r="D39" s="1360" t="s">
        <v>308</v>
      </c>
      <c r="E39" s="1361"/>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377">
        <f>MIN(SUMIF($F$4:$AJ$4,"&gt;0",F39:AJ39),【様式2】職員名簿!$F$5)</f>
        <v>0</v>
      </c>
    </row>
    <row r="40" spans="2:37" ht="15" customHeight="1">
      <c r="B40" s="147">
        <f t="shared" si="1"/>
        <v>34</v>
      </c>
      <c r="C40" s="376" t="str">
        <f>IFERROR(INDEX(【様式2】職員名簿!$B$39:$B$138,MATCH($B40,【様式2】職員名簿!$M$39:$M$138,0),1),"")</f>
        <v/>
      </c>
      <c r="D40" s="1360" t="s">
        <v>308</v>
      </c>
      <c r="E40" s="1361"/>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377">
        <f>MIN(SUMIF($F$4:$AJ$4,"&gt;0",F40:AJ40),【様式2】職員名簿!$F$5)</f>
        <v>0</v>
      </c>
    </row>
    <row r="41" spans="2:37" ht="15" customHeight="1">
      <c r="B41" s="147">
        <f t="shared" si="1"/>
        <v>35</v>
      </c>
      <c r="C41" s="376" t="str">
        <f>IFERROR(INDEX(【様式2】職員名簿!$B$39:$B$138,MATCH($B41,【様式2】職員名簿!$M$39:$M$138,0),1),"")</f>
        <v/>
      </c>
      <c r="D41" s="1360" t="s">
        <v>308</v>
      </c>
      <c r="E41" s="1361"/>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377">
        <f>MIN(SUMIF($F$4:$AJ$4,"&gt;0",F41:AJ41),【様式2】職員名簿!$F$5)</f>
        <v>0</v>
      </c>
    </row>
    <row r="42" spans="2:37" ht="15" customHeight="1">
      <c r="B42" s="147">
        <f t="shared" si="1"/>
        <v>36</v>
      </c>
      <c r="C42" s="376" t="str">
        <f>IFERROR(INDEX(【様式2】職員名簿!$B$39:$B$138,MATCH($B42,【様式2】職員名簿!$M$39:$M$138,0),1),"")</f>
        <v/>
      </c>
      <c r="D42" s="1360" t="s">
        <v>308</v>
      </c>
      <c r="E42" s="1361"/>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377">
        <f>MIN(SUMIF($F$4:$AJ$4,"&gt;0",F42:AJ42),【様式2】職員名簿!$F$5)</f>
        <v>0</v>
      </c>
    </row>
    <row r="43" spans="2:37" ht="15" customHeight="1">
      <c r="B43" s="147">
        <f t="shared" si="1"/>
        <v>37</v>
      </c>
      <c r="C43" s="376" t="str">
        <f>IFERROR(INDEX(【様式2】職員名簿!$B$39:$B$138,MATCH($B43,【様式2】職員名簿!$M$39:$M$138,0),1),"")</f>
        <v/>
      </c>
      <c r="D43" s="1360" t="s">
        <v>308</v>
      </c>
      <c r="E43" s="1361"/>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377">
        <f>MIN(SUMIF($F$4:$AJ$4,"&gt;0",F43:AJ43),【様式2】職員名簿!$F$5)</f>
        <v>0</v>
      </c>
    </row>
    <row r="44" spans="2:37" ht="15" customHeight="1">
      <c r="B44" s="147">
        <f t="shared" si="1"/>
        <v>38</v>
      </c>
      <c r="C44" s="376" t="str">
        <f>IFERROR(INDEX(【様式2】職員名簿!$B$39:$B$138,MATCH($B44,【様式2】職員名簿!$M$39:$M$138,0),1),"")</f>
        <v/>
      </c>
      <c r="D44" s="1360" t="s">
        <v>308</v>
      </c>
      <c r="E44" s="1361"/>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377">
        <f>MIN(SUMIF($F$4:$AJ$4,"&gt;0",F44:AJ44),【様式2】職員名簿!$F$5)</f>
        <v>0</v>
      </c>
    </row>
    <row r="45" spans="2:37" ht="15" customHeight="1">
      <c r="B45" s="147">
        <f t="shared" si="1"/>
        <v>39</v>
      </c>
      <c r="C45" s="376" t="str">
        <f>IFERROR(INDEX(【様式2】職員名簿!$B$39:$B$138,MATCH($B45,【様式2】職員名簿!$M$39:$M$138,0),1),"")</f>
        <v/>
      </c>
      <c r="D45" s="1360" t="s">
        <v>308</v>
      </c>
      <c r="E45" s="1361"/>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377">
        <f>MIN(SUMIF($F$4:$AJ$4,"&gt;0",F45:AJ45),【様式2】職員名簿!$F$5)</f>
        <v>0</v>
      </c>
    </row>
    <row r="46" spans="2:37" ht="15" customHeight="1">
      <c r="B46" s="147">
        <f t="shared" si="1"/>
        <v>40</v>
      </c>
      <c r="C46" s="376" t="str">
        <f>IFERROR(INDEX(【様式2】職員名簿!$B$39:$B$138,MATCH($B46,【様式2】職員名簿!$M$39:$M$138,0),1),"")</f>
        <v/>
      </c>
      <c r="D46" s="1360" t="s">
        <v>308</v>
      </c>
      <c r="E46" s="1361"/>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377">
        <f>MIN(SUMIF($F$4:$AJ$4,"&gt;0",F46:AJ46),【様式2】職員名簿!$F$5)</f>
        <v>0</v>
      </c>
    </row>
    <row r="47" spans="2:37" ht="15" customHeight="1">
      <c r="B47" s="147">
        <f t="shared" si="1"/>
        <v>41</v>
      </c>
      <c r="C47" s="376" t="str">
        <f>IFERROR(INDEX(【様式2】職員名簿!$B$39:$B$138,MATCH($B47,【様式2】職員名簿!$M$39:$M$138,0),1),"")</f>
        <v/>
      </c>
      <c r="D47" s="1360" t="s">
        <v>308</v>
      </c>
      <c r="E47" s="1361"/>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377">
        <f>MIN(SUMIF($F$4:$AJ$4,"&gt;0",F47:AJ47),【様式2】職員名簿!$F$5)</f>
        <v>0</v>
      </c>
    </row>
    <row r="48" spans="2:37" ht="15" customHeight="1">
      <c r="B48" s="147">
        <f t="shared" si="1"/>
        <v>42</v>
      </c>
      <c r="C48" s="376" t="str">
        <f>IFERROR(INDEX(【様式2】職員名簿!$B$39:$B$138,MATCH($B48,【様式2】職員名簿!$M$39:$M$138,0),1),"")</f>
        <v/>
      </c>
      <c r="D48" s="1360" t="s">
        <v>308</v>
      </c>
      <c r="E48" s="1361"/>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377">
        <f>MIN(SUMIF($F$4:$AJ$4,"&gt;0",F48:AJ48),【様式2】職員名簿!$F$5)</f>
        <v>0</v>
      </c>
    </row>
    <row r="49" spans="2:37" ht="15" customHeight="1">
      <c r="B49" s="147">
        <f t="shared" si="1"/>
        <v>43</v>
      </c>
      <c r="C49" s="376" t="str">
        <f>IFERROR(INDEX(【様式2】職員名簿!$B$39:$B$138,MATCH($B49,【様式2】職員名簿!$M$39:$M$138,0),1),"")</f>
        <v/>
      </c>
      <c r="D49" s="1360" t="s">
        <v>308</v>
      </c>
      <c r="E49" s="1361"/>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377">
        <f>MIN(SUMIF($F$4:$AJ$4,"&gt;0",F49:AJ49),【様式2】職員名簿!$F$5)</f>
        <v>0</v>
      </c>
    </row>
    <row r="50" spans="2:37" ht="15" customHeight="1">
      <c r="B50" s="147">
        <f t="shared" si="1"/>
        <v>44</v>
      </c>
      <c r="C50" s="376" t="str">
        <f>IFERROR(INDEX(【様式2】職員名簿!$B$39:$B$138,MATCH($B50,【様式2】職員名簿!$M$39:$M$138,0),1),"")</f>
        <v/>
      </c>
      <c r="D50" s="1360" t="s">
        <v>308</v>
      </c>
      <c r="E50" s="1361"/>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377">
        <f>MIN(SUMIF($F$4:$AJ$4,"&gt;0",F50:AJ50),【様式2】職員名簿!$F$5)</f>
        <v>0</v>
      </c>
    </row>
    <row r="51" spans="2:37" ht="15" customHeight="1">
      <c r="B51" s="147">
        <f t="shared" si="1"/>
        <v>45</v>
      </c>
      <c r="C51" s="376" t="str">
        <f>IFERROR(INDEX(【様式2】職員名簿!$B$39:$B$138,MATCH($B51,【様式2】職員名簿!$M$39:$M$138,0),1),"")</f>
        <v/>
      </c>
      <c r="D51" s="1360" t="s">
        <v>308</v>
      </c>
      <c r="E51" s="1361"/>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377">
        <f>MIN(SUMIF($F$4:$AJ$4,"&gt;0",F51:AJ51),【様式2】職員名簿!$F$5)</f>
        <v>0</v>
      </c>
    </row>
    <row r="52" spans="2:37" ht="15" customHeight="1">
      <c r="B52" s="147">
        <f t="shared" si="1"/>
        <v>46</v>
      </c>
      <c r="C52" s="376" t="str">
        <f>IFERROR(INDEX(【様式2】職員名簿!$B$39:$B$138,MATCH($B52,【様式2】職員名簿!$M$39:$M$138,0),1),"")</f>
        <v/>
      </c>
      <c r="D52" s="1360" t="s">
        <v>308</v>
      </c>
      <c r="E52" s="1361"/>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377">
        <f>MIN(SUMIF($F$4:$AJ$4,"&gt;0",F52:AJ52),【様式2】職員名簿!$F$5)</f>
        <v>0</v>
      </c>
    </row>
    <row r="53" spans="2:37" ht="15" customHeight="1">
      <c r="B53" s="147">
        <f t="shared" si="1"/>
        <v>47</v>
      </c>
      <c r="C53" s="376" t="str">
        <f>IFERROR(INDEX(【様式2】職員名簿!$B$39:$B$138,MATCH($B53,【様式2】職員名簿!$M$39:$M$138,0),1),"")</f>
        <v/>
      </c>
      <c r="D53" s="1360" t="s">
        <v>308</v>
      </c>
      <c r="E53" s="1361"/>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377">
        <f>MIN(SUMIF($F$4:$AJ$4,"&gt;0",F53:AJ53),【様式2】職員名簿!$F$5)</f>
        <v>0</v>
      </c>
    </row>
    <row r="54" spans="2:37" ht="15" customHeight="1">
      <c r="B54" s="147">
        <f t="shared" si="1"/>
        <v>48</v>
      </c>
      <c r="C54" s="376" t="str">
        <f>IFERROR(INDEX(【様式2】職員名簿!$B$39:$B$138,MATCH($B54,【様式2】職員名簿!$M$39:$M$138,0),1),"")</f>
        <v/>
      </c>
      <c r="D54" s="1360" t="s">
        <v>308</v>
      </c>
      <c r="E54" s="1361"/>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377">
        <f>MIN(SUMIF($F$4:$AJ$4,"&gt;0",F54:AJ54),【様式2】職員名簿!$F$5)</f>
        <v>0</v>
      </c>
    </row>
    <row r="55" spans="2:37" ht="15" customHeight="1">
      <c r="B55" s="147">
        <f t="shared" si="1"/>
        <v>49</v>
      </c>
      <c r="C55" s="376" t="str">
        <f>IFERROR(INDEX(【様式2】職員名簿!$B$39:$B$138,MATCH($B55,【様式2】職員名簿!$M$39:$M$138,0),1),"")</f>
        <v/>
      </c>
      <c r="D55" s="1360" t="s">
        <v>308</v>
      </c>
      <c r="E55" s="1361"/>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377">
        <f>MIN(SUMIF($F$4:$AJ$4,"&gt;0",F55:AJ55),【様式2】職員名簿!$F$5)</f>
        <v>0</v>
      </c>
    </row>
    <row r="56" spans="2:37" ht="15" customHeight="1">
      <c r="B56" s="147">
        <f t="shared" si="1"/>
        <v>50</v>
      </c>
      <c r="C56" s="376" t="str">
        <f>IFERROR(INDEX(【様式2】職員名簿!$B$39:$B$138,MATCH($B56,【様式2】職員名簿!$M$39:$M$138,0),1),"")</f>
        <v/>
      </c>
      <c r="D56" s="1360" t="s">
        <v>308</v>
      </c>
      <c r="E56" s="1361"/>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377">
        <f>MIN(SUMIF($F$4:$AJ$4,"&gt;0",F56:AJ56),【様式2】職員名簿!$F$5)</f>
        <v>0</v>
      </c>
    </row>
    <row r="57" spans="2:37" ht="15" customHeight="1">
      <c r="B57" s="147">
        <f t="shared" si="1"/>
        <v>51</v>
      </c>
      <c r="C57" s="376" t="str">
        <f>IFERROR(INDEX(【様式2】職員名簿!$B$39:$B$138,MATCH($B57,【様式2】職員名簿!$M$39:$M$138,0),1),"")</f>
        <v/>
      </c>
      <c r="D57" s="1360" t="s">
        <v>308</v>
      </c>
      <c r="E57" s="1361"/>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377">
        <f>MIN(SUMIF($F$4:$AJ$4,"&gt;0",F57:AJ57),【様式2】職員名簿!$F$5)</f>
        <v>0</v>
      </c>
    </row>
    <row r="58" spans="2:37" ht="15" customHeight="1">
      <c r="B58" s="147">
        <f t="shared" si="1"/>
        <v>52</v>
      </c>
      <c r="C58" s="376" t="str">
        <f>IFERROR(INDEX(【様式2】職員名簿!$B$39:$B$138,MATCH($B58,【様式2】職員名簿!$M$39:$M$138,0),1),"")</f>
        <v/>
      </c>
      <c r="D58" s="1360" t="s">
        <v>308</v>
      </c>
      <c r="E58" s="1361"/>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377">
        <f>MIN(SUMIF($F$4:$AJ$4,"&gt;0",F58:AJ58),【様式2】職員名簿!$F$5)</f>
        <v>0</v>
      </c>
    </row>
    <row r="59" spans="2:37" ht="15" customHeight="1">
      <c r="B59" s="147">
        <f t="shared" si="1"/>
        <v>53</v>
      </c>
      <c r="C59" s="376" t="str">
        <f>IFERROR(INDEX(【様式2】職員名簿!$B$39:$B$138,MATCH($B59,【様式2】職員名簿!$M$39:$M$138,0),1),"")</f>
        <v/>
      </c>
      <c r="D59" s="1360" t="s">
        <v>308</v>
      </c>
      <c r="E59" s="1361"/>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377">
        <f>MIN(SUMIF($F$4:$AJ$4,"&gt;0",F59:AJ59),【様式2】職員名簿!$F$5)</f>
        <v>0</v>
      </c>
    </row>
    <row r="60" spans="2:37" ht="15" customHeight="1">
      <c r="B60" s="147">
        <f t="shared" si="1"/>
        <v>54</v>
      </c>
      <c r="C60" s="376" t="str">
        <f>IFERROR(INDEX(【様式2】職員名簿!$B$39:$B$138,MATCH($B60,【様式2】職員名簿!$M$39:$M$138,0),1),"")</f>
        <v/>
      </c>
      <c r="D60" s="1360" t="s">
        <v>308</v>
      </c>
      <c r="E60" s="1361"/>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377">
        <f>MIN(SUMIF($F$4:$AJ$4,"&gt;0",F60:AJ60),【様式2】職員名簿!$F$5)</f>
        <v>0</v>
      </c>
    </row>
    <row r="61" spans="2:37" ht="15" customHeight="1">
      <c r="B61" s="147">
        <f t="shared" si="1"/>
        <v>55</v>
      </c>
      <c r="C61" s="376" t="str">
        <f>IFERROR(INDEX(【様式2】職員名簿!$B$39:$B$138,MATCH($B61,【様式2】職員名簿!$M$39:$M$138,0),1),"")</f>
        <v/>
      </c>
      <c r="D61" s="1360" t="s">
        <v>308</v>
      </c>
      <c r="E61" s="1361"/>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377">
        <f>MIN(SUMIF($F$4:$AJ$4,"&gt;0",F61:AJ61),【様式2】職員名簿!$F$5)</f>
        <v>0</v>
      </c>
    </row>
    <row r="62" spans="2:37" ht="15" customHeight="1">
      <c r="B62" s="147">
        <f t="shared" si="1"/>
        <v>56</v>
      </c>
      <c r="C62" s="376" t="str">
        <f>IFERROR(INDEX(【様式2】職員名簿!$B$39:$B$138,MATCH($B62,【様式2】職員名簿!$M$39:$M$138,0),1),"")</f>
        <v/>
      </c>
      <c r="D62" s="1360" t="s">
        <v>308</v>
      </c>
      <c r="E62" s="1361"/>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377">
        <f>MIN(SUMIF($F$4:$AJ$4,"&gt;0",F62:AJ62),【様式2】職員名簿!$F$5)</f>
        <v>0</v>
      </c>
    </row>
    <row r="63" spans="2:37" ht="15" customHeight="1">
      <c r="B63" s="147">
        <f t="shared" si="1"/>
        <v>57</v>
      </c>
      <c r="C63" s="376" t="str">
        <f>IFERROR(INDEX(【様式2】職員名簿!$B$39:$B$138,MATCH($B63,【様式2】職員名簿!$M$39:$M$138,0),1),"")</f>
        <v/>
      </c>
      <c r="D63" s="1360" t="s">
        <v>308</v>
      </c>
      <c r="E63" s="1361"/>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377">
        <f>MIN(SUMIF($F$4:$AJ$4,"&gt;0",F63:AJ63),【様式2】職員名簿!$F$5)</f>
        <v>0</v>
      </c>
    </row>
    <row r="64" spans="2:37" ht="15" customHeight="1">
      <c r="B64" s="147">
        <f t="shared" si="1"/>
        <v>58</v>
      </c>
      <c r="C64" s="376" t="str">
        <f>IFERROR(INDEX(【様式2】職員名簿!$B$39:$B$138,MATCH($B64,【様式2】職員名簿!$M$39:$M$138,0),1),"")</f>
        <v/>
      </c>
      <c r="D64" s="1360" t="s">
        <v>308</v>
      </c>
      <c r="E64" s="1361"/>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377">
        <f>MIN(SUMIF($F$4:$AJ$4,"&gt;0",F64:AJ64),【様式2】職員名簿!$F$5)</f>
        <v>0</v>
      </c>
    </row>
    <row r="65" spans="2:37" ht="15" customHeight="1">
      <c r="B65" s="147">
        <f t="shared" si="1"/>
        <v>59</v>
      </c>
      <c r="C65" s="376" t="str">
        <f>IFERROR(INDEX(【様式2】職員名簿!$B$39:$B$138,MATCH($B65,【様式2】職員名簿!$M$39:$M$138,0),1),"")</f>
        <v/>
      </c>
      <c r="D65" s="1360" t="s">
        <v>308</v>
      </c>
      <c r="E65" s="1361"/>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377">
        <f>MIN(SUMIF($F$4:$AJ$4,"&gt;0",F65:AJ65),【様式2】職員名簿!$F$5)</f>
        <v>0</v>
      </c>
    </row>
    <row r="66" spans="2:37" ht="15" customHeight="1">
      <c r="B66" s="147">
        <f t="shared" si="1"/>
        <v>60</v>
      </c>
      <c r="C66" s="376" t="str">
        <f>IFERROR(INDEX(【様式2】職員名簿!$B$39:$B$138,MATCH($B66,【様式2】職員名簿!$M$39:$M$138,0),1),"")</f>
        <v/>
      </c>
      <c r="D66" s="1360" t="s">
        <v>308</v>
      </c>
      <c r="E66" s="1361"/>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c r="AK66" s="377">
        <f>MIN(SUMIF($F$4:$AJ$4,"&gt;0",F66:AJ66),【様式2】職員名簿!$F$5)</f>
        <v>0</v>
      </c>
    </row>
    <row r="67" spans="2:37" ht="15" customHeight="1">
      <c r="B67" s="147">
        <f t="shared" si="1"/>
        <v>61</v>
      </c>
      <c r="C67" s="376" t="str">
        <f>IFERROR(INDEX(【様式2】職員名簿!$B$39:$B$138,MATCH($B67,【様式2】職員名簿!$M$39:$M$138,0),1),"")</f>
        <v/>
      </c>
      <c r="D67" s="1360" t="s">
        <v>308</v>
      </c>
      <c r="E67" s="1361"/>
      <c r="F67" s="148"/>
      <c r="G67" s="148"/>
      <c r="H67" s="148"/>
      <c r="I67" s="148"/>
      <c r="J67" s="148"/>
      <c r="K67" s="148"/>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377">
        <f>MIN(SUMIF($F$4:$AJ$4,"&gt;0",F67:AJ67),【様式2】職員名簿!$F$5)</f>
        <v>0</v>
      </c>
    </row>
    <row r="68" spans="2:37" ht="15" customHeight="1">
      <c r="B68" s="147">
        <f t="shared" si="1"/>
        <v>62</v>
      </c>
      <c r="C68" s="376" t="str">
        <f>IFERROR(INDEX(【様式2】職員名簿!$B$39:$B$138,MATCH($B68,【様式2】職員名簿!$M$39:$M$138,0),1),"")</f>
        <v/>
      </c>
      <c r="D68" s="1360" t="s">
        <v>308</v>
      </c>
      <c r="E68" s="1361"/>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377">
        <f>MIN(SUMIF($F$4:$AJ$4,"&gt;0",F68:AJ68),【様式2】職員名簿!$F$5)</f>
        <v>0</v>
      </c>
    </row>
    <row r="69" spans="2:37" ht="15" customHeight="1">
      <c r="B69" s="147">
        <f t="shared" si="1"/>
        <v>63</v>
      </c>
      <c r="C69" s="376" t="str">
        <f>IFERROR(INDEX(【様式2】職員名簿!$B$39:$B$138,MATCH($B69,【様式2】職員名簿!$M$39:$M$138,0),1),"")</f>
        <v/>
      </c>
      <c r="D69" s="1360" t="s">
        <v>308</v>
      </c>
      <c r="E69" s="1361"/>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377">
        <f>MIN(SUMIF($F$4:$AJ$4,"&gt;0",F69:AJ69),【様式2】職員名簿!$F$5)</f>
        <v>0</v>
      </c>
    </row>
    <row r="70" spans="2:37" ht="15" customHeight="1">
      <c r="B70" s="147">
        <f t="shared" si="1"/>
        <v>64</v>
      </c>
      <c r="C70" s="376" t="str">
        <f>IFERROR(INDEX(【様式2】職員名簿!$B$39:$B$138,MATCH($B70,【様式2】職員名簿!$M$39:$M$138,0),1),"")</f>
        <v/>
      </c>
      <c r="D70" s="1360" t="s">
        <v>308</v>
      </c>
      <c r="E70" s="1361"/>
      <c r="F70" s="148"/>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377">
        <f>MIN(SUMIF($F$4:$AJ$4,"&gt;0",F70:AJ70),【様式2】職員名簿!$F$5)</f>
        <v>0</v>
      </c>
    </row>
    <row r="71" spans="2:37" ht="15" customHeight="1">
      <c r="B71" s="147">
        <f t="shared" si="1"/>
        <v>65</v>
      </c>
      <c r="C71" s="376" t="str">
        <f>IFERROR(INDEX(【様式2】職員名簿!$B$39:$B$138,MATCH($B71,【様式2】職員名簿!$M$39:$M$138,0),1),"")</f>
        <v/>
      </c>
      <c r="D71" s="1360" t="s">
        <v>308</v>
      </c>
      <c r="E71" s="1361"/>
      <c r="F71" s="148"/>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377">
        <f>MIN(SUMIF($F$4:$AJ$4,"&gt;0",F71:AJ71),【様式2】職員名簿!$F$5)</f>
        <v>0</v>
      </c>
    </row>
    <row r="72" spans="2:37" ht="15" customHeight="1">
      <c r="B72" s="147">
        <f t="shared" si="1"/>
        <v>66</v>
      </c>
      <c r="C72" s="376" t="str">
        <f>IFERROR(INDEX(【様式2】職員名簿!$B$39:$B$138,MATCH($B72,【様式2】職員名簿!$M$39:$M$138,0),1),"")</f>
        <v/>
      </c>
      <c r="D72" s="1360" t="s">
        <v>308</v>
      </c>
      <c r="E72" s="1361"/>
      <c r="F72" s="148"/>
      <c r="G72" s="148"/>
      <c r="H72" s="148"/>
      <c r="I72" s="148"/>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377">
        <f>MIN(SUMIF($F$4:$AJ$4,"&gt;0",F72:AJ72),【様式2】職員名簿!$F$5)</f>
        <v>0</v>
      </c>
    </row>
    <row r="73" spans="2:37" ht="15" customHeight="1">
      <c r="B73" s="147">
        <f t="shared" si="1"/>
        <v>67</v>
      </c>
      <c r="C73" s="376" t="str">
        <f>IFERROR(INDEX(【様式2】職員名簿!$B$39:$B$138,MATCH($B73,【様式2】職員名簿!$M$39:$M$138,0),1),"")</f>
        <v/>
      </c>
      <c r="D73" s="1360" t="s">
        <v>308</v>
      </c>
      <c r="E73" s="1361"/>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377">
        <f>MIN(SUMIF($F$4:$AJ$4,"&gt;0",F73:AJ73),【様式2】職員名簿!$F$5)</f>
        <v>0</v>
      </c>
    </row>
    <row r="74" spans="2:37" ht="15" customHeight="1">
      <c r="B74" s="147">
        <f t="shared" si="1"/>
        <v>68</v>
      </c>
      <c r="C74" s="376" t="str">
        <f>IFERROR(INDEX(【様式2】職員名簿!$B$39:$B$138,MATCH($B74,【様式2】職員名簿!$M$39:$M$138,0),1),"")</f>
        <v/>
      </c>
      <c r="D74" s="1360" t="s">
        <v>308</v>
      </c>
      <c r="E74" s="1361"/>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377">
        <f>MIN(SUMIF($F$4:$AJ$4,"&gt;0",F74:AJ74),【様式2】職員名簿!$F$5)</f>
        <v>0</v>
      </c>
    </row>
    <row r="75" spans="2:37" ht="15" customHeight="1">
      <c r="B75" s="147">
        <f t="shared" si="1"/>
        <v>69</v>
      </c>
      <c r="C75" s="376" t="str">
        <f>IFERROR(INDEX(【様式2】職員名簿!$B$39:$B$138,MATCH($B75,【様式2】職員名簿!$M$39:$M$138,0),1),"")</f>
        <v/>
      </c>
      <c r="D75" s="1360" t="s">
        <v>308</v>
      </c>
      <c r="E75" s="1361"/>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377">
        <f>MIN(SUMIF($F$4:$AJ$4,"&gt;0",F75:AJ75),【様式2】職員名簿!$F$5)</f>
        <v>0</v>
      </c>
    </row>
    <row r="76" spans="2:37" ht="15" customHeight="1">
      <c r="B76" s="147">
        <f t="shared" si="1"/>
        <v>70</v>
      </c>
      <c r="C76" s="376" t="str">
        <f>IFERROR(INDEX(【様式2】職員名簿!$B$39:$B$138,MATCH($B76,【様式2】職員名簿!$M$39:$M$138,0),1),"")</f>
        <v/>
      </c>
      <c r="D76" s="1360" t="s">
        <v>308</v>
      </c>
      <c r="E76" s="1361"/>
      <c r="F76" s="148"/>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377">
        <f>MIN(SUMIF($F$4:$AJ$4,"&gt;0",F76:AJ76),【様式2】職員名簿!$F$5)</f>
        <v>0</v>
      </c>
    </row>
    <row r="77" spans="2:37" ht="15" customHeight="1">
      <c r="B77" s="147">
        <f t="shared" si="1"/>
        <v>71</v>
      </c>
      <c r="C77" s="376" t="str">
        <f>IFERROR(INDEX(【様式2】職員名簿!$B$39:$B$138,MATCH($B77,【様式2】職員名簿!$M$39:$M$138,0),1),"")</f>
        <v/>
      </c>
      <c r="D77" s="1360" t="s">
        <v>308</v>
      </c>
      <c r="E77" s="1361"/>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377">
        <f>MIN(SUMIF($F$4:$AJ$4,"&gt;0",F77:AJ77),【様式2】職員名簿!$F$5)</f>
        <v>0</v>
      </c>
    </row>
    <row r="78" spans="2:37" ht="15" customHeight="1">
      <c r="B78" s="147">
        <f t="shared" si="1"/>
        <v>72</v>
      </c>
      <c r="C78" s="376" t="str">
        <f>IFERROR(INDEX(【様式2】職員名簿!$B$39:$B$138,MATCH($B78,【様式2】職員名簿!$M$39:$M$138,0),1),"")</f>
        <v/>
      </c>
      <c r="D78" s="1360" t="s">
        <v>308</v>
      </c>
      <c r="E78" s="1361"/>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377">
        <f>MIN(SUMIF($F$4:$AJ$4,"&gt;0",F78:AJ78),【様式2】職員名簿!$F$5)</f>
        <v>0</v>
      </c>
    </row>
    <row r="79" spans="2:37" ht="15" customHeight="1">
      <c r="B79" s="147">
        <f t="shared" si="1"/>
        <v>73</v>
      </c>
      <c r="C79" s="376" t="str">
        <f>IFERROR(INDEX(【様式2】職員名簿!$B$39:$B$138,MATCH($B79,【様式2】職員名簿!$M$39:$M$138,0),1),"")</f>
        <v/>
      </c>
      <c r="D79" s="1360" t="s">
        <v>308</v>
      </c>
      <c r="E79" s="1361"/>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377">
        <f>MIN(SUMIF($F$4:$AJ$4,"&gt;0",F79:AJ79),【様式2】職員名簿!$F$5)</f>
        <v>0</v>
      </c>
    </row>
    <row r="80" spans="2:37" ht="15" customHeight="1">
      <c r="B80" s="147">
        <f t="shared" si="1"/>
        <v>74</v>
      </c>
      <c r="C80" s="376" t="str">
        <f>IFERROR(INDEX(【様式2】職員名簿!$B$39:$B$138,MATCH($B80,【様式2】職員名簿!$M$39:$M$138,0),1),"")</f>
        <v/>
      </c>
      <c r="D80" s="1360" t="s">
        <v>308</v>
      </c>
      <c r="E80" s="1361"/>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377">
        <f>MIN(SUMIF($F$4:$AJ$4,"&gt;0",F80:AJ80),【様式2】職員名簿!$F$5)</f>
        <v>0</v>
      </c>
    </row>
    <row r="81" spans="2:37" ht="15" customHeight="1">
      <c r="B81" s="147">
        <f t="shared" si="1"/>
        <v>75</v>
      </c>
      <c r="C81" s="376" t="str">
        <f>IFERROR(INDEX(【様式2】職員名簿!$B$39:$B$138,MATCH($B81,【様式2】職員名簿!$M$39:$M$138,0),1),"")</f>
        <v/>
      </c>
      <c r="D81" s="1360" t="s">
        <v>308</v>
      </c>
      <c r="E81" s="1361"/>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377">
        <f>MIN(SUMIF($F$4:$AJ$4,"&gt;0",F81:AJ81),【様式2】職員名簿!$F$5)</f>
        <v>0</v>
      </c>
    </row>
    <row r="82" spans="2:37" ht="15" customHeight="1">
      <c r="B82" s="147">
        <f t="shared" si="1"/>
        <v>76</v>
      </c>
      <c r="C82" s="376" t="str">
        <f>IFERROR(INDEX(【様式2】職員名簿!$B$39:$B$138,MATCH($B82,【様式2】職員名簿!$M$39:$M$138,0),1),"")</f>
        <v/>
      </c>
      <c r="D82" s="1360" t="s">
        <v>308</v>
      </c>
      <c r="E82" s="1361"/>
      <c r="F82" s="148"/>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377">
        <f>MIN(SUMIF($F$4:$AJ$4,"&gt;0",F82:AJ82),【様式2】職員名簿!$F$5)</f>
        <v>0</v>
      </c>
    </row>
    <row r="83" spans="2:37" ht="15" customHeight="1">
      <c r="B83" s="147">
        <f t="shared" si="1"/>
        <v>77</v>
      </c>
      <c r="C83" s="376" t="str">
        <f>IFERROR(INDEX(【様式2】職員名簿!$B$39:$B$138,MATCH($B83,【様式2】職員名簿!$M$39:$M$138,0),1),"")</f>
        <v/>
      </c>
      <c r="D83" s="1360" t="s">
        <v>308</v>
      </c>
      <c r="E83" s="1361"/>
      <c r="F83" s="148"/>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377">
        <f>MIN(SUMIF($F$4:$AJ$4,"&gt;0",F83:AJ83),【様式2】職員名簿!$F$5)</f>
        <v>0</v>
      </c>
    </row>
    <row r="84" spans="2:37" ht="15" customHeight="1">
      <c r="B84" s="147">
        <f t="shared" si="1"/>
        <v>78</v>
      </c>
      <c r="C84" s="376" t="str">
        <f>IFERROR(INDEX(【様式2】職員名簿!$B$39:$B$138,MATCH($B84,【様式2】職員名簿!$M$39:$M$138,0),1),"")</f>
        <v/>
      </c>
      <c r="D84" s="1360" t="s">
        <v>308</v>
      </c>
      <c r="E84" s="1361"/>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377">
        <f>MIN(SUMIF($F$4:$AJ$4,"&gt;0",F84:AJ84),【様式2】職員名簿!$F$5)</f>
        <v>0</v>
      </c>
    </row>
    <row r="85" spans="2:37" ht="15" customHeight="1">
      <c r="B85" s="147">
        <f t="shared" si="1"/>
        <v>79</v>
      </c>
      <c r="C85" s="376" t="str">
        <f>IFERROR(INDEX(【様式2】職員名簿!$B$39:$B$138,MATCH($B85,【様式2】職員名簿!$M$39:$M$138,0),1),"")</f>
        <v/>
      </c>
      <c r="D85" s="1360" t="s">
        <v>308</v>
      </c>
      <c r="E85" s="1361"/>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377">
        <f>MIN(SUMIF($F$4:$AJ$4,"&gt;0",F85:AJ85),【様式2】職員名簿!$F$5)</f>
        <v>0</v>
      </c>
    </row>
    <row r="86" spans="2:37" ht="15" customHeight="1">
      <c r="B86" s="147">
        <f t="shared" si="1"/>
        <v>80</v>
      </c>
      <c r="C86" s="376" t="str">
        <f>IFERROR(INDEX(【様式2】職員名簿!$B$39:$B$138,MATCH($B86,【様式2】職員名簿!$M$39:$M$138,0),1),"")</f>
        <v/>
      </c>
      <c r="D86" s="1360" t="s">
        <v>308</v>
      </c>
      <c r="E86" s="1361"/>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377">
        <f>MIN(SUMIF($F$4:$AJ$4,"&gt;0",F86:AJ86),【様式2】職員名簿!$F$5)</f>
        <v>0</v>
      </c>
    </row>
    <row r="87" spans="2:37" ht="15" customHeight="1">
      <c r="B87" s="147">
        <f t="shared" si="1"/>
        <v>81</v>
      </c>
      <c r="C87" s="376" t="str">
        <f>IFERROR(INDEX(【様式2】職員名簿!$B$39:$B$138,MATCH($B87,【様式2】職員名簿!$M$39:$M$138,0),1),"")</f>
        <v/>
      </c>
      <c r="D87" s="1360" t="s">
        <v>308</v>
      </c>
      <c r="E87" s="1361"/>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377">
        <f>MIN(SUMIF($F$4:$AJ$4,"&gt;0",F87:AJ87),【様式2】職員名簿!$F$5)</f>
        <v>0</v>
      </c>
    </row>
    <row r="88" spans="2:37" ht="15" customHeight="1">
      <c r="B88" s="147">
        <f t="shared" si="1"/>
        <v>82</v>
      </c>
      <c r="C88" s="376" t="str">
        <f>IFERROR(INDEX(【様式2】職員名簿!$B$39:$B$138,MATCH($B88,【様式2】職員名簿!$M$39:$M$138,0),1),"")</f>
        <v/>
      </c>
      <c r="D88" s="1360" t="s">
        <v>308</v>
      </c>
      <c r="E88" s="1361"/>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377">
        <f>MIN(SUMIF($F$4:$AJ$4,"&gt;0",F88:AJ88),【様式2】職員名簿!$F$5)</f>
        <v>0</v>
      </c>
    </row>
    <row r="89" spans="2:37" ht="15" customHeight="1">
      <c r="B89" s="147">
        <f t="shared" si="1"/>
        <v>83</v>
      </c>
      <c r="C89" s="376" t="str">
        <f>IFERROR(INDEX(【様式2】職員名簿!$B$39:$B$138,MATCH($B89,【様式2】職員名簿!$M$39:$M$138,0),1),"")</f>
        <v/>
      </c>
      <c r="D89" s="1360" t="s">
        <v>308</v>
      </c>
      <c r="E89" s="1361"/>
      <c r="F89" s="148"/>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377">
        <f>MIN(SUMIF($F$4:$AJ$4,"&gt;0",F89:AJ89),【様式2】職員名簿!$F$5)</f>
        <v>0</v>
      </c>
    </row>
    <row r="90" spans="2:37" ht="15" customHeight="1">
      <c r="B90" s="147">
        <f t="shared" si="1"/>
        <v>84</v>
      </c>
      <c r="C90" s="376" t="str">
        <f>IFERROR(INDEX(【様式2】職員名簿!$B$39:$B$138,MATCH($B90,【様式2】職員名簿!$M$39:$M$138,0),1),"")</f>
        <v/>
      </c>
      <c r="D90" s="1360" t="s">
        <v>308</v>
      </c>
      <c r="E90" s="1361"/>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377">
        <f>MIN(SUMIF($F$4:$AJ$4,"&gt;0",F90:AJ90),【様式2】職員名簿!$F$5)</f>
        <v>0</v>
      </c>
    </row>
    <row r="91" spans="2:37" ht="15" customHeight="1">
      <c r="B91" s="147">
        <f t="shared" si="1"/>
        <v>85</v>
      </c>
      <c r="C91" s="376" t="str">
        <f>IFERROR(INDEX(【様式2】職員名簿!$B$39:$B$138,MATCH($B91,【様式2】職員名簿!$M$39:$M$138,0),1),"")</f>
        <v/>
      </c>
      <c r="D91" s="1360" t="s">
        <v>308</v>
      </c>
      <c r="E91" s="1361"/>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377">
        <f>MIN(SUMIF($F$4:$AJ$4,"&gt;0",F91:AJ91),【様式2】職員名簿!$F$5)</f>
        <v>0</v>
      </c>
    </row>
    <row r="92" spans="2:37" ht="15" customHeight="1">
      <c r="B92" s="147">
        <f t="shared" si="1"/>
        <v>86</v>
      </c>
      <c r="C92" s="376" t="str">
        <f>IFERROR(INDEX(【様式2】職員名簿!$B$39:$B$138,MATCH($B92,【様式2】職員名簿!$M$39:$M$138,0),1),"")</f>
        <v/>
      </c>
      <c r="D92" s="1360" t="s">
        <v>308</v>
      </c>
      <c r="E92" s="1361"/>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377">
        <f>MIN(SUMIF($F$4:$AJ$4,"&gt;0",F92:AJ92),【様式2】職員名簿!$F$5)</f>
        <v>0</v>
      </c>
    </row>
    <row r="93" spans="2:37" ht="15" customHeight="1">
      <c r="B93" s="147">
        <f t="shared" si="1"/>
        <v>87</v>
      </c>
      <c r="C93" s="376" t="str">
        <f>IFERROR(INDEX(【様式2】職員名簿!$B$39:$B$138,MATCH($B93,【様式2】職員名簿!$M$39:$M$138,0),1),"")</f>
        <v/>
      </c>
      <c r="D93" s="1360" t="s">
        <v>308</v>
      </c>
      <c r="E93" s="1361"/>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377">
        <f>MIN(SUMIF($F$4:$AJ$4,"&gt;0",F93:AJ93),【様式2】職員名簿!$F$5)</f>
        <v>0</v>
      </c>
    </row>
    <row r="94" spans="2:37" ht="15" customHeight="1">
      <c r="B94" s="147">
        <f t="shared" si="1"/>
        <v>88</v>
      </c>
      <c r="C94" s="376" t="str">
        <f>IFERROR(INDEX(【様式2】職員名簿!$B$39:$B$138,MATCH($B94,【様式2】職員名簿!$M$39:$M$138,0),1),"")</f>
        <v/>
      </c>
      <c r="D94" s="1360" t="s">
        <v>308</v>
      </c>
      <c r="E94" s="1361"/>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377">
        <f>MIN(SUMIF($F$4:$AJ$4,"&gt;0",F94:AJ94),【様式2】職員名簿!$F$5)</f>
        <v>0</v>
      </c>
    </row>
    <row r="95" spans="2:37" ht="15" customHeight="1">
      <c r="B95" s="147">
        <f t="shared" si="1"/>
        <v>89</v>
      </c>
      <c r="C95" s="376" t="str">
        <f>IFERROR(INDEX(【様式2】職員名簿!$B$39:$B$138,MATCH($B95,【様式2】職員名簿!$M$39:$M$138,0),1),"")</f>
        <v/>
      </c>
      <c r="D95" s="1360" t="s">
        <v>308</v>
      </c>
      <c r="E95" s="1361"/>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377">
        <f>MIN(SUMIF($F$4:$AJ$4,"&gt;0",F95:AJ95),【様式2】職員名簿!$F$5)</f>
        <v>0</v>
      </c>
    </row>
    <row r="96" spans="2:37" ht="15" customHeight="1">
      <c r="B96" s="147">
        <f t="shared" si="1"/>
        <v>90</v>
      </c>
      <c r="C96" s="376" t="str">
        <f>IFERROR(INDEX(【様式2】職員名簿!$B$39:$B$138,MATCH($B96,【様式2】職員名簿!$M$39:$M$138,0),1),"")</f>
        <v/>
      </c>
      <c r="D96" s="1360" t="s">
        <v>308</v>
      </c>
      <c r="E96" s="1361"/>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377">
        <f>MIN(SUMIF($F$4:$AJ$4,"&gt;0",F96:AJ96),【様式2】職員名簿!$F$5)</f>
        <v>0</v>
      </c>
    </row>
    <row r="97" spans="2:37" ht="15" customHeight="1">
      <c r="B97" s="147">
        <f t="shared" si="1"/>
        <v>91</v>
      </c>
      <c r="C97" s="376" t="str">
        <f>IFERROR(INDEX(【様式2】職員名簿!$B$39:$B$138,MATCH($B97,【様式2】職員名簿!$M$39:$M$138,0),1),"")</f>
        <v/>
      </c>
      <c r="D97" s="1360" t="s">
        <v>308</v>
      </c>
      <c r="E97" s="1361"/>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377">
        <f>MIN(SUMIF($F$4:$AJ$4,"&gt;0",F97:AJ97),【様式2】職員名簿!$F$5)</f>
        <v>0</v>
      </c>
    </row>
    <row r="98" spans="2:37" ht="15" customHeight="1">
      <c r="B98" s="147">
        <f t="shared" si="1"/>
        <v>92</v>
      </c>
      <c r="C98" s="376" t="str">
        <f>IFERROR(INDEX(【様式2】職員名簿!$B$39:$B$138,MATCH($B98,【様式2】職員名簿!$M$39:$M$138,0),1),"")</f>
        <v/>
      </c>
      <c r="D98" s="1360" t="s">
        <v>308</v>
      </c>
      <c r="E98" s="1361"/>
      <c r="F98" s="148"/>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377">
        <f>MIN(SUMIF($F$4:$AJ$4,"&gt;0",F98:AJ98),【様式2】職員名簿!$F$5)</f>
        <v>0</v>
      </c>
    </row>
    <row r="99" spans="2:37" ht="15" customHeight="1">
      <c r="B99" s="147">
        <f t="shared" si="1"/>
        <v>93</v>
      </c>
      <c r="C99" s="376" t="str">
        <f>IFERROR(INDEX(【様式2】職員名簿!$B$39:$B$138,MATCH($B99,【様式2】職員名簿!$M$39:$M$138,0),1),"")</f>
        <v/>
      </c>
      <c r="D99" s="1360" t="s">
        <v>308</v>
      </c>
      <c r="E99" s="1361"/>
      <c r="F99" s="148"/>
      <c r="G99" s="148"/>
      <c r="H99" s="148"/>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377">
        <f>MIN(SUMIF($F$4:$AJ$4,"&gt;0",F99:AJ99),【様式2】職員名簿!$F$5)</f>
        <v>0</v>
      </c>
    </row>
    <row r="100" spans="2:37" ht="15" customHeight="1">
      <c r="B100" s="147">
        <f t="shared" si="1"/>
        <v>94</v>
      </c>
      <c r="C100" s="376" t="str">
        <f>IFERROR(INDEX(【様式2】職員名簿!$B$39:$B$138,MATCH($B100,【様式2】職員名簿!$M$39:$M$138,0),1),"")</f>
        <v/>
      </c>
      <c r="D100" s="1360" t="s">
        <v>308</v>
      </c>
      <c r="E100" s="1361"/>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377">
        <f>MIN(SUMIF($F$4:$AJ$4,"&gt;0",F100:AJ100),【様式2】職員名簿!$F$5)</f>
        <v>0</v>
      </c>
    </row>
    <row r="101" spans="2:37" ht="15" customHeight="1">
      <c r="B101" s="147">
        <f t="shared" si="1"/>
        <v>95</v>
      </c>
      <c r="C101" s="376" t="str">
        <f>IFERROR(INDEX(【様式2】職員名簿!$B$39:$B$138,MATCH($B101,【様式2】職員名簿!$M$39:$M$138,0),1),"")</f>
        <v/>
      </c>
      <c r="D101" s="1360" t="s">
        <v>308</v>
      </c>
      <c r="E101" s="1361"/>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377">
        <f>MIN(SUMIF($F$4:$AJ$4,"&gt;0",F101:AJ101),【様式2】職員名簿!$F$5)</f>
        <v>0</v>
      </c>
    </row>
    <row r="102" spans="2:37" ht="15" customHeight="1">
      <c r="B102" s="147">
        <f t="shared" si="1"/>
        <v>96</v>
      </c>
      <c r="C102" s="376" t="str">
        <f>IFERROR(INDEX(【様式2】職員名簿!$B$39:$B$138,MATCH($B102,【様式2】職員名簿!$M$39:$M$138,0),1),"")</f>
        <v/>
      </c>
      <c r="D102" s="1360" t="s">
        <v>308</v>
      </c>
      <c r="E102" s="1361"/>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377">
        <f>MIN(SUMIF($F$4:$AJ$4,"&gt;0",F102:AJ102),【様式2】職員名簿!$F$5)</f>
        <v>0</v>
      </c>
    </row>
    <row r="103" spans="2:37" ht="15" customHeight="1">
      <c r="B103" s="147">
        <f t="shared" si="1"/>
        <v>97</v>
      </c>
      <c r="C103" s="376" t="str">
        <f>IFERROR(INDEX(【様式2】職員名簿!$B$39:$B$138,MATCH($B103,【様式2】職員名簿!$M$39:$M$138,0),1),"")</f>
        <v/>
      </c>
      <c r="D103" s="1360" t="s">
        <v>308</v>
      </c>
      <c r="E103" s="1361"/>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377">
        <f>MIN(SUMIF($F$4:$AJ$4,"&gt;0",F103:AJ103),【様式2】職員名簿!$F$5)</f>
        <v>0</v>
      </c>
    </row>
    <row r="104" spans="2:37" ht="15" customHeight="1">
      <c r="B104" s="147">
        <f t="shared" si="1"/>
        <v>98</v>
      </c>
      <c r="C104" s="376" t="str">
        <f>IFERROR(INDEX(【様式2】職員名簿!$B$39:$B$138,MATCH($B104,【様式2】職員名簿!$M$39:$M$138,0),1),"")</f>
        <v/>
      </c>
      <c r="D104" s="1360" t="s">
        <v>308</v>
      </c>
      <c r="E104" s="1361"/>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377">
        <f>MIN(SUMIF($F$4:$AJ$4,"&gt;0",F104:AJ104),【様式2】職員名簿!$F$5)</f>
        <v>0</v>
      </c>
    </row>
    <row r="105" spans="2:37" ht="15" customHeight="1">
      <c r="B105" s="147">
        <f t="shared" si="1"/>
        <v>99</v>
      </c>
      <c r="C105" s="376" t="str">
        <f>IFERROR(INDEX(【様式2】職員名簿!$B$39:$B$138,MATCH($B105,【様式2】職員名簿!$M$39:$M$138,0),1),"")</f>
        <v/>
      </c>
      <c r="D105" s="1360" t="s">
        <v>308</v>
      </c>
      <c r="E105" s="1361"/>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c r="AB105" s="148"/>
      <c r="AC105" s="148"/>
      <c r="AD105" s="148"/>
      <c r="AE105" s="148"/>
      <c r="AF105" s="148"/>
      <c r="AG105" s="148"/>
      <c r="AH105" s="148"/>
      <c r="AI105" s="148"/>
      <c r="AJ105" s="148"/>
      <c r="AK105" s="377">
        <f>MIN(SUMIF($F$4:$AJ$4,"&gt;0",F105:AJ105),【様式2】職員名簿!$F$5)</f>
        <v>0</v>
      </c>
    </row>
    <row r="106" spans="2:37" ht="15" customHeight="1" thickBot="1">
      <c r="B106" s="149">
        <f t="shared" si="1"/>
        <v>100</v>
      </c>
      <c r="C106" s="378" t="str">
        <f>IFERROR(INDEX(【様式2】職員名簿!$B$39:$B$138,MATCH($B106,【様式2】職員名簿!$M$39:$M$138,0),1),"")</f>
        <v/>
      </c>
      <c r="D106" s="1356" t="s">
        <v>308</v>
      </c>
      <c r="E106" s="1357"/>
      <c r="F106" s="150"/>
      <c r="G106" s="150"/>
      <c r="H106" s="150"/>
      <c r="I106" s="150"/>
      <c r="J106" s="150"/>
      <c r="K106" s="150"/>
      <c r="L106" s="150"/>
      <c r="M106" s="150"/>
      <c r="N106" s="150"/>
      <c r="O106" s="150"/>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379">
        <f>MIN(SUMIF($F$4:$AJ$4,"&gt;0",F106:AJ106),【様式2】職員名簿!$F$5)</f>
        <v>0</v>
      </c>
    </row>
    <row r="107" spans="2:37" ht="14.25" thickBot="1">
      <c r="B107" s="1358" t="s">
        <v>15</v>
      </c>
      <c r="C107" s="1359"/>
      <c r="D107" s="1359"/>
      <c r="E107" s="1359"/>
      <c r="F107" s="380">
        <f>SUM(F7:F106)</f>
        <v>0</v>
      </c>
      <c r="G107" s="380">
        <f t="shared" ref="G107:AK107" si="2">SUM(G7:G106)</f>
        <v>0</v>
      </c>
      <c r="H107" s="380">
        <f t="shared" si="2"/>
        <v>0</v>
      </c>
      <c r="I107" s="380">
        <f t="shared" si="2"/>
        <v>0</v>
      </c>
      <c r="J107" s="380">
        <f t="shared" si="2"/>
        <v>0</v>
      </c>
      <c r="K107" s="380">
        <f t="shared" si="2"/>
        <v>0</v>
      </c>
      <c r="L107" s="380">
        <f t="shared" si="2"/>
        <v>0</v>
      </c>
      <c r="M107" s="380">
        <f t="shared" si="2"/>
        <v>0</v>
      </c>
      <c r="N107" s="380">
        <f t="shared" si="2"/>
        <v>0</v>
      </c>
      <c r="O107" s="380">
        <f t="shared" si="2"/>
        <v>0</v>
      </c>
      <c r="P107" s="380">
        <f t="shared" si="2"/>
        <v>0</v>
      </c>
      <c r="Q107" s="380">
        <f t="shared" si="2"/>
        <v>0</v>
      </c>
      <c r="R107" s="380">
        <f t="shared" si="2"/>
        <v>0</v>
      </c>
      <c r="S107" s="380">
        <f t="shared" si="2"/>
        <v>0</v>
      </c>
      <c r="T107" s="380">
        <f t="shared" si="2"/>
        <v>0</v>
      </c>
      <c r="U107" s="380">
        <f t="shared" si="2"/>
        <v>0</v>
      </c>
      <c r="V107" s="380">
        <f t="shared" si="2"/>
        <v>0</v>
      </c>
      <c r="W107" s="380">
        <f t="shared" si="2"/>
        <v>0</v>
      </c>
      <c r="X107" s="380">
        <f t="shared" si="2"/>
        <v>0</v>
      </c>
      <c r="Y107" s="380">
        <f t="shared" si="2"/>
        <v>0</v>
      </c>
      <c r="Z107" s="380">
        <f t="shared" si="2"/>
        <v>0</v>
      </c>
      <c r="AA107" s="380">
        <f t="shared" si="2"/>
        <v>0</v>
      </c>
      <c r="AB107" s="380">
        <f t="shared" si="2"/>
        <v>0</v>
      </c>
      <c r="AC107" s="380">
        <f t="shared" si="2"/>
        <v>0</v>
      </c>
      <c r="AD107" s="380">
        <f t="shared" si="2"/>
        <v>0</v>
      </c>
      <c r="AE107" s="380">
        <f t="shared" si="2"/>
        <v>0</v>
      </c>
      <c r="AF107" s="380">
        <f t="shared" si="2"/>
        <v>0</v>
      </c>
      <c r="AG107" s="380">
        <f t="shared" si="2"/>
        <v>0</v>
      </c>
      <c r="AH107" s="380" t="e">
        <f>IF(AH4="",0,SUM(AH7:AH106))</f>
        <v>#VALUE!</v>
      </c>
      <c r="AI107" s="380" t="e">
        <f t="shared" ref="AI107:AJ107" si="3">IF(AI4="",0,SUM(AI7:AI106))</f>
        <v>#VALUE!</v>
      </c>
      <c r="AJ107" s="380" t="e">
        <f t="shared" si="3"/>
        <v>#VALUE!</v>
      </c>
      <c r="AK107" s="379">
        <f t="shared" si="2"/>
        <v>0</v>
      </c>
    </row>
  </sheetData>
  <sheetProtection algorithmName="SHA-512" hashValue="zCzuaY0//lkQnaMmDcfyuAg53vklssLZVfOkA6w98k0sCBY0tCkuOxjanT4zHe4AtDJNncmII0980kYDkVQUvg==" saltValue="OeFsgF3EFaNn5t8/bz8+Vw==" spinCount="100000" sheet="1" objects="1" scenarios="1"/>
  <mergeCells count="123">
    <mergeCell ref="B4:B6"/>
    <mergeCell ref="C4:C6"/>
    <mergeCell ref="D4:E4"/>
    <mergeCell ref="B1:E1"/>
    <mergeCell ref="G1:H1"/>
    <mergeCell ref="L1:T1"/>
    <mergeCell ref="AC1:AJ1"/>
    <mergeCell ref="C2:E2"/>
    <mergeCell ref="F2:J2"/>
    <mergeCell ref="AC2:AD2"/>
    <mergeCell ref="AF2:AG3"/>
    <mergeCell ref="AH2:AI3"/>
    <mergeCell ref="K2:Z2"/>
    <mergeCell ref="AA2:AB3"/>
    <mergeCell ref="K3:Z3"/>
    <mergeCell ref="AK4:AK6"/>
    <mergeCell ref="D5:E5"/>
    <mergeCell ref="D6:E6"/>
    <mergeCell ref="D7:E7"/>
    <mergeCell ref="D8:E8"/>
    <mergeCell ref="D9:E9"/>
    <mergeCell ref="AJ2:AJ3"/>
    <mergeCell ref="C3:E3"/>
    <mergeCell ref="F3:J3"/>
    <mergeCell ref="AC3:AD3"/>
    <mergeCell ref="D16:E16"/>
    <mergeCell ref="D17:E17"/>
    <mergeCell ref="D18:E18"/>
    <mergeCell ref="D19:E19"/>
    <mergeCell ref="D20:E20"/>
    <mergeCell ref="D21:E21"/>
    <mergeCell ref="D10:E10"/>
    <mergeCell ref="D11:E11"/>
    <mergeCell ref="D12:E12"/>
    <mergeCell ref="D13:E13"/>
    <mergeCell ref="D14:E14"/>
    <mergeCell ref="D15:E15"/>
    <mergeCell ref="D28:E28"/>
    <mergeCell ref="D29:E29"/>
    <mergeCell ref="D30:E30"/>
    <mergeCell ref="D31:E31"/>
    <mergeCell ref="D32:E32"/>
    <mergeCell ref="D33:E33"/>
    <mergeCell ref="D22:E22"/>
    <mergeCell ref="D23:E23"/>
    <mergeCell ref="D24:E24"/>
    <mergeCell ref="D25:E25"/>
    <mergeCell ref="D26:E26"/>
    <mergeCell ref="D27:E27"/>
    <mergeCell ref="D40:E40"/>
    <mergeCell ref="D41:E41"/>
    <mergeCell ref="D42:E42"/>
    <mergeCell ref="D43:E43"/>
    <mergeCell ref="D44:E44"/>
    <mergeCell ref="D45:E45"/>
    <mergeCell ref="D34:E34"/>
    <mergeCell ref="D35:E35"/>
    <mergeCell ref="D36:E36"/>
    <mergeCell ref="D37:E37"/>
    <mergeCell ref="D38:E38"/>
    <mergeCell ref="D39:E39"/>
    <mergeCell ref="D52:E52"/>
    <mergeCell ref="D53:E53"/>
    <mergeCell ref="D54:E54"/>
    <mergeCell ref="D55:E55"/>
    <mergeCell ref="D56:E56"/>
    <mergeCell ref="D57:E57"/>
    <mergeCell ref="D46:E46"/>
    <mergeCell ref="D47:E47"/>
    <mergeCell ref="D48:E48"/>
    <mergeCell ref="D49:E49"/>
    <mergeCell ref="D50:E50"/>
    <mergeCell ref="D51:E51"/>
    <mergeCell ref="D64:E64"/>
    <mergeCell ref="D65:E65"/>
    <mergeCell ref="D66:E66"/>
    <mergeCell ref="D67:E67"/>
    <mergeCell ref="D68:E68"/>
    <mergeCell ref="D69:E69"/>
    <mergeCell ref="D58:E58"/>
    <mergeCell ref="D59:E59"/>
    <mergeCell ref="D60:E60"/>
    <mergeCell ref="D61:E61"/>
    <mergeCell ref="D62:E62"/>
    <mergeCell ref="D63:E63"/>
    <mergeCell ref="D76:E76"/>
    <mergeCell ref="D77:E77"/>
    <mergeCell ref="D78:E78"/>
    <mergeCell ref="D79:E79"/>
    <mergeCell ref="D80:E80"/>
    <mergeCell ref="D81:E81"/>
    <mergeCell ref="D70:E70"/>
    <mergeCell ref="D71:E71"/>
    <mergeCell ref="D72:E72"/>
    <mergeCell ref="D73:E73"/>
    <mergeCell ref="D74:E74"/>
    <mergeCell ref="D75:E75"/>
    <mergeCell ref="D88:E88"/>
    <mergeCell ref="D89:E89"/>
    <mergeCell ref="D90:E90"/>
    <mergeCell ref="D91:E91"/>
    <mergeCell ref="D92:E92"/>
    <mergeCell ref="D93:E93"/>
    <mergeCell ref="D82:E82"/>
    <mergeCell ref="D83:E83"/>
    <mergeCell ref="D84:E84"/>
    <mergeCell ref="D85:E85"/>
    <mergeCell ref="D86:E86"/>
    <mergeCell ref="D87:E87"/>
    <mergeCell ref="D106:E106"/>
    <mergeCell ref="B107:E107"/>
    <mergeCell ref="D100:E100"/>
    <mergeCell ref="D101:E101"/>
    <mergeCell ref="D102:E102"/>
    <mergeCell ref="D103:E103"/>
    <mergeCell ref="D104:E104"/>
    <mergeCell ref="D105:E105"/>
    <mergeCell ref="D94:E94"/>
    <mergeCell ref="D95:E95"/>
    <mergeCell ref="D96:E96"/>
    <mergeCell ref="D97:E97"/>
    <mergeCell ref="D98:E98"/>
    <mergeCell ref="D99:E99"/>
  </mergeCells>
  <phoneticPr fontId="1"/>
  <conditionalFormatting sqref="F4:AJ6">
    <cfRule type="expression" dxfId="32" priority="11">
      <formula>F$5="○"</formula>
    </cfRule>
  </conditionalFormatting>
  <conditionalFormatting sqref="C7:C54 C95:C106">
    <cfRule type="expression" dxfId="31" priority="10">
      <formula>$C7&lt;&gt;""</formula>
    </cfRule>
  </conditionalFormatting>
  <conditionalFormatting sqref="C77:C86">
    <cfRule type="expression" dxfId="30" priority="9">
      <formula>$C77&lt;&gt;""</formula>
    </cfRule>
  </conditionalFormatting>
  <conditionalFormatting sqref="C76">
    <cfRule type="expression" dxfId="29" priority="8">
      <formula>$C76&lt;&gt;""</formula>
    </cfRule>
  </conditionalFormatting>
  <conditionalFormatting sqref="C66:C75">
    <cfRule type="expression" dxfId="28" priority="7">
      <formula>$C66&lt;&gt;""</formula>
    </cfRule>
  </conditionalFormatting>
  <conditionalFormatting sqref="C65">
    <cfRule type="expression" dxfId="27" priority="6">
      <formula>$C65&lt;&gt;""</formula>
    </cfRule>
  </conditionalFormatting>
  <conditionalFormatting sqref="C55:C64">
    <cfRule type="expression" dxfId="26" priority="5">
      <formula>$C55&lt;&gt;""</formula>
    </cfRule>
  </conditionalFormatting>
  <conditionalFormatting sqref="AH7:AJ106">
    <cfRule type="expression" dxfId="25" priority="4">
      <formula>NOT(AH$4&lt;&gt;"")</formula>
    </cfRule>
  </conditionalFormatting>
  <conditionalFormatting sqref="F7:AJ106">
    <cfRule type="expression" dxfId="24" priority="2">
      <formula>F$5="○"</formula>
    </cfRule>
  </conditionalFormatting>
  <conditionalFormatting sqref="F7:AI106">
    <cfRule type="expression" dxfId="23" priority="3">
      <formula>F$5="●"</formula>
    </cfRule>
  </conditionalFormatting>
  <conditionalFormatting sqref="C87:C94">
    <cfRule type="expression" dxfId="22" priority="1">
      <formula>$C87&lt;&gt;""</formula>
    </cfRule>
  </conditionalFormatting>
  <dataValidations count="4">
    <dataValidation type="whole" errorStyle="warning" allowBlank="1" showInputMessage="1" showErrorMessage="1" error="1～12の整数を入力してください。" sqref="AO2" xr:uid="{00000000-0002-0000-0700-000000000000}">
      <formula1>1</formula1>
      <formula2>12</formula2>
    </dataValidation>
    <dataValidation errorStyle="warning" imeMode="hiragana" allowBlank="1" showInputMessage="1" showErrorMessage="1" sqref="C7:C106" xr:uid="{00000000-0002-0000-0700-000001000000}"/>
    <dataValidation imeMode="halfAlpha" allowBlank="1" showInputMessage="1" showErrorMessage="1" sqref="AK7:AL7 AK8:AK106" xr:uid="{00000000-0002-0000-0700-000002000000}"/>
    <dataValidation type="decimal" imeMode="halfAlpha" allowBlank="1" showErrorMessage="1" sqref="G7:AJ106" xr:uid="{00000000-0002-0000-0700-000003000000}">
      <formula1>0</formula1>
      <formula2>24</formula2>
    </dataValidation>
  </dataValidations>
  <printOptions horizontalCentered="1"/>
  <pageMargins left="0" right="0" top="0.70866141732283472" bottom="0.59055118110236227" header="0" footer="0"/>
  <pageSetup paperSize="9" scale="60" fitToHeight="2" orientation="landscape" r:id="rId1"/>
  <headerFooter alignWithMargins="0">
    <oddHeader xml:space="preserve">&amp;R
</oddHeader>
  </headerFooter>
  <rowBreaks count="2" manualBreakCount="2">
    <brk id="54" min="1" max="36" man="1"/>
    <brk id="89" min="1" max="36" man="1"/>
  </rowBreaks>
  <drawing r:id="rId2"/>
  <extLst>
    <ext xmlns:x14="http://schemas.microsoft.com/office/spreadsheetml/2009/9/main" uri="{CCE6A557-97BC-4b89-ADB6-D9C93CAAB3DF}">
      <x14:dataValidations xmlns:xm="http://schemas.microsoft.com/office/excel/2006/main" count="1">
        <x14:dataValidation type="decimal" imeMode="halfAlpha" allowBlank="1" showErrorMessage="1" xr:uid="{817A89A5-8C4D-40B3-906C-A0EDAFB62756}">
          <x14:formula1>
            <xm:f>0</xm:f>
          </x14:formula1>
          <x14:formula2>
            <xm:f>【様式2】職員名簿!$F$5</xm:f>
          </x14:formula2>
          <xm:sqref>F7:F106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0000"/>
    <pageSetUpPr fitToPage="1"/>
  </sheetPr>
  <dimension ref="A1:BN210"/>
  <sheetViews>
    <sheetView view="pageBreakPreview" zoomScale="85" zoomScaleNormal="85" zoomScaleSheetLayoutView="85" workbookViewId="0">
      <selection activeCell="F18" sqref="F18:H18"/>
    </sheetView>
  </sheetViews>
  <sheetFormatPr defaultColWidth="9" defaultRowHeight="12" outlineLevelRow="1" outlineLevelCol="1"/>
  <cols>
    <col min="1" max="1" width="10.75" style="135" customWidth="1"/>
    <col min="2" max="15" width="10.625" style="135" customWidth="1"/>
    <col min="16" max="16" width="53.125" style="435" customWidth="1"/>
    <col min="17" max="19" width="5.625" style="435" hidden="1" customWidth="1" outlineLevel="1"/>
    <col min="20" max="20" width="5.25" style="435" hidden="1" customWidth="1" outlineLevel="1"/>
    <col min="21" max="28" width="5.625" style="435" hidden="1" customWidth="1" outlineLevel="1"/>
    <col min="29" max="29" width="7" style="435" hidden="1" customWidth="1" outlineLevel="1"/>
    <col min="30" max="36" width="5.625" style="435" hidden="1" customWidth="1" outlineLevel="1"/>
    <col min="37" max="37" width="13.625" style="435" hidden="1" customWidth="1" outlineLevel="1"/>
    <col min="38" max="38" width="13.125" style="435" hidden="1" customWidth="1" outlineLevel="1"/>
    <col min="39" max="65" width="9" style="435" hidden="1" customWidth="1" outlineLevel="1"/>
    <col min="66" max="66" width="9" style="435" collapsed="1"/>
    <col min="67" max="16384" width="9" style="435"/>
  </cols>
  <sheetData>
    <row r="1" spans="1:66" s="383" customFormat="1" ht="15" customHeight="1" thickBot="1">
      <c r="A1" s="381" t="s">
        <v>354</v>
      </c>
      <c r="B1" s="312"/>
      <c r="C1" s="312"/>
      <c r="D1" s="312"/>
      <c r="E1" s="312"/>
      <c r="F1" s="312"/>
      <c r="G1" s="312"/>
      <c r="H1" s="312"/>
      <c r="I1" s="312"/>
      <c r="J1" s="1331" t="str">
        <f>Q2&amp;"様式5"&amp;Q3</f>
        <v>加-23_月申-様式5-家_Ver.2.00</v>
      </c>
      <c r="K1" s="1331"/>
      <c r="L1" s="1331"/>
      <c r="M1" s="1331"/>
      <c r="N1" s="1331"/>
      <c r="O1" s="1331"/>
      <c r="P1" s="382"/>
      <c r="Q1" s="721" t="s">
        <v>654</v>
      </c>
      <c r="AL1" s="384" t="s">
        <v>511</v>
      </c>
      <c r="AM1" s="384" t="s">
        <v>512</v>
      </c>
      <c r="AN1" s="385" t="s">
        <v>47</v>
      </c>
      <c r="AO1" s="1718" t="s">
        <v>62</v>
      </c>
      <c r="AP1" s="1718"/>
      <c r="AQ1" s="384"/>
      <c r="AR1" s="384" t="s">
        <v>47</v>
      </c>
      <c r="AS1" s="386" t="s">
        <v>513</v>
      </c>
      <c r="AT1" s="1440" t="s">
        <v>514</v>
      </c>
      <c r="AU1" s="1441"/>
      <c r="AV1" s="1441"/>
      <c r="AW1" s="1441"/>
      <c r="AX1" s="1441"/>
      <c r="AY1" s="1441"/>
      <c r="AZ1" s="1441"/>
      <c r="BA1" s="1441"/>
      <c r="BB1" s="1441"/>
      <c r="BC1" s="1441"/>
      <c r="BD1" s="1441"/>
      <c r="BE1" s="1441"/>
      <c r="BF1" s="1441"/>
      <c r="BG1" s="1441"/>
      <c r="BH1" s="1441"/>
      <c r="BI1" s="1441"/>
      <c r="BJ1" s="1441"/>
      <c r="BK1" s="1441"/>
      <c r="BL1" s="1441"/>
      <c r="BM1" s="1442"/>
      <c r="BN1" s="387"/>
    </row>
    <row r="2" spans="1:66" s="383" customFormat="1" ht="15" customHeight="1" thickBot="1">
      <c r="A2" s="312"/>
      <c r="B2" s="312"/>
      <c r="C2" s="312"/>
      <c r="D2" s="312"/>
      <c r="E2" s="312"/>
      <c r="F2" s="312"/>
      <c r="G2" s="312"/>
      <c r="H2" s="312"/>
      <c r="I2" s="312"/>
      <c r="J2" s="312"/>
      <c r="K2" s="312"/>
      <c r="L2" s="219"/>
      <c r="M2" s="312"/>
      <c r="N2" s="219"/>
      <c r="O2" s="219"/>
      <c r="P2" s="382"/>
      <c r="Q2" s="721" t="str">
        <f>【様式１】総括表・個票!$AI$2</f>
        <v>加-23_月申-</v>
      </c>
      <c r="AL2" s="388" t="b">
        <f>AND(OR(AL3&gt;0,AL4&gt;0),ISNUMBER(AL3))</f>
        <v>0</v>
      </c>
      <c r="AM2" s="384">
        <f>【様式2】職員名簿!$F$5</f>
        <v>0</v>
      </c>
      <c r="AN2" s="385"/>
      <c r="AO2" s="384">
        <v>1</v>
      </c>
      <c r="AP2" s="384">
        <v>1</v>
      </c>
      <c r="AQ2" s="384"/>
      <c r="AR2" s="384"/>
      <c r="AS2" s="386" t="str">
        <f>【様式2】職員名簿!Y26</f>
        <v>家庭的保育者</v>
      </c>
      <c r="AT2" s="1719" t="s">
        <v>515</v>
      </c>
      <c r="AU2" s="1720"/>
      <c r="AV2" s="1720"/>
      <c r="AW2" s="1720"/>
      <c r="AX2" s="1720"/>
      <c r="AY2" s="1719" t="s">
        <v>611</v>
      </c>
      <c r="AZ2" s="1721"/>
      <c r="BA2" s="1722" t="s">
        <v>222</v>
      </c>
      <c r="BB2" s="1721"/>
      <c r="BC2" s="1719" t="s">
        <v>6</v>
      </c>
      <c r="BD2" s="1721"/>
      <c r="BE2" s="1719" t="s">
        <v>98</v>
      </c>
      <c r="BF2" s="1721"/>
      <c r="BG2" s="1719" t="s">
        <v>516</v>
      </c>
      <c r="BH2" s="1721"/>
      <c r="BI2" s="1719" t="s">
        <v>517</v>
      </c>
      <c r="BJ2" s="1720"/>
      <c r="BK2" s="1719" t="s">
        <v>518</v>
      </c>
      <c r="BL2" s="1720"/>
      <c r="BM2" s="1720"/>
    </row>
    <row r="3" spans="1:66" s="383" customFormat="1" ht="15" customHeight="1" thickTop="1" thickBot="1">
      <c r="A3" s="312"/>
      <c r="B3" s="1756" t="str">
        <f>【様式2】職員名簿!$A$2</f>
        <v>2023年度</v>
      </c>
      <c r="C3" s="1756"/>
      <c r="D3" s="1774" t="s">
        <v>519</v>
      </c>
      <c r="E3" s="1774"/>
      <c r="F3" s="1774"/>
      <c r="G3" s="1774"/>
      <c r="H3" s="1774"/>
      <c r="I3" s="1774"/>
      <c r="J3" s="1774"/>
      <c r="K3" s="1774" t="str">
        <f>+"【"&amp;【様式１】総括表・個票!I10&amp;"月分】"</f>
        <v>【月分】</v>
      </c>
      <c r="L3" s="1774"/>
      <c r="M3" s="389"/>
      <c r="N3" s="389"/>
      <c r="O3" s="389"/>
      <c r="P3" s="390"/>
      <c r="Q3" s="721" t="str">
        <f>【様式１】総括表・個票!$AI$3</f>
        <v>-家_Ver.2.00</v>
      </c>
      <c r="AK3" s="391" t="s">
        <v>633</v>
      </c>
      <c r="AL3" s="392">
        <f>AM2/2</f>
        <v>0</v>
      </c>
      <c r="AN3" s="385" t="s">
        <v>520</v>
      </c>
      <c r="AO3" s="384">
        <v>46</v>
      </c>
      <c r="AP3" s="384">
        <v>2</v>
      </c>
      <c r="AQ3" s="384">
        <v>1</v>
      </c>
      <c r="AR3" s="384" t="str">
        <f>IFERROR(IF(AND(#REF!&gt;=0,AQ3&lt;=#REF!),AQ3,""),"")</f>
        <v/>
      </c>
      <c r="AS3" s="386" t="str">
        <f>【様式2】職員名簿!Y27</f>
        <v>家庭的保育補助者</v>
      </c>
      <c r="AT3" s="393"/>
      <c r="AU3" s="762"/>
      <c r="AV3" s="762"/>
      <c r="AW3" s="762"/>
      <c r="AX3" s="394"/>
      <c r="AY3" s="393" t="str">
        <f>AS2</f>
        <v>家庭的保育者</v>
      </c>
      <c r="AZ3" s="1728" t="s">
        <v>521</v>
      </c>
      <c r="BA3" s="393" t="str">
        <f>AS3</f>
        <v>家庭的保育補助者</v>
      </c>
      <c r="BB3" s="1728" t="s">
        <v>521</v>
      </c>
      <c r="BC3" s="393" t="str">
        <f>AS4</f>
        <v>栄養士</v>
      </c>
      <c r="BD3" s="1728" t="s">
        <v>521</v>
      </c>
      <c r="BE3" s="393" t="str">
        <f>AS4</f>
        <v>栄養士</v>
      </c>
      <c r="BF3" s="1728" t="s">
        <v>521</v>
      </c>
      <c r="BG3" s="393" t="str">
        <f>AS6</f>
        <v>事務員</v>
      </c>
      <c r="BH3" s="1728" t="s">
        <v>521</v>
      </c>
      <c r="BI3" s="393" t="s">
        <v>522</v>
      </c>
      <c r="BJ3" s="1723" t="s">
        <v>521</v>
      </c>
      <c r="BK3" s="395"/>
      <c r="BL3" s="396"/>
      <c r="BM3" s="397"/>
    </row>
    <row r="4" spans="1:66" s="383" customFormat="1" ht="15" customHeight="1" thickTop="1" thickBot="1">
      <c r="A4" s="381" t="s">
        <v>523</v>
      </c>
      <c r="B4" s="312"/>
      <c r="C4" s="398"/>
      <c r="D4" s="398"/>
      <c r="E4" s="398"/>
      <c r="F4" s="399"/>
      <c r="G4" s="399"/>
      <c r="H4" s="399"/>
      <c r="I4" s="399"/>
      <c r="J4" s="400"/>
      <c r="K4" s="399"/>
      <c r="L4" s="400"/>
      <c r="M4" s="312"/>
      <c r="N4" s="312"/>
      <c r="O4" s="312"/>
      <c r="AK4" s="391" t="s">
        <v>632</v>
      </c>
      <c r="AL4" s="392">
        <f>AM2/5*2</f>
        <v>0</v>
      </c>
      <c r="AN4" s="385" t="s">
        <v>60</v>
      </c>
      <c r="AO4" s="384">
        <v>151</v>
      </c>
      <c r="AP4" s="384">
        <v>3</v>
      </c>
      <c r="AQ4" s="384">
        <v>2</v>
      </c>
      <c r="AR4" s="384" t="str">
        <f>IFERROR(IF(AND(#REF!&gt;=0,AQ4&lt;=#REF!),AQ4,""),"")</f>
        <v/>
      </c>
      <c r="AS4" s="386" t="str">
        <f>【様式2】職員名簿!Y28</f>
        <v>栄養士</v>
      </c>
      <c r="AT4" s="393"/>
      <c r="AU4" s="762"/>
      <c r="AV4" s="762"/>
      <c r="AW4" s="762"/>
      <c r="AX4" s="394"/>
      <c r="AY4" s="401"/>
      <c r="AZ4" s="1729"/>
      <c r="BB4" s="1729"/>
      <c r="BD4" s="1729"/>
      <c r="BE4" s="393" t="str">
        <f>AS5</f>
        <v>調理員</v>
      </c>
      <c r="BF4" s="1729"/>
      <c r="BH4" s="1729"/>
      <c r="BJ4" s="1724"/>
      <c r="BK4" s="395"/>
      <c r="BL4" s="396"/>
      <c r="BM4" s="397"/>
    </row>
    <row r="5" spans="1:66" s="383" customFormat="1" ht="15" customHeight="1" thickTop="1" thickBot="1">
      <c r="A5" s="312" t="s">
        <v>524</v>
      </c>
      <c r="B5" s="312"/>
      <c r="C5" s="312"/>
      <c r="D5" s="312"/>
      <c r="E5" s="312"/>
      <c r="F5" s="312"/>
      <c r="G5" s="312"/>
      <c r="H5" s="312"/>
      <c r="I5" s="312"/>
      <c r="J5" s="317"/>
      <c r="K5" s="312"/>
      <c r="L5" s="748"/>
      <c r="M5" s="312"/>
      <c r="N5" s="748"/>
      <c r="O5" s="748"/>
      <c r="P5" s="402"/>
      <c r="AO5" s="384">
        <v>241</v>
      </c>
      <c r="AP5" s="384">
        <v>3.5</v>
      </c>
      <c r="AQ5" s="384">
        <v>3</v>
      </c>
      <c r="AR5" s="384" t="str">
        <f>IFERROR(IF(AND(#REF!&gt;=0,AQ5&lt;=#REF!),AQ5,""),"")</f>
        <v/>
      </c>
      <c r="AS5" s="386" t="str">
        <f>【様式2】職員名簿!Y29</f>
        <v>調理員</v>
      </c>
      <c r="AT5" s="403"/>
      <c r="AU5" s="404"/>
      <c r="AV5" s="404"/>
      <c r="AW5" s="404"/>
      <c r="AX5" s="405"/>
      <c r="AY5" s="406"/>
      <c r="AZ5" s="1730"/>
      <c r="BA5" s="407"/>
      <c r="BB5" s="1730"/>
      <c r="BC5" s="407"/>
      <c r="BD5" s="1730"/>
      <c r="BF5" s="1730"/>
      <c r="BG5" s="407"/>
      <c r="BH5" s="1730"/>
      <c r="BI5" s="407"/>
      <c r="BJ5" s="1725"/>
      <c r="BK5" s="408"/>
      <c r="BL5" s="409"/>
      <c r="BM5" s="410"/>
    </row>
    <row r="6" spans="1:66" s="383" customFormat="1" ht="15" customHeight="1" thickTop="1" thickBot="1">
      <c r="A6" s="1775" t="s">
        <v>101</v>
      </c>
      <c r="B6" s="675" t="s">
        <v>0</v>
      </c>
      <c r="C6" s="1779" t="s">
        <v>337</v>
      </c>
      <c r="D6" s="1780"/>
      <c r="E6" s="1780"/>
      <c r="F6" s="1780"/>
      <c r="G6" s="1780"/>
      <c r="H6" s="1780"/>
      <c r="I6" s="1780"/>
      <c r="J6" s="1780"/>
      <c r="K6" s="1780"/>
      <c r="L6" s="1780"/>
      <c r="M6" s="1726" t="s">
        <v>336</v>
      </c>
      <c r="N6" s="312"/>
      <c r="O6" s="312"/>
      <c r="AO6" s="384">
        <v>271</v>
      </c>
      <c r="AP6" s="384">
        <v>5</v>
      </c>
      <c r="AQ6" s="384">
        <v>3.5</v>
      </c>
      <c r="AR6" s="384" t="str">
        <f>IFERROR(IF(AND(#REF!&gt;=0,AQ6&lt;=#REF!),AQ6,""),"")</f>
        <v/>
      </c>
      <c r="AS6" s="386" t="str">
        <f>【様式2】職員名簿!Y30</f>
        <v>事務員</v>
      </c>
      <c r="AT6" s="411" t="s">
        <v>525</v>
      </c>
      <c r="AU6" s="412" t="s">
        <v>130</v>
      </c>
      <c r="AV6" s="412" t="s">
        <v>526</v>
      </c>
      <c r="AW6" s="412" t="s">
        <v>527</v>
      </c>
      <c r="AX6" s="413" t="s">
        <v>463</v>
      </c>
      <c r="AY6" s="414" t="s">
        <v>528</v>
      </c>
      <c r="AZ6" s="415" t="s">
        <v>603</v>
      </c>
      <c r="BA6" s="413" t="s">
        <v>528</v>
      </c>
      <c r="BB6" s="415" t="s">
        <v>604</v>
      </c>
      <c r="BC6" s="416" t="s">
        <v>528</v>
      </c>
      <c r="BD6" s="415" t="s">
        <v>6</v>
      </c>
      <c r="BE6" s="411" t="s">
        <v>528</v>
      </c>
      <c r="BF6" s="415" t="s">
        <v>98</v>
      </c>
      <c r="BG6" s="411" t="s">
        <v>528</v>
      </c>
      <c r="BH6" s="415" t="s">
        <v>464</v>
      </c>
      <c r="BI6" s="411" t="s">
        <v>528</v>
      </c>
      <c r="BJ6" s="415" t="s">
        <v>529</v>
      </c>
      <c r="BK6" s="417"/>
      <c r="BL6" s="415" t="s">
        <v>518</v>
      </c>
      <c r="BM6" s="418"/>
    </row>
    <row r="7" spans="1:66" s="383" customFormat="1" ht="15" customHeight="1">
      <c r="A7" s="1727"/>
      <c r="B7" s="676" t="s">
        <v>624</v>
      </c>
      <c r="C7" s="625" t="s">
        <v>332</v>
      </c>
      <c r="D7" s="677" t="s">
        <v>626</v>
      </c>
      <c r="E7" s="688" t="s">
        <v>530</v>
      </c>
      <c r="F7" s="689" t="s">
        <v>531</v>
      </c>
      <c r="G7" s="689" t="s">
        <v>532</v>
      </c>
      <c r="H7" s="689" t="s">
        <v>533</v>
      </c>
      <c r="I7" s="690" t="s">
        <v>534</v>
      </c>
      <c r="J7" s="690" t="s">
        <v>535</v>
      </c>
      <c r="K7" s="691" t="s">
        <v>605</v>
      </c>
      <c r="L7" s="626" t="s">
        <v>15</v>
      </c>
      <c r="M7" s="1727"/>
      <c r="N7" s="312"/>
      <c r="O7" s="312"/>
      <c r="AO7" s="384">
        <v>301</v>
      </c>
      <c r="AP7" s="384">
        <v>6</v>
      </c>
      <c r="AQ7" s="384">
        <v>4</v>
      </c>
      <c r="AR7" s="384" t="str">
        <f>IFERROR(IF(AND(#REF!&gt;=0,AQ7&lt;=#REF!),AQ7,""),"")</f>
        <v/>
      </c>
      <c r="AS7" s="386" t="str">
        <f>【様式2】職員名簿!Y31</f>
        <v>その他</v>
      </c>
      <c r="AT7" s="419">
        <v>0</v>
      </c>
      <c r="AU7" s="420"/>
      <c r="AV7" s="420"/>
      <c r="AW7" s="420"/>
      <c r="AX7" s="421"/>
      <c r="AY7" s="422"/>
      <c r="AZ7" s="423"/>
      <c r="BA7" s="421"/>
      <c r="BB7" s="423"/>
      <c r="BC7" s="424"/>
      <c r="BD7" s="423"/>
      <c r="BE7" s="419"/>
      <c r="BF7" s="423"/>
      <c r="BG7" s="419"/>
      <c r="BH7" s="423"/>
      <c r="BI7" s="419"/>
      <c r="BJ7" s="423"/>
      <c r="BK7" s="763" t="str">
        <f>【様式2】職員名簿!C28</f>
        <v>家庭的保育者</v>
      </c>
      <c r="BL7" s="425" t="str">
        <f>IFERROR(IF(BK7=【様式2】職員名簿!$J28,【様式2】職員名簿!$B28,"×"),"×")</f>
        <v>×</v>
      </c>
      <c r="BM7" s="426">
        <f>【様式2】職員名簿!G28</f>
        <v>0</v>
      </c>
    </row>
    <row r="8" spans="1:66" s="383" customFormat="1" ht="15" customHeight="1">
      <c r="A8" s="1776" t="s">
        <v>625</v>
      </c>
      <c r="B8" s="1783">
        <f>【様式１】総括表・個票!R14</f>
        <v>0</v>
      </c>
      <c r="C8" s="1781" t="s">
        <v>333</v>
      </c>
      <c r="D8" s="629" t="s">
        <v>110</v>
      </c>
      <c r="E8" s="692"/>
      <c r="F8" s="693"/>
      <c r="G8" s="693"/>
      <c r="H8" s="694" t="s">
        <v>607</v>
      </c>
      <c r="I8" s="693"/>
      <c r="J8" s="693"/>
      <c r="K8" s="695"/>
      <c r="L8" s="627">
        <f>SUM(E8:K8)</f>
        <v>0</v>
      </c>
      <c r="M8" s="627">
        <f>SUM(L8,L10)</f>
        <v>0</v>
      </c>
      <c r="N8" s="312"/>
      <c r="O8" s="312"/>
      <c r="AO8" s="384">
        <v>451</v>
      </c>
      <c r="AP8" s="384">
        <v>8</v>
      </c>
      <c r="AQ8" s="384">
        <v>4.5</v>
      </c>
      <c r="AR8" s="384" t="str">
        <f>IFERROR(IF(AND(#REF!&gt;=0,AQ8&lt;=#REF!),AQ8,""),"")</f>
        <v/>
      </c>
      <c r="AS8" s="427"/>
      <c r="AT8" s="393">
        <f t="shared" ref="AT8:AT39" si="0">ROW()-ROW($AT$7)</f>
        <v>1</v>
      </c>
      <c r="AU8" s="762" t="str">
        <f>AT8&amp;" "&amp;IF(AW8&lt;&gt;"-",【様式2】職員名簿!B39&amp;"/"&amp;AV8&amp;"/"&amp;AW8,"")</f>
        <v xml:space="preserve">1 </v>
      </c>
      <c r="AV8" s="762">
        <f>【様式2】職員名簿!E39</f>
        <v>0</v>
      </c>
      <c r="AW8" s="762" t="str">
        <f>IF(【様式2】職員名簿!J39="エラー","-",【様式2】職員名簿!J39)</f>
        <v>-</v>
      </c>
      <c r="AX8" s="394">
        <f>IF($AV8="常勤",$AM$2,IF($AV8="非常勤",【様式2】職員名簿!G39,0))</f>
        <v>0</v>
      </c>
      <c r="AY8" s="428">
        <f>IF($AW8=AY$3,COUNTIF($AW$8:$AW8,AY$3),0)</f>
        <v>0</v>
      </c>
      <c r="AZ8" s="429" t="str">
        <f t="shared" ref="AZ8:AZ39" si="1">IFERROR(INDEX($AU$8:$AU$107,MATCH($AT8,AY$8:AY$107,0),1),"")</f>
        <v/>
      </c>
      <c r="BA8" s="430">
        <f>IF($AW8=BA$3,COUNTIF($AW$8:$AW8,BA$3),0)</f>
        <v>0</v>
      </c>
      <c r="BB8" s="429" t="str">
        <f t="shared" ref="BB8:BB39" si="2">IFERROR(INDEX($AU$8:$AU$107,MATCH($AT8,BA$8:BA$107,0),1),"")</f>
        <v/>
      </c>
      <c r="BC8" s="431">
        <f>IF($AW8=BC$3,COUNTIF($AW$8:$AW8,BC$3),0)</f>
        <v>0</v>
      </c>
      <c r="BD8" s="429" t="str">
        <f t="shared" ref="BD8:BD39" si="3">IFERROR(INDEX($AU$8:$AU$107,MATCH($AT8,BC$8:BC$107,0),1),"")</f>
        <v/>
      </c>
      <c r="BE8" s="393">
        <f>IF(OR($AW8=BE$3,$AW8=BE$4),COUNTIF($AW$8:$AW8,BE$3)+COUNTIF($AW$8:$AW8,BE$4),0)</f>
        <v>0</v>
      </c>
      <c r="BF8" s="429" t="str">
        <f t="shared" ref="BF8:BF39" si="4">IFERROR(INDEX($AU$8:$AU$107,MATCH($AT8,BE$8:BE$107,0),1),"")</f>
        <v/>
      </c>
      <c r="BG8" s="393">
        <f>IF($AW8=BG$3,COUNTIF($AW$8:$AW8,BG$3),0)</f>
        <v>0</v>
      </c>
      <c r="BH8" s="429" t="str">
        <f t="shared" ref="BH8:BH39" si="5">IFERROR(INDEX($AU$8:$AU$107,MATCH($AT8,BG$8:BG$107,0),1),"")</f>
        <v/>
      </c>
      <c r="BI8" s="393">
        <f>IF($AW8&lt;&gt;BI$3,COUNTIF($AW$8:$AW8,"&lt;&gt;"&amp;BI$3),0)</f>
        <v>0</v>
      </c>
      <c r="BJ8" s="429" t="str">
        <f t="shared" ref="BJ8:BJ39" si="6">IFERROR(INDEX($AU$8:$AU$107,MATCH($AT8,BI$8:BI$107,0),1),"")</f>
        <v/>
      </c>
      <c r="BK8" s="763" t="str">
        <f>【様式2】職員名簿!C29</f>
        <v>家庭的保育補助者</v>
      </c>
      <c r="BL8" s="425" t="str">
        <f>IFERROR(IF(BK8=【様式2】職員名簿!$J29,【様式2】職員名簿!$B29,"×"),"×")</f>
        <v>×</v>
      </c>
      <c r="BM8" s="426">
        <f>【様式2】職員名簿!G29</f>
        <v>0</v>
      </c>
    </row>
    <row r="9" spans="1:66" s="383" customFormat="1" ht="15" customHeight="1">
      <c r="A9" s="1777"/>
      <c r="B9" s="1784"/>
      <c r="C9" s="1782"/>
      <c r="D9" s="630" t="s">
        <v>111</v>
      </c>
      <c r="E9" s="696"/>
      <c r="F9" s="697"/>
      <c r="G9" s="697"/>
      <c r="H9" s="698" t="s">
        <v>608</v>
      </c>
      <c r="I9" s="697"/>
      <c r="J9" s="697"/>
      <c r="K9" s="699"/>
      <c r="L9" s="628">
        <f>SUM(E9:K9)</f>
        <v>0</v>
      </c>
      <c r="M9" s="628">
        <f>SUM(L9,L11)</f>
        <v>0</v>
      </c>
      <c r="N9" s="312"/>
      <c r="O9" s="312"/>
      <c r="AQ9" s="384">
        <v>5</v>
      </c>
      <c r="AR9" s="384" t="str">
        <f>IFERROR(IF(AND(#REF!&gt;=0,AQ9&lt;=#REF!),AQ9,""),"")</f>
        <v/>
      </c>
      <c r="AT9" s="393">
        <f t="shared" si="0"/>
        <v>2</v>
      </c>
      <c r="AU9" s="823" t="str">
        <f>AT9&amp;" "&amp;IF(AW9&lt;&gt;"-",【様式2】職員名簿!B40&amp;"/"&amp;AV9&amp;"/"&amp;AW9,"")</f>
        <v xml:space="preserve">2 </v>
      </c>
      <c r="AV9" s="823">
        <f>【様式2】職員名簿!E40</f>
        <v>0</v>
      </c>
      <c r="AW9" s="823" t="str">
        <f>IF(【様式2】職員名簿!J40="エラー","-",【様式2】職員名簿!J40)</f>
        <v>-</v>
      </c>
      <c r="AX9" s="394">
        <f>IF($AV9="常勤",$AM$2,IF($AV9="非常勤",【様式2】職員名簿!G40,0))</f>
        <v>0</v>
      </c>
      <c r="AY9" s="428">
        <f>IF($AW9=AY$3,COUNTIF($AW$8:$AW9,AY$3),0)</f>
        <v>0</v>
      </c>
      <c r="AZ9" s="429" t="str">
        <f t="shared" si="1"/>
        <v/>
      </c>
      <c r="BA9" s="430">
        <f>IF($AW9=BA$3,COUNTIF($AW$8:$AW9,BA$3),0)</f>
        <v>0</v>
      </c>
      <c r="BB9" s="429" t="str">
        <f t="shared" si="2"/>
        <v/>
      </c>
      <c r="BC9" s="431">
        <f>IF($AW9=BC$3,COUNTIF($AW$8:$AW9,BC$3),0)</f>
        <v>0</v>
      </c>
      <c r="BD9" s="429" t="str">
        <f t="shared" si="3"/>
        <v/>
      </c>
      <c r="BE9" s="393">
        <f>IF(OR($AW9=BE$3,$AW9=BE$4),COUNTIF($AW$8:$AW9,BE$3)+COUNTIF($AW$8:$AW9,BE$4),0)</f>
        <v>0</v>
      </c>
      <c r="BF9" s="429" t="str">
        <f t="shared" si="4"/>
        <v/>
      </c>
      <c r="BG9" s="393">
        <f>IF($AW9=BG$3,COUNTIF($AW$8:$AW9,BG$3),0)</f>
        <v>0</v>
      </c>
      <c r="BH9" s="429" t="str">
        <f t="shared" si="5"/>
        <v/>
      </c>
      <c r="BI9" s="393">
        <f>IF($AW9&lt;&gt;BI$3,COUNTIF($AW$8:$AW9,"&lt;&gt;"&amp;BI$3),0)</f>
        <v>0</v>
      </c>
      <c r="BJ9" s="429" t="str">
        <f t="shared" si="6"/>
        <v/>
      </c>
      <c r="BK9" s="763" t="str">
        <f>【様式2】職員名簿!C30</f>
        <v>栄養士（委託）</v>
      </c>
      <c r="BL9" s="425" t="str">
        <f>IFERROR(IF(BK9=【様式2】職員名簿!$J30,【様式2】職員名簿!$B30,"×"),"×")</f>
        <v>×</v>
      </c>
      <c r="BM9" s="426">
        <f>【様式2】職員名簿!G30</f>
        <v>0</v>
      </c>
    </row>
    <row r="10" spans="1:66" s="383" customFormat="1" ht="15" customHeight="1">
      <c r="A10" s="1777"/>
      <c r="B10" s="1784"/>
      <c r="C10" s="1781" t="s">
        <v>334</v>
      </c>
      <c r="D10" s="629" t="s">
        <v>110</v>
      </c>
      <c r="E10" s="692"/>
      <c r="F10" s="693"/>
      <c r="G10" s="693"/>
      <c r="H10" s="694" t="s">
        <v>522</v>
      </c>
      <c r="I10" s="693"/>
      <c r="J10" s="693"/>
      <c r="K10" s="695"/>
      <c r="L10" s="627">
        <f>SUM(E10:K10)</f>
        <v>0</v>
      </c>
      <c r="M10" s="631" t="s">
        <v>606</v>
      </c>
      <c r="N10" s="312"/>
      <c r="O10" s="312"/>
      <c r="AQ10" s="384">
        <v>5.5</v>
      </c>
      <c r="AR10" s="384" t="str">
        <f>IFERROR(IF(AND(#REF!&gt;=0,AQ10&lt;=#REF!),AQ10,""),"")</f>
        <v/>
      </c>
      <c r="AT10" s="393">
        <f t="shared" si="0"/>
        <v>3</v>
      </c>
      <c r="AU10" s="823" t="str">
        <f>AT10&amp;" "&amp;IF(AW10&lt;&gt;"-",【様式2】職員名簿!B41&amp;"/"&amp;AV10&amp;"/"&amp;AW10,"")</f>
        <v xml:space="preserve">3 </v>
      </c>
      <c r="AV10" s="823">
        <f>【様式2】職員名簿!E41</f>
        <v>0</v>
      </c>
      <c r="AW10" s="823" t="str">
        <f>IF(【様式2】職員名簿!J41="エラー","-",【様式2】職員名簿!J41)</f>
        <v>-</v>
      </c>
      <c r="AX10" s="394">
        <f>IF($AV10="常勤",$AM$2,IF($AV10="非常勤",【様式2】職員名簿!G41,0))</f>
        <v>0</v>
      </c>
      <c r="AY10" s="428">
        <f>IF($AW10=AY$3,COUNTIF($AW$8:$AW10,AY$3),0)</f>
        <v>0</v>
      </c>
      <c r="AZ10" s="429" t="str">
        <f t="shared" si="1"/>
        <v/>
      </c>
      <c r="BA10" s="430">
        <f>IF($AW10=BA$3,COUNTIF($AW$8:$AW10,BA$3),0)</f>
        <v>0</v>
      </c>
      <c r="BB10" s="429" t="str">
        <f t="shared" si="2"/>
        <v/>
      </c>
      <c r="BC10" s="431">
        <f>IF($AW10=BC$3,COUNTIF($AW$8:$AW10,BC$3),0)</f>
        <v>0</v>
      </c>
      <c r="BD10" s="429" t="str">
        <f t="shared" si="3"/>
        <v/>
      </c>
      <c r="BE10" s="393">
        <f>IF(OR($AW10=BE$3,$AW10=BE$4),COUNTIF($AW$8:$AW10,BE$3)+COUNTIF($AW$8:$AW10,BE$4),0)</f>
        <v>0</v>
      </c>
      <c r="BF10" s="429" t="str">
        <f t="shared" si="4"/>
        <v/>
      </c>
      <c r="BG10" s="393">
        <f>IF($AW10=BG$3,COUNTIF($AW$8:$AW10,BG$3),0)</f>
        <v>0</v>
      </c>
      <c r="BH10" s="429" t="str">
        <f t="shared" si="5"/>
        <v/>
      </c>
      <c r="BI10" s="393">
        <f>IF($AW10&lt;&gt;BI$3,COUNTIF($AW$8:$AW10,"&lt;&gt;"&amp;BI$3),0)</f>
        <v>0</v>
      </c>
      <c r="BJ10" s="429" t="str">
        <f t="shared" si="6"/>
        <v/>
      </c>
      <c r="BK10" s="763" t="str">
        <f>【様式2】職員名簿!C31</f>
        <v>調理員（委託）</v>
      </c>
      <c r="BL10" s="425" t="str">
        <f>IFERROR(IF(BK10=【様式2】職員名簿!$J31,【様式2】職員名簿!$B31,"×"),"×")</f>
        <v>×</v>
      </c>
      <c r="BM10" s="426">
        <f>【様式2】職員名簿!G31</f>
        <v>0</v>
      </c>
    </row>
    <row r="11" spans="1:66" s="383" customFormat="1" ht="15" customHeight="1">
      <c r="A11" s="1778"/>
      <c r="B11" s="1785"/>
      <c r="C11" s="1782"/>
      <c r="D11" s="630" t="s">
        <v>111</v>
      </c>
      <c r="E11" s="696"/>
      <c r="F11" s="697"/>
      <c r="G11" s="697"/>
      <c r="H11" s="698" t="s">
        <v>609</v>
      </c>
      <c r="I11" s="697"/>
      <c r="J11" s="697"/>
      <c r="K11" s="699"/>
      <c r="L11" s="628">
        <f t="shared" ref="L11" si="7">SUM(E11:K11)</f>
        <v>0</v>
      </c>
      <c r="M11" s="632" t="s">
        <v>522</v>
      </c>
      <c r="N11" s="312"/>
      <c r="O11" s="312"/>
      <c r="AQ11" s="384">
        <v>6</v>
      </c>
      <c r="AR11" s="384" t="str">
        <f>IFERROR(IF(AND(#REF!&gt;=0,AQ11&lt;=#REF!),AQ11,""),"")</f>
        <v/>
      </c>
      <c r="AT11" s="393">
        <f t="shared" si="0"/>
        <v>4</v>
      </c>
      <c r="AU11" s="823" t="str">
        <f>AT11&amp;" "&amp;IF(AW11&lt;&gt;"-",【様式2】職員名簿!B42&amp;"/"&amp;AV11&amp;"/"&amp;AW11,"")</f>
        <v xml:space="preserve">4 </v>
      </c>
      <c r="AV11" s="823">
        <f>【様式2】職員名簿!E42</f>
        <v>0</v>
      </c>
      <c r="AW11" s="823" t="str">
        <f>IF(【様式2】職員名簿!J42="エラー","-",【様式2】職員名簿!J42)</f>
        <v>-</v>
      </c>
      <c r="AX11" s="394">
        <f>IF($AV11="常勤",$AM$2,IF($AV11="非常勤",【様式2】職員名簿!G42,0))</f>
        <v>0</v>
      </c>
      <c r="AY11" s="428">
        <f>IF($AW11=AY$3,COUNTIF($AW$8:$AW11,AY$3),0)</f>
        <v>0</v>
      </c>
      <c r="AZ11" s="429" t="str">
        <f t="shared" si="1"/>
        <v/>
      </c>
      <c r="BA11" s="430">
        <f>IF($AW11=BA$3,COUNTIF($AW$8:$AW11,BA$3),0)</f>
        <v>0</v>
      </c>
      <c r="BB11" s="429" t="str">
        <f t="shared" si="2"/>
        <v/>
      </c>
      <c r="BC11" s="431">
        <f>IF($AW11=BC$3,COUNTIF($AW$8:$AW11,BC$3),0)</f>
        <v>0</v>
      </c>
      <c r="BD11" s="429" t="str">
        <f t="shared" si="3"/>
        <v/>
      </c>
      <c r="BE11" s="393">
        <f>IF(OR($AW11=BE$3,$AW11=BE$4),COUNTIF($AW$8:$AW11,BE$3)+COUNTIF($AW$8:$AW11,BE$4),0)</f>
        <v>0</v>
      </c>
      <c r="BF11" s="429" t="str">
        <f t="shared" si="4"/>
        <v/>
      </c>
      <c r="BG11" s="393">
        <f>IF($AW11=BG$3,COUNTIF($AW$8:$AW11,BG$3),0)</f>
        <v>0</v>
      </c>
      <c r="BH11" s="429" t="str">
        <f t="shared" si="5"/>
        <v/>
      </c>
      <c r="BI11" s="393">
        <f>IF($AW11&lt;&gt;BI$3,COUNTIF($AW$8:$AW11,"&lt;&gt;"&amp;BI$3),0)</f>
        <v>0</v>
      </c>
      <c r="BJ11" s="429" t="str">
        <f t="shared" si="6"/>
        <v/>
      </c>
      <c r="BK11" s="763" t="str">
        <f>【様式2】職員名簿!C32</f>
        <v>事務員（委託）</v>
      </c>
      <c r="BL11" s="425" t="str">
        <f>IFERROR(IF(BK11=【様式2】職員名簿!$J32,【様式2】職員名簿!$B32,"×"),"×")</f>
        <v>×</v>
      </c>
      <c r="BM11" s="426">
        <f>【様式2】職員名簿!G32</f>
        <v>0</v>
      </c>
    </row>
    <row r="12" spans="1:66" s="383" customFormat="1" ht="15" customHeight="1">
      <c r="A12" s="674" t="s">
        <v>335</v>
      </c>
      <c r="B12" s="624">
        <f>SUM(B8:B8)</f>
        <v>0</v>
      </c>
      <c r="C12" s="1786"/>
      <c r="D12" s="1787"/>
      <c r="E12" s="700">
        <f>SUM(E8:E11)</f>
        <v>0</v>
      </c>
      <c r="F12" s="701">
        <f t="shared" ref="F12:I12" si="8">SUM(F8:F11)</f>
        <v>0</v>
      </c>
      <c r="G12" s="701">
        <f>SUM(G8:G11)</f>
        <v>0</v>
      </c>
      <c r="H12" s="701">
        <f t="shared" si="8"/>
        <v>0</v>
      </c>
      <c r="I12" s="701">
        <f t="shared" si="8"/>
        <v>0</v>
      </c>
      <c r="J12" s="701">
        <f>SUM(J8:J11)</f>
        <v>0</v>
      </c>
      <c r="K12" s="702">
        <f>SUM(K8:K11)</f>
        <v>0</v>
      </c>
      <c r="L12" s="624">
        <f>SUM(L8:L11)</f>
        <v>0</v>
      </c>
      <c r="M12" s="624">
        <f>SUM(M8:M11)</f>
        <v>0</v>
      </c>
      <c r="N12" s="312"/>
      <c r="O12" s="312"/>
      <c r="AQ12" s="384">
        <v>6.5</v>
      </c>
      <c r="AR12" s="384" t="str">
        <f>IFERROR(IF(AND(#REF!&gt;=0,AQ12&lt;=#REF!),AQ12,""),"")</f>
        <v/>
      </c>
      <c r="AT12" s="393">
        <f t="shared" si="0"/>
        <v>5</v>
      </c>
      <c r="AU12" s="823" t="str">
        <f>AT12&amp;" "&amp;IF(AW12&lt;&gt;"-",【様式2】職員名簿!B43&amp;"/"&amp;AV12&amp;"/"&amp;AW12,"")</f>
        <v xml:space="preserve">5 </v>
      </c>
      <c r="AV12" s="823">
        <f>【様式2】職員名簿!E43</f>
        <v>0</v>
      </c>
      <c r="AW12" s="823" t="str">
        <f>IF(【様式2】職員名簿!J43="エラー","-",【様式2】職員名簿!J43)</f>
        <v>-</v>
      </c>
      <c r="AX12" s="394">
        <f>IF($AV12="常勤",$AM$2,IF($AV12="非常勤",【様式2】職員名簿!G43,0))</f>
        <v>0</v>
      </c>
      <c r="AY12" s="428">
        <f>IF($AW12=AY$3,COUNTIF($AW$8:$AW12,AY$3),0)</f>
        <v>0</v>
      </c>
      <c r="AZ12" s="429" t="str">
        <f t="shared" si="1"/>
        <v/>
      </c>
      <c r="BA12" s="430">
        <f>IF($AW12=BA$3,COUNTIF($AW$8:$AW12,BA$3),0)</f>
        <v>0</v>
      </c>
      <c r="BB12" s="429" t="str">
        <f t="shared" si="2"/>
        <v/>
      </c>
      <c r="BC12" s="431">
        <f>IF($AW12=BC$3,COUNTIF($AW$8:$AW12,BC$3),0)</f>
        <v>0</v>
      </c>
      <c r="BD12" s="429" t="str">
        <f t="shared" si="3"/>
        <v/>
      </c>
      <c r="BE12" s="393">
        <f>IF(OR($AW12=BE$3,$AW12=BE$4),COUNTIF($AW$8:$AW12,BE$3)+COUNTIF($AW$8:$AW12,BE$4),0)</f>
        <v>0</v>
      </c>
      <c r="BF12" s="429" t="str">
        <f t="shared" si="4"/>
        <v/>
      </c>
      <c r="BG12" s="393">
        <f>IF($AW12=BG$3,COUNTIF($AW$8:$AW12,BG$3),0)</f>
        <v>0</v>
      </c>
      <c r="BH12" s="429" t="str">
        <f t="shared" si="5"/>
        <v/>
      </c>
      <c r="BI12" s="393">
        <f>IF($AW12&lt;&gt;BI$3,COUNTIF($AW$8:$AW12,"&lt;&gt;"&amp;BI$3),0)</f>
        <v>0</v>
      </c>
      <c r="BJ12" s="429" t="str">
        <f t="shared" si="6"/>
        <v/>
      </c>
      <c r="BK12" s="763" t="str">
        <f>【様式2】職員名簿!C33</f>
        <v>その他（委託）</v>
      </c>
      <c r="BL12" s="425" t="str">
        <f>IFERROR(IF(BK12=【様式2】職員名簿!$J33,【様式2】職員名簿!$B33,"×"),"×")</f>
        <v>×</v>
      </c>
      <c r="BM12" s="426">
        <f>【様式2】職員名簿!G33</f>
        <v>0</v>
      </c>
    </row>
    <row r="13" spans="1:66" s="383" customFormat="1" ht="15" customHeight="1">
      <c r="A13" s="436"/>
      <c r="B13" s="436"/>
      <c r="C13" s="748"/>
      <c r="D13" s="437"/>
      <c r="E13" s="437"/>
      <c r="F13" s="437"/>
      <c r="G13" s="437"/>
      <c r="H13" s="436"/>
      <c r="I13" s="437"/>
      <c r="J13" s="317"/>
      <c r="K13" s="317"/>
      <c r="L13" s="317"/>
      <c r="M13" s="317"/>
      <c r="N13" s="312"/>
      <c r="O13" s="312"/>
      <c r="Q13" s="434"/>
      <c r="R13" s="434"/>
      <c r="S13" s="434"/>
      <c r="T13" s="434"/>
      <c r="U13" s="434"/>
      <c r="V13" s="434"/>
      <c r="W13" s="434"/>
      <c r="X13" s="434"/>
      <c r="Y13" s="434"/>
      <c r="Z13" s="434"/>
      <c r="AA13" s="434"/>
      <c r="AB13" s="434"/>
      <c r="AC13" s="434"/>
      <c r="AD13" s="434"/>
      <c r="AE13" s="434"/>
      <c r="AF13" s="434"/>
      <c r="AG13" s="434"/>
      <c r="AH13" s="434"/>
      <c r="AI13" s="434"/>
      <c r="AJ13" s="434"/>
      <c r="AQ13" s="384">
        <v>7</v>
      </c>
      <c r="AR13" s="384" t="str">
        <f>IFERROR(IF(AND(#REF!&gt;=0,AQ13&lt;=#REF!),AQ13,""),"")</f>
        <v/>
      </c>
      <c r="AT13" s="393">
        <f t="shared" si="0"/>
        <v>6</v>
      </c>
      <c r="AU13" s="823" t="str">
        <f>AT13&amp;" "&amp;IF(AW13&lt;&gt;"-",【様式2】職員名簿!B44&amp;"/"&amp;AV13&amp;"/"&amp;AW13,"")</f>
        <v xml:space="preserve">6 </v>
      </c>
      <c r="AV13" s="823">
        <f>【様式2】職員名簿!E44</f>
        <v>0</v>
      </c>
      <c r="AW13" s="823" t="str">
        <f>IF(【様式2】職員名簿!J44="エラー","-",【様式2】職員名簿!J44)</f>
        <v>-</v>
      </c>
      <c r="AX13" s="394">
        <f>IF($AV13="常勤",$AM$2,IF($AV13="非常勤",【様式2】職員名簿!G44,0))</f>
        <v>0</v>
      </c>
      <c r="AY13" s="428">
        <f>IF($AW13=AY$3,COUNTIF($AW$8:$AW13,AY$3),0)</f>
        <v>0</v>
      </c>
      <c r="AZ13" s="429" t="str">
        <f t="shared" si="1"/>
        <v/>
      </c>
      <c r="BA13" s="430">
        <f>IF($AW13=BA$3,COUNTIF($AW$8:$AW13,BA$3),0)</f>
        <v>0</v>
      </c>
      <c r="BB13" s="429" t="str">
        <f t="shared" si="2"/>
        <v/>
      </c>
      <c r="BC13" s="431">
        <f>IF($AW13=BC$3,COUNTIF($AW$8:$AW13,BC$3),0)</f>
        <v>0</v>
      </c>
      <c r="BD13" s="429" t="str">
        <f t="shared" si="3"/>
        <v/>
      </c>
      <c r="BE13" s="393">
        <f>IF(OR($AW13=BE$3,$AW13=BE$4),COUNTIF($AW$8:$AW13,BE$3)+COUNTIF($AW$8:$AW13,BE$4),0)</f>
        <v>0</v>
      </c>
      <c r="BF13" s="429" t="str">
        <f t="shared" si="4"/>
        <v/>
      </c>
      <c r="BG13" s="393">
        <f>IF($AW13=BG$3,COUNTIF($AW$8:$AW13,BG$3),0)</f>
        <v>0</v>
      </c>
      <c r="BH13" s="429" t="str">
        <f t="shared" si="5"/>
        <v/>
      </c>
      <c r="BI13" s="393">
        <f>IF($AW13&lt;&gt;BI$3,COUNTIF($AW$8:$AW13,"&lt;&gt;"&amp;BI$3),0)</f>
        <v>0</v>
      </c>
      <c r="BJ13" s="429" t="str">
        <f t="shared" si="6"/>
        <v/>
      </c>
      <c r="BK13" s="433"/>
      <c r="BL13" s="433"/>
    </row>
    <row r="14" spans="1:66" s="383" customFormat="1" ht="15" customHeight="1" thickBot="1">
      <c r="A14" s="381" t="s">
        <v>538</v>
      </c>
      <c r="B14" s="312"/>
      <c r="C14" s="168"/>
      <c r="D14" s="168"/>
      <c r="E14" s="168"/>
      <c r="F14" s="168"/>
      <c r="G14" s="168"/>
      <c r="H14" s="168"/>
      <c r="I14" s="168"/>
      <c r="J14" s="168"/>
      <c r="K14" s="312"/>
      <c r="L14" s="168"/>
      <c r="M14" s="748"/>
      <c r="N14" s="168"/>
      <c r="O14" s="168"/>
      <c r="P14" s="435"/>
      <c r="Q14" s="438"/>
      <c r="R14" s="438"/>
      <c r="S14" s="438"/>
      <c r="T14" s="438"/>
      <c r="U14" s="439"/>
      <c r="V14" s="439"/>
      <c r="W14" s="439"/>
      <c r="X14" s="439"/>
      <c r="Y14" s="439"/>
      <c r="Z14" s="439"/>
      <c r="AA14" s="439"/>
      <c r="AB14" s="439"/>
      <c r="AC14" s="439"/>
      <c r="AD14" s="439"/>
      <c r="AE14" s="439"/>
      <c r="AF14" s="439"/>
      <c r="AG14" s="439"/>
      <c r="AH14" s="439"/>
      <c r="AI14" s="439"/>
      <c r="AJ14" s="439"/>
      <c r="AK14" s="435"/>
      <c r="AQ14" s="384">
        <v>7.5</v>
      </c>
      <c r="AR14" s="384" t="str">
        <f>IFERROR(IF(AND(#REF!&gt;=0,AQ14&lt;=#REF!),AQ14,""),"")</f>
        <v/>
      </c>
      <c r="AT14" s="393">
        <f t="shared" si="0"/>
        <v>7</v>
      </c>
      <c r="AU14" s="823" t="str">
        <f>AT14&amp;" "&amp;IF(AW14&lt;&gt;"-",【様式2】職員名簿!B45&amp;"/"&amp;AV14&amp;"/"&amp;AW14,"")</f>
        <v xml:space="preserve">7 </v>
      </c>
      <c r="AV14" s="823">
        <f>【様式2】職員名簿!E45</f>
        <v>0</v>
      </c>
      <c r="AW14" s="823" t="str">
        <f>IF(【様式2】職員名簿!J45="エラー","-",【様式2】職員名簿!J45)</f>
        <v>-</v>
      </c>
      <c r="AX14" s="394">
        <f>IF($AV14="常勤",$AM$2,IF($AV14="非常勤",【様式2】職員名簿!G45,0))</f>
        <v>0</v>
      </c>
      <c r="AY14" s="428">
        <f>IF($AW14=AY$3,COUNTIF($AW$8:$AW14,AY$3),0)</f>
        <v>0</v>
      </c>
      <c r="AZ14" s="429" t="str">
        <f t="shared" si="1"/>
        <v/>
      </c>
      <c r="BA14" s="430">
        <f>IF($AW14=BA$3,COUNTIF($AW$8:$AW14,BA$3),0)</f>
        <v>0</v>
      </c>
      <c r="BB14" s="429" t="str">
        <f t="shared" si="2"/>
        <v/>
      </c>
      <c r="BC14" s="431">
        <f>IF($AW14=BC$3,COUNTIF($AW$8:$AW14,BC$3),0)</f>
        <v>0</v>
      </c>
      <c r="BD14" s="429" t="str">
        <f t="shared" si="3"/>
        <v/>
      </c>
      <c r="BE14" s="393">
        <f>IF(OR($AW14=BE$3,$AW14=BE$4),COUNTIF($AW$8:$AW14,BE$3)+COUNTIF($AW$8:$AW14,BE$4),0)</f>
        <v>0</v>
      </c>
      <c r="BF14" s="429" t="str">
        <f t="shared" si="4"/>
        <v/>
      </c>
      <c r="BG14" s="393">
        <f>IF($AW14=BG$3,COUNTIF($AW$8:$AW14,BG$3),0)</f>
        <v>0</v>
      </c>
      <c r="BH14" s="429" t="str">
        <f t="shared" si="5"/>
        <v/>
      </c>
      <c r="BI14" s="393">
        <f>IF($AW14&lt;&gt;BI$3,COUNTIF($AW$8:$AW14,"&lt;&gt;"&amp;BI$3),0)</f>
        <v>0</v>
      </c>
      <c r="BJ14" s="429" t="str">
        <f t="shared" si="6"/>
        <v/>
      </c>
      <c r="BK14" s="433"/>
      <c r="BL14" s="433"/>
    </row>
    <row r="15" spans="1:66" s="383" customFormat="1" ht="15" customHeight="1">
      <c r="A15" s="1761" t="s">
        <v>61</v>
      </c>
      <c r="B15" s="1762"/>
      <c r="C15" s="1763"/>
      <c r="D15" s="1745" t="s">
        <v>638</v>
      </c>
      <c r="E15" s="1746"/>
      <c r="F15" s="1746"/>
      <c r="G15" s="1746"/>
      <c r="H15" s="1746"/>
      <c r="I15" s="1746"/>
      <c r="J15" s="1746"/>
      <c r="K15" s="1746"/>
      <c r="L15" s="1746"/>
      <c r="M15" s="1747"/>
      <c r="N15" s="1713" t="s">
        <v>539</v>
      </c>
      <c r="O15" s="1714"/>
      <c r="P15" s="402"/>
      <c r="Q15" s="1703" t="s">
        <v>540</v>
      </c>
      <c r="R15" s="1705"/>
      <c r="S15" s="1711" t="s">
        <v>56</v>
      </c>
      <c r="T15" s="1698" t="s">
        <v>541</v>
      </c>
      <c r="U15" s="1700" t="s">
        <v>542</v>
      </c>
      <c r="V15" s="1703" t="s">
        <v>543</v>
      </c>
      <c r="W15" s="1704"/>
      <c r="X15" s="1704"/>
      <c r="Y15" s="1704"/>
      <c r="Z15" s="1704"/>
      <c r="AA15" s="1704"/>
      <c r="AB15" s="1704"/>
      <c r="AC15" s="1704"/>
      <c r="AD15" s="1704"/>
      <c r="AE15" s="1705"/>
      <c r="AF15" s="1703" t="s">
        <v>544</v>
      </c>
      <c r="AG15" s="1704"/>
      <c r="AH15" s="1708" t="s">
        <v>545</v>
      </c>
      <c r="AI15" s="1709"/>
      <c r="AJ15" s="1710"/>
      <c r="AK15" s="435"/>
      <c r="AQ15" s="384">
        <v>8</v>
      </c>
      <c r="AR15" s="384" t="str">
        <f>IFERROR(IF(AND(#REF!&gt;=0,AQ15&lt;=#REF!),AQ15,""),"")</f>
        <v/>
      </c>
      <c r="AT15" s="393">
        <f t="shared" si="0"/>
        <v>8</v>
      </c>
      <c r="AU15" s="823" t="str">
        <f>AT15&amp;" "&amp;IF(AW15&lt;&gt;"-",【様式2】職員名簿!B46&amp;"/"&amp;AV15&amp;"/"&amp;AW15,"")</f>
        <v xml:space="preserve">8 </v>
      </c>
      <c r="AV15" s="823">
        <f>【様式2】職員名簿!E46</f>
        <v>0</v>
      </c>
      <c r="AW15" s="823" t="str">
        <f>IF(【様式2】職員名簿!J46="エラー","-",【様式2】職員名簿!J46)</f>
        <v>-</v>
      </c>
      <c r="AX15" s="394">
        <f>IF($AV15="常勤",$AM$2,IF($AV15="非常勤",【様式2】職員名簿!G46,0))</f>
        <v>0</v>
      </c>
      <c r="AY15" s="428">
        <f>IF($AW15=AY$3,COUNTIF($AW$8:$AW15,AY$3),0)</f>
        <v>0</v>
      </c>
      <c r="AZ15" s="429" t="str">
        <f t="shared" si="1"/>
        <v/>
      </c>
      <c r="BA15" s="430">
        <f>IF($AW15=BA$3,COUNTIF($AW$8:$AW15,BA$3),0)</f>
        <v>0</v>
      </c>
      <c r="BB15" s="429" t="str">
        <f t="shared" si="2"/>
        <v/>
      </c>
      <c r="BC15" s="431">
        <f>IF($AW15=BC$3,COUNTIF($AW$8:$AW15,BC$3),0)</f>
        <v>0</v>
      </c>
      <c r="BD15" s="429" t="str">
        <f t="shared" si="3"/>
        <v/>
      </c>
      <c r="BE15" s="393">
        <f>IF(OR($AW15=BE$3,$AW15=BE$4),COUNTIF($AW$8:$AW15,BE$3)+COUNTIF($AW$8:$AW15,BE$4),0)</f>
        <v>0</v>
      </c>
      <c r="BF15" s="429" t="str">
        <f t="shared" si="4"/>
        <v/>
      </c>
      <c r="BG15" s="393">
        <f>IF($AW15=BG$3,COUNTIF($AW$8:$AW15,BG$3),0)</f>
        <v>0</v>
      </c>
      <c r="BH15" s="429" t="str">
        <f t="shared" si="5"/>
        <v/>
      </c>
      <c r="BI15" s="393">
        <f>IF($AW15&lt;&gt;BI$3,COUNTIF($AW$8:$AW15,"&lt;&gt;"&amp;BI$3),0)</f>
        <v>0</v>
      </c>
      <c r="BJ15" s="429" t="str">
        <f t="shared" si="6"/>
        <v/>
      </c>
      <c r="BK15" s="433"/>
      <c r="BL15" s="433"/>
    </row>
    <row r="16" spans="1:66" s="383" customFormat="1" ht="15" customHeight="1" thickBot="1">
      <c r="A16" s="1757" t="s">
        <v>101</v>
      </c>
      <c r="B16" s="1759" t="s">
        <v>546</v>
      </c>
      <c r="C16" s="1760"/>
      <c r="D16" s="1741" t="s">
        <v>513</v>
      </c>
      <c r="E16" s="1742"/>
      <c r="F16" s="1680" t="s">
        <v>639</v>
      </c>
      <c r="G16" s="1681"/>
      <c r="H16" s="1681"/>
      <c r="I16" s="1681"/>
      <c r="J16" s="1681"/>
      <c r="K16" s="1681"/>
      <c r="L16" s="1682" t="s">
        <v>547</v>
      </c>
      <c r="M16" s="1683"/>
      <c r="N16" s="1732" t="s">
        <v>548</v>
      </c>
      <c r="O16" s="1678"/>
      <c r="P16" s="402"/>
      <c r="Q16" s="1706"/>
      <c r="R16" s="1731"/>
      <c r="S16" s="1712"/>
      <c r="T16" s="1699"/>
      <c r="U16" s="1701"/>
      <c r="V16" s="1687" t="s">
        <v>550</v>
      </c>
      <c r="W16" s="1688" t="s">
        <v>551</v>
      </c>
      <c r="X16" s="1690" t="s">
        <v>552</v>
      </c>
      <c r="Y16" s="1692" t="s">
        <v>553</v>
      </c>
      <c r="Z16" s="1693"/>
      <c r="AA16" s="1694"/>
      <c r="AB16" s="1694"/>
      <c r="AC16" s="1694"/>
      <c r="AD16" s="1688" t="s">
        <v>131</v>
      </c>
      <c r="AE16" s="1696" t="s">
        <v>8</v>
      </c>
      <c r="AF16" s="1706"/>
      <c r="AG16" s="1707"/>
      <c r="AH16" s="1607" t="s">
        <v>554</v>
      </c>
      <c r="AI16" s="1609" t="s">
        <v>56</v>
      </c>
      <c r="AJ16" s="1684" t="s">
        <v>542</v>
      </c>
      <c r="AQ16" s="434"/>
      <c r="AR16" s="434"/>
      <c r="AT16" s="393">
        <f t="shared" si="0"/>
        <v>9</v>
      </c>
      <c r="AU16" s="823" t="str">
        <f>AT16&amp;" "&amp;IF(AW16&lt;&gt;"-",【様式2】職員名簿!B47&amp;"/"&amp;AV16&amp;"/"&amp;AW16,"")</f>
        <v xml:space="preserve">9 </v>
      </c>
      <c r="AV16" s="823">
        <f>【様式2】職員名簿!E47</f>
        <v>0</v>
      </c>
      <c r="AW16" s="823" t="str">
        <f>IF(【様式2】職員名簿!J47="エラー","-",【様式2】職員名簿!J47)</f>
        <v>-</v>
      </c>
      <c r="AX16" s="394">
        <f>IF($AV16="常勤",$AM$2,IF($AV16="非常勤",【様式2】職員名簿!G47,0))</f>
        <v>0</v>
      </c>
      <c r="AY16" s="428">
        <f>IF($AW16=AY$3,COUNTIF($AW$8:$AW16,AY$3),0)</f>
        <v>0</v>
      </c>
      <c r="AZ16" s="429" t="str">
        <f t="shared" si="1"/>
        <v/>
      </c>
      <c r="BA16" s="430">
        <f>IF($AW16=BA$3,COUNTIF($AW$8:$AW16,BA$3),0)</f>
        <v>0</v>
      </c>
      <c r="BB16" s="429" t="str">
        <f t="shared" si="2"/>
        <v/>
      </c>
      <c r="BC16" s="431">
        <f>IF($AW16=BC$3,COUNTIF($AW$8:$AW16,BC$3),0)</f>
        <v>0</v>
      </c>
      <c r="BD16" s="429" t="str">
        <f t="shared" si="3"/>
        <v/>
      </c>
      <c r="BE16" s="393">
        <f>IF(OR($AW16=BE$3,$AW16=BE$4),COUNTIF($AW$8:$AW16,BE$3)+COUNTIF($AW$8:$AW16,BE$4),0)</f>
        <v>0</v>
      </c>
      <c r="BF16" s="429" t="str">
        <f t="shared" si="4"/>
        <v/>
      </c>
      <c r="BG16" s="393">
        <f>IF($AW16=BG$3,COUNTIF($AW$8:$AW16,BG$3),0)</f>
        <v>0</v>
      </c>
      <c r="BH16" s="429" t="str">
        <f t="shared" si="5"/>
        <v/>
      </c>
      <c r="BI16" s="393">
        <f>IF($AW16&lt;&gt;BI$3,COUNTIF($AW$8:$AW16,"&lt;&gt;"&amp;BI$3),0)</f>
        <v>0</v>
      </c>
      <c r="BJ16" s="429" t="str">
        <f t="shared" si="6"/>
        <v/>
      </c>
      <c r="BK16" s="433"/>
      <c r="BL16" s="433"/>
    </row>
    <row r="17" spans="1:64" s="383" customFormat="1" ht="15" customHeight="1" thickBot="1">
      <c r="A17" s="1758"/>
      <c r="B17" s="1528"/>
      <c r="C17" s="1433"/>
      <c r="D17" s="1743"/>
      <c r="E17" s="1744"/>
      <c r="F17" s="1686" t="s">
        <v>555</v>
      </c>
      <c r="G17" s="1686"/>
      <c r="H17" s="1686"/>
      <c r="I17" s="500" t="s">
        <v>640</v>
      </c>
      <c r="J17" s="765" t="s">
        <v>641</v>
      </c>
      <c r="K17" s="501" t="s">
        <v>642</v>
      </c>
      <c r="L17" s="703" t="str">
        <f>IF($AL$2,"下限:","")</f>
        <v/>
      </c>
      <c r="M17" s="679" t="str">
        <f>IF($AL$2,IF($AL$3&gt;0,"①"&amp;$AL$3/$AM$2,"")&amp;IF($AL$4&gt;0,"　②"&amp;$AL$4/$AM$2,""),"")</f>
        <v/>
      </c>
      <c r="N17" s="1733"/>
      <c r="O17" s="1679"/>
      <c r="P17" s="402"/>
      <c r="Q17" s="440" t="s">
        <v>193</v>
      </c>
      <c r="R17" s="766" t="s">
        <v>556</v>
      </c>
      <c r="S17" s="1712"/>
      <c r="T17" s="1699"/>
      <c r="U17" s="1702"/>
      <c r="V17" s="1687"/>
      <c r="W17" s="1689"/>
      <c r="X17" s="1691"/>
      <c r="Y17" s="441" t="s">
        <v>56</v>
      </c>
      <c r="Z17" s="442" t="s">
        <v>557</v>
      </c>
      <c r="AA17" s="442" t="s">
        <v>558</v>
      </c>
      <c r="AB17" s="442" t="s">
        <v>559</v>
      </c>
      <c r="AC17" s="443">
        <v>0</v>
      </c>
      <c r="AD17" s="1695"/>
      <c r="AE17" s="1697"/>
      <c r="AF17" s="440" t="s">
        <v>61</v>
      </c>
      <c r="AG17" s="444" t="s">
        <v>560</v>
      </c>
      <c r="AH17" s="1608"/>
      <c r="AI17" s="1610"/>
      <c r="AJ17" s="1685"/>
      <c r="AQ17" s="434"/>
      <c r="AR17" s="434"/>
      <c r="AT17" s="393">
        <f t="shared" si="0"/>
        <v>10</v>
      </c>
      <c r="AU17" s="823" t="str">
        <f>AT17&amp;" "&amp;IF(AW17&lt;&gt;"-",【様式2】職員名簿!B48&amp;"/"&amp;AV17&amp;"/"&amp;AW17,"")</f>
        <v xml:space="preserve">10 </v>
      </c>
      <c r="AV17" s="823">
        <f>【様式2】職員名簿!E48</f>
        <v>0</v>
      </c>
      <c r="AW17" s="823" t="str">
        <f>IF(【様式2】職員名簿!J48="エラー","-",【様式2】職員名簿!J48)</f>
        <v>-</v>
      </c>
      <c r="AX17" s="394">
        <f>IF($AV17="常勤",$AM$2,IF($AV17="非常勤",【様式2】職員名簿!G48,0))</f>
        <v>0</v>
      </c>
      <c r="AY17" s="428">
        <f>IF($AW17=AY$3,COUNTIF($AW$8:$AW17,AY$3),0)</f>
        <v>0</v>
      </c>
      <c r="AZ17" s="429" t="str">
        <f t="shared" si="1"/>
        <v/>
      </c>
      <c r="BA17" s="430">
        <f>IF($AW17=BA$3,COUNTIF($AW$8:$AW17,BA$3),0)</f>
        <v>0</v>
      </c>
      <c r="BB17" s="429" t="str">
        <f t="shared" si="2"/>
        <v/>
      </c>
      <c r="BC17" s="431">
        <f>IF($AW17=BC$3,COUNTIF($AW$8:$AW17,BC$3),0)</f>
        <v>0</v>
      </c>
      <c r="BD17" s="429" t="str">
        <f t="shared" si="3"/>
        <v/>
      </c>
      <c r="BE17" s="393">
        <f>IF(OR($AW17=BE$3,$AW17=BE$4),COUNTIF($AW$8:$AW17,BE$3)+COUNTIF($AW$8:$AW17,BE$4),0)</f>
        <v>0</v>
      </c>
      <c r="BF17" s="429" t="str">
        <f t="shared" si="4"/>
        <v/>
      </c>
      <c r="BG17" s="393">
        <f>IF($AW17=BG$3,COUNTIF($AW$8:$AW17,BG$3),0)</f>
        <v>0</v>
      </c>
      <c r="BH17" s="429" t="str">
        <f t="shared" si="5"/>
        <v/>
      </c>
      <c r="BI17" s="393">
        <f>IF($AW17&lt;&gt;BI$3,COUNTIF($AW$8:$AW17,"&lt;&gt;"&amp;BI$3),0)</f>
        <v>0</v>
      </c>
      <c r="BJ17" s="429" t="str">
        <f t="shared" si="6"/>
        <v/>
      </c>
      <c r="BK17" s="433"/>
      <c r="BL17" s="433"/>
    </row>
    <row r="18" spans="1:64" s="383" customFormat="1" ht="15" customHeight="1" thickTop="1">
      <c r="A18" s="1715" t="s">
        <v>561</v>
      </c>
      <c r="B18" s="1567" t="s">
        <v>610</v>
      </c>
      <c r="C18" s="1568"/>
      <c r="D18" s="1542" t="str">
        <f t="shared" ref="D18:D27" si="9">IF(W18,T18,"")</f>
        <v>家庭的保育者</v>
      </c>
      <c r="E18" s="1543"/>
      <c r="F18" s="1675"/>
      <c r="G18" s="1676"/>
      <c r="H18" s="1677"/>
      <c r="I18" s="704" t="str">
        <f>IF(OR(NOT(W18),U18=0),"",U18)</f>
        <v/>
      </c>
      <c r="J18" s="770" t="str">
        <f t="shared" ref="J18:J30" si="10">IF(OR(F18=0,F18=""),"",IF(W18,IF(X18,IF(OR(Y18,V18=3),IF(AD18,IF(OR(AE18,V18=2,V18=3),"○","要常勤"),"時間無"),"重複"),"名簿無"),"対象外"))</f>
        <v/>
      </c>
      <c r="K18" s="798"/>
      <c r="L18" s="478" t="str">
        <f t="shared" ref="L18:L33" si="11">IF(AI18=1,"調整①→",IF(AI18=5,"調整②→",IF(AI18=2,"",IF(AI18=3,"全計上→","エラー"))))</f>
        <v/>
      </c>
      <c r="M18" s="449">
        <f>IF(OR(AND(J18&lt;&gt;"",J18&lt;&gt;"○"),AI18=4),"×",IF(J18="",0,AJ18/$AM$2))</f>
        <v>0</v>
      </c>
      <c r="N18" s="1734">
        <f>SUM(M18:M27)</f>
        <v>0</v>
      </c>
      <c r="O18" s="1413" t="str">
        <f>IF(Q18,IF(S18,"○","×"),"-")</f>
        <v>○</v>
      </c>
      <c r="P18" s="445"/>
      <c r="Q18" s="1410" t="b">
        <f>TRUE()</f>
        <v>1</v>
      </c>
      <c r="R18" s="1410" t="s">
        <v>616</v>
      </c>
      <c r="S18" s="1659" t="b">
        <f>AND(O81&gt;=0,O83&gt;=0)</f>
        <v>1</v>
      </c>
      <c r="T18" s="451" t="str">
        <f>$AZ$6</f>
        <v>家庭的保育者</v>
      </c>
      <c r="U18" s="430">
        <f t="shared" ref="U18:U27" si="12">IFERROR(VLOOKUP($F18,$AU$8:$AX$107,4,FALSE),0)</f>
        <v>0</v>
      </c>
      <c r="V18" s="451">
        <v>2</v>
      </c>
      <c r="W18" s="451" t="b">
        <f>$Q$18</f>
        <v>1</v>
      </c>
      <c r="X18" s="446" t="b">
        <f t="shared" ref="X18:X30" ca="1" si="13">COUNTIF(INDIRECT(T18),F18)&gt;0</f>
        <v>0</v>
      </c>
      <c r="Y18" s="447" t="b">
        <f>COUNTIF($AC$17:AC17,AC18)+COUNTIF(AC19:$AC$65,AC18)-COUNTIF(Z18:AB18,AC18)=0</f>
        <v>0</v>
      </c>
      <c r="Z18" s="680" t="s">
        <v>536</v>
      </c>
      <c r="AA18" s="680" t="s">
        <v>536</v>
      </c>
      <c r="AB18" s="680" t="s">
        <v>536</v>
      </c>
      <c r="AC18" s="764">
        <f t="shared" ref="AC18:AC27" si="14">IF(V18=3,0,IFERROR(INDEX($AT$8:$AT$107,MATCH($F18,AU$8:AU$107,0),1),0))</f>
        <v>0</v>
      </c>
      <c r="AD18" s="431" t="b">
        <f t="shared" ref="AD18:AD27" si="15">U18&gt;0</f>
        <v>0</v>
      </c>
      <c r="AE18" s="394" t="b">
        <f t="shared" ref="AE18:AE27" si="16">IFERROR(VLOOKUP($F18,$AU$8:$AX$107,2,FALSE),"")="常勤"</f>
        <v>0</v>
      </c>
      <c r="AF18" s="451" t="s">
        <v>522</v>
      </c>
      <c r="AG18" s="458">
        <f t="shared" ref="AG18:AG27" si="17">M18</f>
        <v>0</v>
      </c>
      <c r="AH18" s="451">
        <v>2</v>
      </c>
      <c r="AI18" s="431">
        <f>IF(AND($W18,$J18="○"),IF($K18="-",IF($U18&lt;IF($AH18=5,$AL$4,$AL$3),$AH18,2),IF($K18=0,IF($U18&lt;IF($AH18=5,$AL$4,$AL$3),IF(OR($AH18=1,$AH18=5),$AH18,3),3),IF(K18&lt;IF($AH18=5,$AL$4,$AL$3),$AH18,IF($K18&gt;$U18,4,2)))),2)</f>
        <v>2</v>
      </c>
      <c r="AJ18" s="453">
        <f t="shared" ref="AJ18" si="18">IF(AI18=1,$AL$3,IF(AI18=5,$AL$4,IF(AI18=2,IF(K18="-",U18,K18),IF(AI18=3,U18,"×"))))</f>
        <v>0</v>
      </c>
      <c r="AQ18" s="434"/>
      <c r="AR18" s="434"/>
      <c r="AT18" s="393">
        <f t="shared" si="0"/>
        <v>11</v>
      </c>
      <c r="AU18" s="823" t="str">
        <f>AT18&amp;" "&amp;IF(AW18&lt;&gt;"-",【様式2】職員名簿!B49&amp;"/"&amp;AV18&amp;"/"&amp;AW18,"")</f>
        <v xml:space="preserve">11 </v>
      </c>
      <c r="AV18" s="823">
        <f>【様式2】職員名簿!E49</f>
        <v>0</v>
      </c>
      <c r="AW18" s="823" t="str">
        <f>IF(【様式2】職員名簿!J49="エラー","-",【様式2】職員名簿!J49)</f>
        <v>-</v>
      </c>
      <c r="AX18" s="394">
        <f>IF($AV18="常勤",$AM$2,IF($AV18="非常勤",【様式2】職員名簿!G49,0))</f>
        <v>0</v>
      </c>
      <c r="AY18" s="428">
        <f>IF($AW18=AY$3,COUNTIF($AW$8:$AW18,AY$3),0)</f>
        <v>0</v>
      </c>
      <c r="AZ18" s="429" t="str">
        <f t="shared" si="1"/>
        <v/>
      </c>
      <c r="BA18" s="430">
        <f>IF($AW18=BA$3,COUNTIF($AW$8:$AW18,BA$3),0)</f>
        <v>0</v>
      </c>
      <c r="BB18" s="429" t="str">
        <f t="shared" si="2"/>
        <v/>
      </c>
      <c r="BC18" s="431">
        <f>IF($AW18=BC$3,COUNTIF($AW$8:$AW18,BC$3),0)</f>
        <v>0</v>
      </c>
      <c r="BD18" s="429" t="str">
        <f t="shared" si="3"/>
        <v/>
      </c>
      <c r="BE18" s="393">
        <f>IF(OR($AW18=BE$3,$AW18=BE$4),COUNTIF($AW$8:$AW18,BE$3)+COUNTIF($AW$8:$AW18,BE$4),0)</f>
        <v>0</v>
      </c>
      <c r="BF18" s="429" t="str">
        <f t="shared" si="4"/>
        <v/>
      </c>
      <c r="BG18" s="393">
        <f>IF($AW18=BG$3,COUNTIF($AW$8:$AW18,BG$3),0)</f>
        <v>0</v>
      </c>
      <c r="BH18" s="429" t="str">
        <f t="shared" si="5"/>
        <v/>
      </c>
      <c r="BI18" s="393">
        <f>IF($AW18&lt;&gt;BI$3,COUNTIF($AW$8:$AW18,"&lt;&gt;"&amp;BI$3),0)</f>
        <v>0</v>
      </c>
      <c r="BJ18" s="429" t="str">
        <f t="shared" si="6"/>
        <v/>
      </c>
      <c r="BK18" s="433"/>
      <c r="BL18" s="433"/>
    </row>
    <row r="19" spans="1:64" s="383" customFormat="1" ht="15" customHeight="1">
      <c r="A19" s="1716"/>
      <c r="B19" s="1569"/>
      <c r="C19" s="1570"/>
      <c r="D19" s="1420" t="str">
        <f t="shared" si="9"/>
        <v>家庭的保育者</v>
      </c>
      <c r="E19" s="1421"/>
      <c r="F19" s="1422"/>
      <c r="G19" s="1423"/>
      <c r="H19" s="1424"/>
      <c r="I19" s="705" t="str">
        <f t="shared" ref="I19:I27" si="19">IF(OR(NOT(W19),U19=0),"",U19)</f>
        <v/>
      </c>
      <c r="J19" s="687" t="str">
        <f t="shared" si="10"/>
        <v/>
      </c>
      <c r="K19" s="799"/>
      <c r="L19" s="479" t="str">
        <f t="shared" si="11"/>
        <v/>
      </c>
      <c r="M19" s="490">
        <f t="shared" ref="M19:M27" si="20">IF(OR(AND(J19&lt;&gt;"",J19&lt;&gt;"○"),AI19=4),"×",IF(J19="",0,AJ19/$AM$2))</f>
        <v>0</v>
      </c>
      <c r="N19" s="1735"/>
      <c r="O19" s="1414"/>
      <c r="P19" s="445"/>
      <c r="Q19" s="1411"/>
      <c r="R19" s="1411"/>
      <c r="S19" s="1660"/>
      <c r="T19" s="451" t="str">
        <f t="shared" ref="T19:T27" si="21">$AZ$6</f>
        <v>家庭的保育者</v>
      </c>
      <c r="U19" s="430">
        <f t="shared" si="12"/>
        <v>0</v>
      </c>
      <c r="V19" s="451">
        <v>2</v>
      </c>
      <c r="W19" s="451" t="b">
        <f t="shared" ref="W19:W27" si="22">$Q$18</f>
        <v>1</v>
      </c>
      <c r="X19" s="446" t="b">
        <f t="shared" ca="1" si="13"/>
        <v>0</v>
      </c>
      <c r="Y19" s="447" t="b">
        <f>COUNTIF($AC$17:AC18,AC19)+COUNTIF(AC20:$AC$65,AC19)-COUNTIF(Z19:AB19,AC19)=0</f>
        <v>0</v>
      </c>
      <c r="Z19" s="768" t="s">
        <v>536</v>
      </c>
      <c r="AA19" s="768" t="s">
        <v>536</v>
      </c>
      <c r="AB19" s="768" t="s">
        <v>536</v>
      </c>
      <c r="AC19" s="764">
        <f t="shared" si="14"/>
        <v>0</v>
      </c>
      <c r="AD19" s="431" t="b">
        <f t="shared" si="15"/>
        <v>0</v>
      </c>
      <c r="AE19" s="394" t="b">
        <f t="shared" si="16"/>
        <v>0</v>
      </c>
      <c r="AF19" s="451" t="s">
        <v>536</v>
      </c>
      <c r="AG19" s="458">
        <f t="shared" si="17"/>
        <v>0</v>
      </c>
      <c r="AH19" s="451">
        <v>2</v>
      </c>
      <c r="AI19" s="431">
        <f t="shared" ref="AI19:AI34" si="23">IF(AND($W19,$J19="○"),IF($K19="-",IF($U19&lt;IF($AH19=5,$AL$4,$AL$3),$AH19,2),IF($K19=0,IF($U19&lt;IF($AH19=5,$AL$4,$AL$3),IF(OR($AH19=1,$AH19=5),$AH19,3),3),IF(K19&lt;IF($AH19=5,$AL$4,$AL$3),$AH19,IF($K19&gt;$U19,4,2)))),2)</f>
        <v>2</v>
      </c>
      <c r="AJ19" s="453">
        <f t="shared" ref="AJ19:AJ34" si="24">IF(AI19=1,$AL$3,IF(AI19=5,$AL$4,IF(AI19=2,IF(K19="-",U19,K19),IF(AI19=3,U19,"×"))))</f>
        <v>0</v>
      </c>
      <c r="AT19" s="393">
        <f t="shared" si="0"/>
        <v>12</v>
      </c>
      <c r="AU19" s="823" t="str">
        <f>AT19&amp;" "&amp;IF(AW19&lt;&gt;"-",【様式2】職員名簿!B50&amp;"/"&amp;AV19&amp;"/"&amp;AW19,"")</f>
        <v xml:space="preserve">12 </v>
      </c>
      <c r="AV19" s="823">
        <f>【様式2】職員名簿!E50</f>
        <v>0</v>
      </c>
      <c r="AW19" s="823" t="str">
        <f>IF(【様式2】職員名簿!J50="エラー","-",【様式2】職員名簿!J50)</f>
        <v>-</v>
      </c>
      <c r="AX19" s="394">
        <f>IF($AV19="常勤",$AM$2,IF($AV19="非常勤",【様式2】職員名簿!G50,0))</f>
        <v>0</v>
      </c>
      <c r="AY19" s="428">
        <f>IF($AW19=AY$3,COUNTIF($AW$8:$AW19,AY$3),0)</f>
        <v>0</v>
      </c>
      <c r="AZ19" s="429" t="str">
        <f t="shared" si="1"/>
        <v/>
      </c>
      <c r="BA19" s="430">
        <f>IF($AW19=BA$3,COUNTIF($AW$8:$AW19,BA$3),0)</f>
        <v>0</v>
      </c>
      <c r="BB19" s="429" t="str">
        <f t="shared" si="2"/>
        <v/>
      </c>
      <c r="BC19" s="431">
        <f>IF($AW19=BC$3,COUNTIF($AW$8:$AW19,BC$3),0)</f>
        <v>0</v>
      </c>
      <c r="BD19" s="429" t="str">
        <f t="shared" si="3"/>
        <v/>
      </c>
      <c r="BE19" s="393">
        <f>IF(OR($AW19=BE$3,$AW19=BE$4),COUNTIF($AW$8:$AW19,BE$3)+COUNTIF($AW$8:$AW19,BE$4),0)</f>
        <v>0</v>
      </c>
      <c r="BF19" s="429" t="str">
        <f t="shared" si="4"/>
        <v/>
      </c>
      <c r="BG19" s="393">
        <f>IF($AW19=BG$3,COUNTIF($AW$8:$AW19,BG$3),0)</f>
        <v>0</v>
      </c>
      <c r="BH19" s="429" t="str">
        <f t="shared" si="5"/>
        <v/>
      </c>
      <c r="BI19" s="393">
        <f>IF($AW19&lt;&gt;BI$3,COUNTIF($AW$8:$AW19,"&lt;&gt;"&amp;BI$3),0)</f>
        <v>0</v>
      </c>
      <c r="BJ19" s="429" t="str">
        <f t="shared" si="6"/>
        <v/>
      </c>
      <c r="BK19" s="433"/>
      <c r="BL19" s="433"/>
    </row>
    <row r="20" spans="1:64" s="383" customFormat="1" ht="15" customHeight="1">
      <c r="A20" s="1716"/>
      <c r="B20" s="1569"/>
      <c r="C20" s="1570"/>
      <c r="D20" s="1420" t="str">
        <f t="shared" si="9"/>
        <v>家庭的保育者</v>
      </c>
      <c r="E20" s="1421"/>
      <c r="F20" s="1422"/>
      <c r="G20" s="1423"/>
      <c r="H20" s="1424"/>
      <c r="I20" s="705" t="str">
        <f t="shared" si="19"/>
        <v/>
      </c>
      <c r="J20" s="687" t="str">
        <f t="shared" si="10"/>
        <v/>
      </c>
      <c r="K20" s="799"/>
      <c r="L20" s="479" t="str">
        <f t="shared" si="11"/>
        <v/>
      </c>
      <c r="M20" s="490">
        <f t="shared" si="20"/>
        <v>0</v>
      </c>
      <c r="N20" s="1735"/>
      <c r="O20" s="1414"/>
      <c r="P20" s="445"/>
      <c r="Q20" s="1411"/>
      <c r="R20" s="1411"/>
      <c r="S20" s="1660"/>
      <c r="T20" s="451" t="str">
        <f t="shared" si="21"/>
        <v>家庭的保育者</v>
      </c>
      <c r="U20" s="430">
        <f t="shared" si="12"/>
        <v>0</v>
      </c>
      <c r="V20" s="451">
        <v>2</v>
      </c>
      <c r="W20" s="451" t="b">
        <f t="shared" si="22"/>
        <v>1</v>
      </c>
      <c r="X20" s="446" t="b">
        <f t="shared" ca="1" si="13"/>
        <v>0</v>
      </c>
      <c r="Y20" s="447" t="b">
        <f>COUNTIF($AC$17:AC19,AC20)+COUNTIF(AC21:$AC$65,AC20)-COUNTIF(Z20:AB20,AC20)=0</f>
        <v>0</v>
      </c>
      <c r="Z20" s="768" t="s">
        <v>536</v>
      </c>
      <c r="AA20" s="768" t="s">
        <v>536</v>
      </c>
      <c r="AB20" s="768" t="s">
        <v>536</v>
      </c>
      <c r="AC20" s="764">
        <f t="shared" si="14"/>
        <v>0</v>
      </c>
      <c r="AD20" s="431" t="b">
        <f t="shared" si="15"/>
        <v>0</v>
      </c>
      <c r="AE20" s="394" t="b">
        <f t="shared" si="16"/>
        <v>0</v>
      </c>
      <c r="AF20" s="451" t="s">
        <v>536</v>
      </c>
      <c r="AG20" s="458">
        <f t="shared" si="17"/>
        <v>0</v>
      </c>
      <c r="AH20" s="451">
        <v>2</v>
      </c>
      <c r="AI20" s="431">
        <f t="shared" si="23"/>
        <v>2</v>
      </c>
      <c r="AJ20" s="453">
        <f t="shared" si="24"/>
        <v>0</v>
      </c>
      <c r="AL20" s="435"/>
      <c r="AT20" s="393">
        <f t="shared" si="0"/>
        <v>13</v>
      </c>
      <c r="AU20" s="823" t="str">
        <f>AT20&amp;" "&amp;IF(AW20&lt;&gt;"-",【様式2】職員名簿!B51&amp;"/"&amp;AV20&amp;"/"&amp;AW20,"")</f>
        <v xml:space="preserve">13 </v>
      </c>
      <c r="AV20" s="823">
        <f>【様式2】職員名簿!E51</f>
        <v>0</v>
      </c>
      <c r="AW20" s="823" t="str">
        <f>IF(【様式2】職員名簿!J51="エラー","-",【様式2】職員名簿!J51)</f>
        <v>-</v>
      </c>
      <c r="AX20" s="394">
        <f>IF($AV20="常勤",$AM$2,IF($AV20="非常勤",【様式2】職員名簿!G51,0))</f>
        <v>0</v>
      </c>
      <c r="AY20" s="428">
        <f>IF($AW20=AY$3,COUNTIF($AW$8:$AW20,AY$3),0)</f>
        <v>0</v>
      </c>
      <c r="AZ20" s="429" t="str">
        <f t="shared" si="1"/>
        <v/>
      </c>
      <c r="BA20" s="430">
        <f>IF($AW20=BA$3,COUNTIF($AW$8:$AW20,BA$3),0)</f>
        <v>0</v>
      </c>
      <c r="BB20" s="429" t="str">
        <f t="shared" si="2"/>
        <v/>
      </c>
      <c r="BC20" s="431">
        <f>IF($AW20=BC$3,COUNTIF($AW$8:$AW20,BC$3),0)</f>
        <v>0</v>
      </c>
      <c r="BD20" s="429" t="str">
        <f t="shared" si="3"/>
        <v/>
      </c>
      <c r="BE20" s="393">
        <f>IF(OR($AW20=BE$3,$AW20=BE$4),COUNTIF($AW$8:$AW20,BE$3)+COUNTIF($AW$8:$AW20,BE$4),0)</f>
        <v>0</v>
      </c>
      <c r="BF20" s="429" t="str">
        <f t="shared" si="4"/>
        <v/>
      </c>
      <c r="BG20" s="393">
        <f>IF($AW20=BG$3,COUNTIF($AW$8:$AW20,BG$3),0)</f>
        <v>0</v>
      </c>
      <c r="BH20" s="429" t="str">
        <f t="shared" si="5"/>
        <v/>
      </c>
      <c r="BI20" s="393">
        <f>IF($AW20&lt;&gt;BI$3,COUNTIF($AW$8:$AW20,"&lt;&gt;"&amp;BI$3),0)</f>
        <v>0</v>
      </c>
      <c r="BJ20" s="429" t="str">
        <f t="shared" si="6"/>
        <v/>
      </c>
      <c r="BK20" s="433"/>
      <c r="BL20" s="433"/>
    </row>
    <row r="21" spans="1:64" s="383" customFormat="1" ht="15" customHeight="1">
      <c r="A21" s="1716"/>
      <c r="B21" s="1569"/>
      <c r="C21" s="1570"/>
      <c r="D21" s="1420" t="str">
        <f t="shared" si="9"/>
        <v>家庭的保育者</v>
      </c>
      <c r="E21" s="1421"/>
      <c r="F21" s="1422"/>
      <c r="G21" s="1423"/>
      <c r="H21" s="1424"/>
      <c r="I21" s="705" t="str">
        <f t="shared" si="19"/>
        <v/>
      </c>
      <c r="J21" s="687" t="str">
        <f t="shared" si="10"/>
        <v/>
      </c>
      <c r="K21" s="799"/>
      <c r="L21" s="479" t="str">
        <f t="shared" si="11"/>
        <v/>
      </c>
      <c r="M21" s="490">
        <f t="shared" si="20"/>
        <v>0</v>
      </c>
      <c r="N21" s="1735"/>
      <c r="O21" s="1414"/>
      <c r="P21" s="445"/>
      <c r="Q21" s="1411"/>
      <c r="R21" s="1411"/>
      <c r="S21" s="1660"/>
      <c r="T21" s="451" t="str">
        <f t="shared" si="21"/>
        <v>家庭的保育者</v>
      </c>
      <c r="U21" s="430">
        <f t="shared" si="12"/>
        <v>0</v>
      </c>
      <c r="V21" s="451">
        <v>2</v>
      </c>
      <c r="W21" s="451" t="b">
        <f t="shared" si="22"/>
        <v>1</v>
      </c>
      <c r="X21" s="446" t="b">
        <f t="shared" ca="1" si="13"/>
        <v>0</v>
      </c>
      <c r="Y21" s="447" t="b">
        <f>COUNTIF($AC$17:AC20,AC21)+COUNTIF(AC22:$AC$65,AC21)-COUNTIF(Z21:AB21,AC21)=0</f>
        <v>0</v>
      </c>
      <c r="Z21" s="768" t="s">
        <v>536</v>
      </c>
      <c r="AA21" s="768" t="s">
        <v>536</v>
      </c>
      <c r="AB21" s="768" t="s">
        <v>536</v>
      </c>
      <c r="AC21" s="764">
        <f t="shared" si="14"/>
        <v>0</v>
      </c>
      <c r="AD21" s="431" t="b">
        <f t="shared" si="15"/>
        <v>0</v>
      </c>
      <c r="AE21" s="394" t="b">
        <f t="shared" si="16"/>
        <v>0</v>
      </c>
      <c r="AF21" s="451" t="s">
        <v>536</v>
      </c>
      <c r="AG21" s="458">
        <f t="shared" si="17"/>
        <v>0</v>
      </c>
      <c r="AH21" s="451">
        <v>2</v>
      </c>
      <c r="AI21" s="431">
        <f t="shared" si="23"/>
        <v>2</v>
      </c>
      <c r="AJ21" s="453">
        <f t="shared" si="24"/>
        <v>0</v>
      </c>
      <c r="AL21" s="435"/>
      <c r="AT21" s="393">
        <f t="shared" si="0"/>
        <v>14</v>
      </c>
      <c r="AU21" s="823" t="str">
        <f>AT21&amp;" "&amp;IF(AW21&lt;&gt;"-",【様式2】職員名簿!B52&amp;"/"&amp;AV21&amp;"/"&amp;AW21,"")</f>
        <v xml:space="preserve">14 </v>
      </c>
      <c r="AV21" s="823">
        <f>【様式2】職員名簿!E52</f>
        <v>0</v>
      </c>
      <c r="AW21" s="823" t="str">
        <f>IF(【様式2】職員名簿!J52="エラー","-",【様式2】職員名簿!J52)</f>
        <v>-</v>
      </c>
      <c r="AX21" s="394">
        <f>IF($AV21="常勤",$AM$2,IF($AV21="非常勤",【様式2】職員名簿!G52,0))</f>
        <v>0</v>
      </c>
      <c r="AY21" s="428">
        <f>IF($AW21=AY$3,COUNTIF($AW$8:$AW21,AY$3),0)</f>
        <v>0</v>
      </c>
      <c r="AZ21" s="429" t="str">
        <f t="shared" si="1"/>
        <v/>
      </c>
      <c r="BA21" s="430">
        <f>IF($AW21=BA$3,COUNTIF($AW$8:$AW21,BA$3),0)</f>
        <v>0</v>
      </c>
      <c r="BB21" s="429" t="str">
        <f t="shared" si="2"/>
        <v/>
      </c>
      <c r="BC21" s="431">
        <f>IF($AW21=BC$3,COUNTIF($AW$8:$AW21,BC$3),0)</f>
        <v>0</v>
      </c>
      <c r="BD21" s="429" t="str">
        <f t="shared" si="3"/>
        <v/>
      </c>
      <c r="BE21" s="393">
        <f>IF(OR($AW21=BE$3,$AW21=BE$4),COUNTIF($AW$8:$AW21,BE$3)+COUNTIF($AW$8:$AW21,BE$4),0)</f>
        <v>0</v>
      </c>
      <c r="BF21" s="429" t="str">
        <f t="shared" si="4"/>
        <v/>
      </c>
      <c r="BG21" s="393">
        <f>IF($AW21=BG$3,COUNTIF($AW$8:$AW21,BG$3),0)</f>
        <v>0</v>
      </c>
      <c r="BH21" s="429" t="str">
        <f t="shared" si="5"/>
        <v/>
      </c>
      <c r="BI21" s="393">
        <f>IF($AW21&lt;&gt;BI$3,COUNTIF($AW$8:$AW21,"&lt;&gt;"&amp;BI$3),0)</f>
        <v>0</v>
      </c>
      <c r="BJ21" s="429" t="str">
        <f t="shared" si="6"/>
        <v/>
      </c>
      <c r="BK21" s="433"/>
      <c r="BL21" s="433"/>
    </row>
    <row r="22" spans="1:64" s="383" customFormat="1" ht="15" customHeight="1">
      <c r="A22" s="1716"/>
      <c r="B22" s="1569"/>
      <c r="C22" s="1570"/>
      <c r="D22" s="1420" t="str">
        <f t="shared" si="9"/>
        <v>家庭的保育者</v>
      </c>
      <c r="E22" s="1421"/>
      <c r="F22" s="1422"/>
      <c r="G22" s="1423"/>
      <c r="H22" s="1424"/>
      <c r="I22" s="705" t="str">
        <f t="shared" si="19"/>
        <v/>
      </c>
      <c r="J22" s="687" t="str">
        <f t="shared" si="10"/>
        <v/>
      </c>
      <c r="K22" s="799"/>
      <c r="L22" s="479" t="str">
        <f t="shared" si="11"/>
        <v/>
      </c>
      <c r="M22" s="490">
        <f t="shared" si="20"/>
        <v>0</v>
      </c>
      <c r="N22" s="1735"/>
      <c r="O22" s="1414"/>
      <c r="P22" s="445"/>
      <c r="Q22" s="1411"/>
      <c r="R22" s="1411"/>
      <c r="S22" s="1660"/>
      <c r="T22" s="451" t="str">
        <f t="shared" si="21"/>
        <v>家庭的保育者</v>
      </c>
      <c r="U22" s="430">
        <f t="shared" si="12"/>
        <v>0</v>
      </c>
      <c r="V22" s="451">
        <v>2</v>
      </c>
      <c r="W22" s="451" t="b">
        <f t="shared" si="22"/>
        <v>1</v>
      </c>
      <c r="X22" s="446" t="b">
        <f t="shared" ca="1" si="13"/>
        <v>0</v>
      </c>
      <c r="Y22" s="447" t="b">
        <f>COUNTIF($AC$17:AC21,AC22)+COUNTIF(AC23:$AC$65,AC22)-COUNTIF(Z22:AB22,AC22)=0</f>
        <v>0</v>
      </c>
      <c r="Z22" s="768" t="s">
        <v>536</v>
      </c>
      <c r="AA22" s="768" t="s">
        <v>536</v>
      </c>
      <c r="AB22" s="768" t="s">
        <v>536</v>
      </c>
      <c r="AC22" s="764">
        <f t="shared" si="14"/>
        <v>0</v>
      </c>
      <c r="AD22" s="431" t="b">
        <f t="shared" si="15"/>
        <v>0</v>
      </c>
      <c r="AE22" s="394" t="b">
        <f t="shared" si="16"/>
        <v>0</v>
      </c>
      <c r="AF22" s="451" t="s">
        <v>536</v>
      </c>
      <c r="AG22" s="458">
        <f t="shared" si="17"/>
        <v>0</v>
      </c>
      <c r="AH22" s="451">
        <v>2</v>
      </c>
      <c r="AI22" s="431">
        <f t="shared" si="23"/>
        <v>2</v>
      </c>
      <c r="AJ22" s="453">
        <f t="shared" si="24"/>
        <v>0</v>
      </c>
      <c r="AT22" s="393">
        <f t="shared" si="0"/>
        <v>15</v>
      </c>
      <c r="AU22" s="823" t="str">
        <f>AT22&amp;" "&amp;IF(AW22&lt;&gt;"-",【様式2】職員名簿!B53&amp;"/"&amp;AV22&amp;"/"&amp;AW22,"")</f>
        <v xml:space="preserve">15 </v>
      </c>
      <c r="AV22" s="823">
        <f>【様式2】職員名簿!E53</f>
        <v>0</v>
      </c>
      <c r="AW22" s="823" t="str">
        <f>IF(【様式2】職員名簿!J53="エラー","-",【様式2】職員名簿!J53)</f>
        <v>-</v>
      </c>
      <c r="AX22" s="394">
        <f>IF($AV22="常勤",$AM$2,IF($AV22="非常勤",【様式2】職員名簿!G53,0))</f>
        <v>0</v>
      </c>
      <c r="AY22" s="428">
        <f>IF($AW22=AY$3,COUNTIF($AW$8:$AW22,AY$3),0)</f>
        <v>0</v>
      </c>
      <c r="AZ22" s="429" t="str">
        <f t="shared" si="1"/>
        <v/>
      </c>
      <c r="BA22" s="430">
        <f>IF($AW22=BA$3,COUNTIF($AW$8:$AW22,BA$3),0)</f>
        <v>0</v>
      </c>
      <c r="BB22" s="429" t="str">
        <f t="shared" si="2"/>
        <v/>
      </c>
      <c r="BC22" s="431">
        <f>IF($AW22=BC$3,COUNTIF($AW$8:$AW22,BC$3),0)</f>
        <v>0</v>
      </c>
      <c r="BD22" s="429" t="str">
        <f t="shared" si="3"/>
        <v/>
      </c>
      <c r="BE22" s="393">
        <f>IF(OR($AW22=BE$3,$AW22=BE$4),COUNTIF($AW$8:$AW22,BE$3)+COUNTIF($AW$8:$AW22,BE$4),0)</f>
        <v>0</v>
      </c>
      <c r="BF22" s="429" t="str">
        <f t="shared" si="4"/>
        <v/>
      </c>
      <c r="BG22" s="393">
        <f>IF($AW22=BG$3,COUNTIF($AW$8:$AW22,BG$3),0)</f>
        <v>0</v>
      </c>
      <c r="BH22" s="429" t="str">
        <f t="shared" si="5"/>
        <v/>
      </c>
      <c r="BI22" s="393">
        <f>IF($AW22&lt;&gt;BI$3,COUNTIF($AW$8:$AW22,"&lt;&gt;"&amp;BI$3),0)</f>
        <v>0</v>
      </c>
      <c r="BJ22" s="429" t="str">
        <f t="shared" si="6"/>
        <v/>
      </c>
      <c r="BK22" s="433"/>
      <c r="BL22" s="433"/>
    </row>
    <row r="23" spans="1:64" s="383" customFormat="1" ht="15" customHeight="1">
      <c r="A23" s="1716"/>
      <c r="B23" s="1569"/>
      <c r="C23" s="1570"/>
      <c r="D23" s="1420" t="str">
        <f t="shared" si="9"/>
        <v>家庭的保育者</v>
      </c>
      <c r="E23" s="1421"/>
      <c r="F23" s="1422"/>
      <c r="G23" s="1423"/>
      <c r="H23" s="1424"/>
      <c r="I23" s="705" t="str">
        <f t="shared" si="19"/>
        <v/>
      </c>
      <c r="J23" s="687" t="str">
        <f t="shared" si="10"/>
        <v/>
      </c>
      <c r="K23" s="799"/>
      <c r="L23" s="479" t="str">
        <f t="shared" si="11"/>
        <v/>
      </c>
      <c r="M23" s="490">
        <f t="shared" si="20"/>
        <v>0</v>
      </c>
      <c r="N23" s="1735"/>
      <c r="O23" s="1414"/>
      <c r="P23" s="445"/>
      <c r="Q23" s="1411"/>
      <c r="R23" s="1411"/>
      <c r="S23" s="1660"/>
      <c r="T23" s="451" t="str">
        <f t="shared" si="21"/>
        <v>家庭的保育者</v>
      </c>
      <c r="U23" s="430">
        <f t="shared" si="12"/>
        <v>0</v>
      </c>
      <c r="V23" s="451">
        <v>2</v>
      </c>
      <c r="W23" s="451" t="b">
        <f t="shared" si="22"/>
        <v>1</v>
      </c>
      <c r="X23" s="446" t="b">
        <f t="shared" ca="1" si="13"/>
        <v>0</v>
      </c>
      <c r="Y23" s="447" t="b">
        <f>COUNTIF($AC$17:AC22,AC23)+COUNTIF(AC24:$AC$65,AC23)-COUNTIF(Z23:AB23,AC23)=0</f>
        <v>0</v>
      </c>
      <c r="Z23" s="768" t="s">
        <v>536</v>
      </c>
      <c r="AA23" s="768" t="s">
        <v>536</v>
      </c>
      <c r="AB23" s="768" t="s">
        <v>536</v>
      </c>
      <c r="AC23" s="764">
        <f t="shared" si="14"/>
        <v>0</v>
      </c>
      <c r="AD23" s="431" t="b">
        <f t="shared" si="15"/>
        <v>0</v>
      </c>
      <c r="AE23" s="394" t="b">
        <f t="shared" si="16"/>
        <v>0</v>
      </c>
      <c r="AF23" s="451" t="s">
        <v>536</v>
      </c>
      <c r="AG23" s="458">
        <f t="shared" si="17"/>
        <v>0</v>
      </c>
      <c r="AH23" s="451">
        <v>2</v>
      </c>
      <c r="AI23" s="431">
        <f t="shared" si="23"/>
        <v>2</v>
      </c>
      <c r="AJ23" s="453">
        <f t="shared" si="24"/>
        <v>0</v>
      </c>
      <c r="AT23" s="393">
        <f t="shared" si="0"/>
        <v>16</v>
      </c>
      <c r="AU23" s="823" t="str">
        <f>AT23&amp;" "&amp;IF(AW23&lt;&gt;"-",【様式2】職員名簿!B54&amp;"/"&amp;AV23&amp;"/"&amp;AW23,"")</f>
        <v xml:space="preserve">16 </v>
      </c>
      <c r="AV23" s="823">
        <f>【様式2】職員名簿!E54</f>
        <v>0</v>
      </c>
      <c r="AW23" s="823" t="str">
        <f>IF(【様式2】職員名簿!J54="エラー","-",【様式2】職員名簿!J54)</f>
        <v>-</v>
      </c>
      <c r="AX23" s="394">
        <f>IF($AV23="常勤",$AM$2,IF($AV23="非常勤",【様式2】職員名簿!G54,0))</f>
        <v>0</v>
      </c>
      <c r="AY23" s="428">
        <f>IF($AW23=AY$3,COUNTIF($AW$8:$AW23,AY$3),0)</f>
        <v>0</v>
      </c>
      <c r="AZ23" s="429" t="str">
        <f t="shared" si="1"/>
        <v/>
      </c>
      <c r="BA23" s="430">
        <f>IF($AW23=BA$3,COUNTIF($AW$8:$AW23,BA$3),0)</f>
        <v>0</v>
      </c>
      <c r="BB23" s="429" t="str">
        <f t="shared" si="2"/>
        <v/>
      </c>
      <c r="BC23" s="431">
        <f>IF($AW23=BC$3,COUNTIF($AW$8:$AW23,BC$3),0)</f>
        <v>0</v>
      </c>
      <c r="BD23" s="429" t="str">
        <f t="shared" si="3"/>
        <v/>
      </c>
      <c r="BE23" s="393">
        <f>IF(OR($AW23=BE$3,$AW23=BE$4),COUNTIF($AW$8:$AW23,BE$3)+COUNTIF($AW$8:$AW23,BE$4),0)</f>
        <v>0</v>
      </c>
      <c r="BF23" s="429" t="str">
        <f t="shared" si="4"/>
        <v/>
      </c>
      <c r="BG23" s="393">
        <f>IF($AW23=BG$3,COUNTIF($AW$8:$AW23,BG$3),0)</f>
        <v>0</v>
      </c>
      <c r="BH23" s="429" t="str">
        <f t="shared" si="5"/>
        <v/>
      </c>
      <c r="BI23" s="393">
        <f>IF($AW23&lt;&gt;BI$3,COUNTIF($AW$8:$AW23,"&lt;&gt;"&amp;BI$3),0)</f>
        <v>0</v>
      </c>
      <c r="BJ23" s="429" t="str">
        <f t="shared" si="6"/>
        <v/>
      </c>
      <c r="BK23" s="433"/>
      <c r="BL23" s="433"/>
    </row>
    <row r="24" spans="1:64" s="383" customFormat="1" ht="15" customHeight="1">
      <c r="A24" s="1716"/>
      <c r="B24" s="1569"/>
      <c r="C24" s="1570"/>
      <c r="D24" s="1420" t="str">
        <f t="shared" si="9"/>
        <v>家庭的保育者</v>
      </c>
      <c r="E24" s="1421"/>
      <c r="F24" s="1422"/>
      <c r="G24" s="1423"/>
      <c r="H24" s="1424"/>
      <c r="I24" s="705" t="str">
        <f t="shared" si="19"/>
        <v/>
      </c>
      <c r="J24" s="687" t="str">
        <f t="shared" si="10"/>
        <v/>
      </c>
      <c r="K24" s="799"/>
      <c r="L24" s="479" t="str">
        <f t="shared" si="11"/>
        <v/>
      </c>
      <c r="M24" s="490">
        <f t="shared" si="20"/>
        <v>0</v>
      </c>
      <c r="N24" s="1735"/>
      <c r="O24" s="1414"/>
      <c r="P24" s="445"/>
      <c r="Q24" s="1411"/>
      <c r="R24" s="1411"/>
      <c r="S24" s="1660"/>
      <c r="T24" s="451" t="str">
        <f t="shared" si="21"/>
        <v>家庭的保育者</v>
      </c>
      <c r="U24" s="430">
        <f t="shared" si="12"/>
        <v>0</v>
      </c>
      <c r="V24" s="451">
        <v>2</v>
      </c>
      <c r="W24" s="451" t="b">
        <f t="shared" si="22"/>
        <v>1</v>
      </c>
      <c r="X24" s="446" t="b">
        <f t="shared" ca="1" si="13"/>
        <v>0</v>
      </c>
      <c r="Y24" s="447" t="b">
        <f>COUNTIF($AC$17:AC23,AC24)+COUNTIF(AC25:$AC$65,AC24)-COUNTIF(Z24:AB24,AC24)=0</f>
        <v>0</v>
      </c>
      <c r="Z24" s="768" t="s">
        <v>536</v>
      </c>
      <c r="AA24" s="768" t="s">
        <v>536</v>
      </c>
      <c r="AB24" s="768" t="s">
        <v>536</v>
      </c>
      <c r="AC24" s="764">
        <f t="shared" si="14"/>
        <v>0</v>
      </c>
      <c r="AD24" s="431" t="b">
        <f t="shared" si="15"/>
        <v>0</v>
      </c>
      <c r="AE24" s="394" t="b">
        <f t="shared" si="16"/>
        <v>0</v>
      </c>
      <c r="AF24" s="451" t="s">
        <v>536</v>
      </c>
      <c r="AG24" s="458">
        <f t="shared" si="17"/>
        <v>0</v>
      </c>
      <c r="AH24" s="451">
        <v>2</v>
      </c>
      <c r="AI24" s="431">
        <f t="shared" si="23"/>
        <v>2</v>
      </c>
      <c r="AJ24" s="453">
        <f t="shared" si="24"/>
        <v>0</v>
      </c>
      <c r="AK24" s="435"/>
      <c r="AT24" s="393">
        <f t="shared" si="0"/>
        <v>17</v>
      </c>
      <c r="AU24" s="823" t="str">
        <f>AT24&amp;" "&amp;IF(AW24&lt;&gt;"-",【様式2】職員名簿!B55&amp;"/"&amp;AV24&amp;"/"&amp;AW24,"")</f>
        <v xml:space="preserve">17 </v>
      </c>
      <c r="AV24" s="823">
        <f>【様式2】職員名簿!E55</f>
        <v>0</v>
      </c>
      <c r="AW24" s="823" t="str">
        <f>IF(【様式2】職員名簿!J55="エラー","-",【様式2】職員名簿!J55)</f>
        <v>-</v>
      </c>
      <c r="AX24" s="394">
        <f>IF($AV24="常勤",$AM$2,IF($AV24="非常勤",【様式2】職員名簿!G55,0))</f>
        <v>0</v>
      </c>
      <c r="AY24" s="428">
        <f>IF($AW24=AY$3,COUNTIF($AW$8:$AW24,AY$3),0)</f>
        <v>0</v>
      </c>
      <c r="AZ24" s="429" t="str">
        <f t="shared" si="1"/>
        <v/>
      </c>
      <c r="BA24" s="430">
        <f>IF($AW24=BA$3,COUNTIF($AW$8:$AW24,BA$3),0)</f>
        <v>0</v>
      </c>
      <c r="BB24" s="429" t="str">
        <f t="shared" si="2"/>
        <v/>
      </c>
      <c r="BC24" s="431">
        <f>IF($AW24=BC$3,COUNTIF($AW$8:$AW24,BC$3),0)</f>
        <v>0</v>
      </c>
      <c r="BD24" s="429" t="str">
        <f t="shared" si="3"/>
        <v/>
      </c>
      <c r="BE24" s="393">
        <f>IF(OR($AW24=BE$3,$AW24=BE$4),COUNTIF($AW$8:$AW24,BE$3)+COUNTIF($AW$8:$AW24,BE$4),0)</f>
        <v>0</v>
      </c>
      <c r="BF24" s="429" t="str">
        <f t="shared" si="4"/>
        <v/>
      </c>
      <c r="BG24" s="393">
        <f>IF($AW24=BG$3,COUNTIF($AW$8:$AW24,BG$3),0)</f>
        <v>0</v>
      </c>
      <c r="BH24" s="429" t="str">
        <f t="shared" si="5"/>
        <v/>
      </c>
      <c r="BI24" s="393">
        <f>IF($AW24&lt;&gt;BI$3,COUNTIF($AW$8:$AW24,"&lt;&gt;"&amp;BI$3),0)</f>
        <v>0</v>
      </c>
      <c r="BJ24" s="429" t="str">
        <f t="shared" si="6"/>
        <v/>
      </c>
      <c r="BK24" s="433"/>
      <c r="BL24" s="433"/>
    </row>
    <row r="25" spans="1:64" s="383" customFormat="1" ht="15" customHeight="1">
      <c r="A25" s="1716"/>
      <c r="B25" s="1569"/>
      <c r="C25" s="1570"/>
      <c r="D25" s="1420" t="str">
        <f t="shared" si="9"/>
        <v>家庭的保育者</v>
      </c>
      <c r="E25" s="1421"/>
      <c r="F25" s="1422"/>
      <c r="G25" s="1423"/>
      <c r="H25" s="1424"/>
      <c r="I25" s="705" t="str">
        <f t="shared" si="19"/>
        <v/>
      </c>
      <c r="J25" s="687" t="str">
        <f t="shared" si="10"/>
        <v/>
      </c>
      <c r="K25" s="799"/>
      <c r="L25" s="479" t="str">
        <f t="shared" si="11"/>
        <v/>
      </c>
      <c r="M25" s="490">
        <f t="shared" si="20"/>
        <v>0</v>
      </c>
      <c r="N25" s="1735"/>
      <c r="O25" s="1414"/>
      <c r="P25" s="445"/>
      <c r="Q25" s="1411"/>
      <c r="R25" s="1411"/>
      <c r="S25" s="1660"/>
      <c r="T25" s="451" t="str">
        <f t="shared" si="21"/>
        <v>家庭的保育者</v>
      </c>
      <c r="U25" s="430">
        <f t="shared" si="12"/>
        <v>0</v>
      </c>
      <c r="V25" s="451">
        <v>2</v>
      </c>
      <c r="W25" s="451" t="b">
        <f t="shared" si="22"/>
        <v>1</v>
      </c>
      <c r="X25" s="446" t="b">
        <f t="shared" ca="1" si="13"/>
        <v>0</v>
      </c>
      <c r="Y25" s="447" t="b">
        <f>COUNTIF($AC$17:AC24,AC25)+COUNTIF(AC26:$AC$65,AC25)-COUNTIF(Z25:AB25,AC25)=0</f>
        <v>0</v>
      </c>
      <c r="Z25" s="768" t="s">
        <v>536</v>
      </c>
      <c r="AA25" s="768" t="s">
        <v>536</v>
      </c>
      <c r="AB25" s="768" t="s">
        <v>536</v>
      </c>
      <c r="AC25" s="764">
        <f t="shared" si="14"/>
        <v>0</v>
      </c>
      <c r="AD25" s="431" t="b">
        <f t="shared" si="15"/>
        <v>0</v>
      </c>
      <c r="AE25" s="394" t="b">
        <f t="shared" si="16"/>
        <v>0</v>
      </c>
      <c r="AF25" s="451" t="s">
        <v>536</v>
      </c>
      <c r="AG25" s="458">
        <f t="shared" si="17"/>
        <v>0</v>
      </c>
      <c r="AH25" s="451">
        <v>2</v>
      </c>
      <c r="AI25" s="431">
        <f t="shared" si="23"/>
        <v>2</v>
      </c>
      <c r="AJ25" s="453">
        <f t="shared" si="24"/>
        <v>0</v>
      </c>
      <c r="AK25" s="435"/>
      <c r="AT25" s="393">
        <f t="shared" si="0"/>
        <v>18</v>
      </c>
      <c r="AU25" s="823" t="str">
        <f>AT25&amp;" "&amp;IF(AW25&lt;&gt;"-",【様式2】職員名簿!B56&amp;"/"&amp;AV25&amp;"/"&amp;AW25,"")</f>
        <v xml:space="preserve">18 </v>
      </c>
      <c r="AV25" s="823">
        <f>【様式2】職員名簿!E56</f>
        <v>0</v>
      </c>
      <c r="AW25" s="823" t="str">
        <f>IF(【様式2】職員名簿!J56="エラー","-",【様式2】職員名簿!J56)</f>
        <v>-</v>
      </c>
      <c r="AX25" s="394">
        <f>IF($AV25="常勤",$AM$2,IF($AV25="非常勤",【様式2】職員名簿!G56,0))</f>
        <v>0</v>
      </c>
      <c r="AY25" s="428">
        <f>IF($AW25=AY$3,COUNTIF($AW$8:$AW25,AY$3),0)</f>
        <v>0</v>
      </c>
      <c r="AZ25" s="429" t="str">
        <f t="shared" si="1"/>
        <v/>
      </c>
      <c r="BA25" s="430">
        <f>IF($AW25=BA$3,COUNTIF($AW$8:$AW25,BA$3),0)</f>
        <v>0</v>
      </c>
      <c r="BB25" s="429" t="str">
        <f t="shared" si="2"/>
        <v/>
      </c>
      <c r="BC25" s="431">
        <f>IF($AW25=BC$3,COUNTIF($AW$8:$AW25,BC$3),0)</f>
        <v>0</v>
      </c>
      <c r="BD25" s="429" t="str">
        <f t="shared" si="3"/>
        <v/>
      </c>
      <c r="BE25" s="393">
        <f>IF(OR($AW25=BE$3,$AW25=BE$4),COUNTIF($AW$8:$AW25,BE$3)+COUNTIF($AW$8:$AW25,BE$4),0)</f>
        <v>0</v>
      </c>
      <c r="BF25" s="429" t="str">
        <f t="shared" si="4"/>
        <v/>
      </c>
      <c r="BG25" s="393">
        <f>IF($AW25=BG$3,COUNTIF($AW$8:$AW25,BG$3),0)</f>
        <v>0</v>
      </c>
      <c r="BH25" s="429" t="str">
        <f t="shared" si="5"/>
        <v/>
      </c>
      <c r="BI25" s="393">
        <f>IF($AW25&lt;&gt;BI$3,COUNTIF($AW$8:$AW25,"&lt;&gt;"&amp;BI$3),0)</f>
        <v>0</v>
      </c>
      <c r="BJ25" s="429" t="str">
        <f t="shared" si="6"/>
        <v/>
      </c>
      <c r="BK25" s="433"/>
      <c r="BL25" s="433"/>
    </row>
    <row r="26" spans="1:64" s="383" customFormat="1" ht="15" customHeight="1">
      <c r="A26" s="1716"/>
      <c r="B26" s="1569"/>
      <c r="C26" s="1570"/>
      <c r="D26" s="1420" t="str">
        <f t="shared" si="9"/>
        <v>家庭的保育者</v>
      </c>
      <c r="E26" s="1421"/>
      <c r="F26" s="1422"/>
      <c r="G26" s="1423"/>
      <c r="H26" s="1424"/>
      <c r="I26" s="705" t="str">
        <f t="shared" si="19"/>
        <v/>
      </c>
      <c r="J26" s="687" t="str">
        <f t="shared" si="10"/>
        <v/>
      </c>
      <c r="K26" s="799"/>
      <c r="L26" s="479" t="str">
        <f t="shared" si="11"/>
        <v/>
      </c>
      <c r="M26" s="490">
        <f t="shared" si="20"/>
        <v>0</v>
      </c>
      <c r="N26" s="1735"/>
      <c r="O26" s="1414"/>
      <c r="P26" s="445"/>
      <c r="Q26" s="1411"/>
      <c r="R26" s="1411"/>
      <c r="S26" s="1660"/>
      <c r="T26" s="451" t="str">
        <f t="shared" si="21"/>
        <v>家庭的保育者</v>
      </c>
      <c r="U26" s="430">
        <f t="shared" si="12"/>
        <v>0</v>
      </c>
      <c r="V26" s="451">
        <v>2</v>
      </c>
      <c r="W26" s="451" t="b">
        <f t="shared" si="22"/>
        <v>1</v>
      </c>
      <c r="X26" s="446" t="b">
        <f t="shared" ca="1" si="13"/>
        <v>0</v>
      </c>
      <c r="Y26" s="447" t="b">
        <f>COUNTIF($AC$17:AC25,AC26)+COUNTIF(AC27:$AC$65,AC26)-COUNTIF(Z26:AB26,AC26)=0</f>
        <v>0</v>
      </c>
      <c r="Z26" s="768" t="s">
        <v>536</v>
      </c>
      <c r="AA26" s="768" t="s">
        <v>536</v>
      </c>
      <c r="AB26" s="768" t="s">
        <v>536</v>
      </c>
      <c r="AC26" s="764">
        <f t="shared" si="14"/>
        <v>0</v>
      </c>
      <c r="AD26" s="431" t="b">
        <f t="shared" si="15"/>
        <v>0</v>
      </c>
      <c r="AE26" s="394" t="b">
        <f t="shared" si="16"/>
        <v>0</v>
      </c>
      <c r="AF26" s="451" t="s">
        <v>536</v>
      </c>
      <c r="AG26" s="458">
        <f t="shared" si="17"/>
        <v>0</v>
      </c>
      <c r="AH26" s="451">
        <v>2</v>
      </c>
      <c r="AI26" s="431">
        <f t="shared" si="23"/>
        <v>2</v>
      </c>
      <c r="AJ26" s="453">
        <f t="shared" si="24"/>
        <v>0</v>
      </c>
      <c r="AK26" s="435"/>
      <c r="AL26" s="435"/>
      <c r="AT26" s="393">
        <f t="shared" si="0"/>
        <v>19</v>
      </c>
      <c r="AU26" s="823" t="str">
        <f>AT26&amp;" "&amp;IF(AW26&lt;&gt;"-",【様式2】職員名簿!B57&amp;"/"&amp;AV26&amp;"/"&amp;AW26,"")</f>
        <v xml:space="preserve">19 </v>
      </c>
      <c r="AV26" s="823">
        <f>【様式2】職員名簿!E57</f>
        <v>0</v>
      </c>
      <c r="AW26" s="823" t="str">
        <f>IF(【様式2】職員名簿!J57="エラー","-",【様式2】職員名簿!J57)</f>
        <v>-</v>
      </c>
      <c r="AX26" s="394">
        <f>IF($AV26="常勤",$AM$2,IF($AV26="非常勤",【様式2】職員名簿!G57,0))</f>
        <v>0</v>
      </c>
      <c r="AY26" s="428">
        <f>IF($AW26=AY$3,COUNTIF($AW$8:$AW26,AY$3),0)</f>
        <v>0</v>
      </c>
      <c r="AZ26" s="429" t="str">
        <f t="shared" si="1"/>
        <v/>
      </c>
      <c r="BA26" s="430">
        <f>IF($AW26=BA$3,COUNTIF($AW$8:$AW26,BA$3),0)</f>
        <v>0</v>
      </c>
      <c r="BB26" s="429" t="str">
        <f t="shared" si="2"/>
        <v/>
      </c>
      <c r="BC26" s="431">
        <f>IF($AW26=BC$3,COUNTIF($AW$8:$AW26,BC$3),0)</f>
        <v>0</v>
      </c>
      <c r="BD26" s="429" t="str">
        <f t="shared" si="3"/>
        <v/>
      </c>
      <c r="BE26" s="393">
        <f>IF(OR($AW26=BE$3,$AW26=BE$4),COUNTIF($AW$8:$AW26,BE$3)+COUNTIF($AW$8:$AW26,BE$4),0)</f>
        <v>0</v>
      </c>
      <c r="BF26" s="429" t="str">
        <f t="shared" si="4"/>
        <v/>
      </c>
      <c r="BG26" s="393">
        <f>IF($AW26=BG$3,COUNTIF($AW$8:$AW26,BG$3),0)</f>
        <v>0</v>
      </c>
      <c r="BH26" s="429" t="str">
        <f t="shared" si="5"/>
        <v/>
      </c>
      <c r="BI26" s="393">
        <f>IF($AW26&lt;&gt;BI$3,COUNTIF($AW$8:$AW26,"&lt;&gt;"&amp;BI$3),0)</f>
        <v>0</v>
      </c>
      <c r="BJ26" s="429" t="str">
        <f t="shared" si="6"/>
        <v/>
      </c>
      <c r="BK26" s="433"/>
      <c r="BL26" s="433"/>
    </row>
    <row r="27" spans="1:64" s="383" customFormat="1" ht="15" customHeight="1">
      <c r="A27" s="1716"/>
      <c r="B27" s="1569"/>
      <c r="C27" s="1570"/>
      <c r="D27" s="1531" t="str">
        <f t="shared" si="9"/>
        <v>家庭的保育者</v>
      </c>
      <c r="E27" s="1667"/>
      <c r="F27" s="1668"/>
      <c r="G27" s="1669"/>
      <c r="H27" s="1670"/>
      <c r="I27" s="706" t="str">
        <f t="shared" si="19"/>
        <v/>
      </c>
      <c r="J27" s="459" t="str">
        <f t="shared" si="10"/>
        <v/>
      </c>
      <c r="K27" s="800"/>
      <c r="L27" s="454" t="str">
        <f t="shared" si="11"/>
        <v/>
      </c>
      <c r="M27" s="455">
        <f t="shared" si="20"/>
        <v>0</v>
      </c>
      <c r="N27" s="1735"/>
      <c r="O27" s="1415"/>
      <c r="P27" s="445"/>
      <c r="Q27" s="1412"/>
      <c r="R27" s="1412"/>
      <c r="S27" s="1661"/>
      <c r="T27" s="451" t="str">
        <f t="shared" si="21"/>
        <v>家庭的保育者</v>
      </c>
      <c r="U27" s="430">
        <f t="shared" si="12"/>
        <v>0</v>
      </c>
      <c r="V27" s="451">
        <v>2</v>
      </c>
      <c r="W27" s="451" t="b">
        <f t="shared" si="22"/>
        <v>1</v>
      </c>
      <c r="X27" s="446" t="b">
        <f t="shared" ca="1" si="13"/>
        <v>0</v>
      </c>
      <c r="Y27" s="447" t="b">
        <f>COUNTIF($AC$17:AC26,AC27)+COUNTIF(AC28:$AC$65,AC27)-COUNTIF(Z27:AB27,AC27)=0</f>
        <v>0</v>
      </c>
      <c r="Z27" s="768" t="s">
        <v>536</v>
      </c>
      <c r="AA27" s="768" t="s">
        <v>536</v>
      </c>
      <c r="AB27" s="768" t="s">
        <v>536</v>
      </c>
      <c r="AC27" s="764">
        <f t="shared" si="14"/>
        <v>0</v>
      </c>
      <c r="AD27" s="431" t="b">
        <f t="shared" si="15"/>
        <v>0</v>
      </c>
      <c r="AE27" s="394" t="b">
        <f t="shared" si="16"/>
        <v>0</v>
      </c>
      <c r="AF27" s="451" t="s">
        <v>536</v>
      </c>
      <c r="AG27" s="458">
        <f t="shared" si="17"/>
        <v>0</v>
      </c>
      <c r="AH27" s="451">
        <v>2</v>
      </c>
      <c r="AI27" s="431">
        <f t="shared" si="23"/>
        <v>2</v>
      </c>
      <c r="AJ27" s="453">
        <f t="shared" si="24"/>
        <v>0</v>
      </c>
      <c r="AK27" s="435"/>
      <c r="AL27" s="435"/>
      <c r="AT27" s="393">
        <f t="shared" si="0"/>
        <v>20</v>
      </c>
      <c r="AU27" s="823" t="str">
        <f>AT27&amp;" "&amp;IF(AW27&lt;&gt;"-",【様式2】職員名簿!B58&amp;"/"&amp;AV27&amp;"/"&amp;AW27,"")</f>
        <v xml:space="preserve">20 </v>
      </c>
      <c r="AV27" s="823">
        <f>【様式2】職員名簿!E58</f>
        <v>0</v>
      </c>
      <c r="AW27" s="823" t="str">
        <f>IF(【様式2】職員名簿!J58="エラー","-",【様式2】職員名簿!J58)</f>
        <v>-</v>
      </c>
      <c r="AX27" s="394">
        <f>IF($AV27="常勤",$AM$2,IF($AV27="非常勤",【様式2】職員名簿!G58,0))</f>
        <v>0</v>
      </c>
      <c r="AY27" s="428">
        <f>IF($AW27=AY$3,COUNTIF($AW$8:$AW27,AY$3),0)</f>
        <v>0</v>
      </c>
      <c r="AZ27" s="429" t="str">
        <f t="shared" si="1"/>
        <v/>
      </c>
      <c r="BA27" s="430">
        <f>IF($AW27=BA$3,COUNTIF($AW$8:$AW27,BA$3),0)</f>
        <v>0</v>
      </c>
      <c r="BB27" s="429" t="str">
        <f t="shared" si="2"/>
        <v/>
      </c>
      <c r="BC27" s="431">
        <f>IF($AW27=BC$3,COUNTIF($AW$8:$AW27,BC$3),0)</f>
        <v>0</v>
      </c>
      <c r="BD27" s="429" t="str">
        <f t="shared" si="3"/>
        <v/>
      </c>
      <c r="BE27" s="393">
        <f>IF(OR($AW27=BE$3,$AW27=BE$4),COUNTIF($AW$8:$AW27,BE$3)+COUNTIF($AW$8:$AW27,BE$4),0)</f>
        <v>0</v>
      </c>
      <c r="BF27" s="429" t="str">
        <f t="shared" si="4"/>
        <v/>
      </c>
      <c r="BG27" s="393">
        <f>IF($AW27=BG$3,COUNTIF($AW$8:$AW27,BG$3),0)</f>
        <v>0</v>
      </c>
      <c r="BH27" s="429" t="str">
        <f t="shared" si="5"/>
        <v/>
      </c>
      <c r="BI27" s="393">
        <f>IF($AW27&lt;&gt;BI$3,COUNTIF($AW$8:$AW27,"&lt;&gt;"&amp;BI$3),0)</f>
        <v>0</v>
      </c>
      <c r="BJ27" s="429" t="str">
        <f t="shared" si="6"/>
        <v/>
      </c>
      <c r="BK27" s="433"/>
      <c r="BL27" s="433"/>
    </row>
    <row r="28" spans="1:64" s="383" customFormat="1" ht="15" customHeight="1">
      <c r="A28" s="1716"/>
      <c r="B28" s="1509" t="s">
        <v>98</v>
      </c>
      <c r="C28" s="1510"/>
      <c r="D28" s="1665" t="str">
        <f>IF(W28,T28,"")</f>
        <v>調理員</v>
      </c>
      <c r="E28" s="1666"/>
      <c r="F28" s="1662" t="str">
        <f>IF(R28=1,"非常勤１名",IF(R28=2,"業務委託","エラー：個票0を見直すこと"))</f>
        <v>エラー：個票0を見直すこと</v>
      </c>
      <c r="G28" s="1663"/>
      <c r="H28" s="1663"/>
      <c r="I28" s="1663"/>
      <c r="J28" s="1663"/>
      <c r="K28" s="1664"/>
      <c r="L28" s="681" t="s">
        <v>634</v>
      </c>
      <c r="M28" s="682" t="s">
        <v>487</v>
      </c>
      <c r="N28" s="633" t="str">
        <f t="shared" ref="N28:N33" si="25">IF(Q28,"○","×")</f>
        <v>○</v>
      </c>
      <c r="O28" s="1671" t="str">
        <f>IF(Q28,IF(S28,"○","×"),"-")</f>
        <v>×</v>
      </c>
      <c r="P28" s="445"/>
      <c r="Q28" s="467" t="b">
        <f>TRUE()</f>
        <v>1</v>
      </c>
      <c r="R28" s="684">
        <f>IF(【様式１】総括表・個票!AI55,1,IF(【様式１】総括表・個票!AI56,2,0))</f>
        <v>0</v>
      </c>
      <c r="S28" s="684" t="b">
        <f>AND(O85&gt;=0,IF(Q29,S29,TRUE),IF(Q30,S30,TRUE),OR(Q29,Q30))</f>
        <v>0</v>
      </c>
      <c r="T28" s="451" t="str">
        <f>$BF$6</f>
        <v>調理員</v>
      </c>
      <c r="U28" s="430" t="s">
        <v>637</v>
      </c>
      <c r="V28" s="451" t="s">
        <v>536</v>
      </c>
      <c r="W28" s="451" t="b">
        <f>Q28</f>
        <v>1</v>
      </c>
      <c r="X28" s="446" t="s">
        <v>536</v>
      </c>
      <c r="Y28" s="447" t="s">
        <v>536</v>
      </c>
      <c r="Z28" s="768" t="s">
        <v>536</v>
      </c>
      <c r="AA28" s="768" t="s">
        <v>536</v>
      </c>
      <c r="AB28" s="768" t="s">
        <v>536</v>
      </c>
      <c r="AC28" s="457" t="s">
        <v>536</v>
      </c>
      <c r="AD28" s="464" t="s">
        <v>536</v>
      </c>
      <c r="AE28" s="465" t="s">
        <v>536</v>
      </c>
      <c r="AF28" s="451" t="s">
        <v>536</v>
      </c>
      <c r="AG28" s="451" t="s">
        <v>536</v>
      </c>
      <c r="AH28" s="451" t="s">
        <v>536</v>
      </c>
      <c r="AI28" s="431" t="s">
        <v>536</v>
      </c>
      <c r="AJ28" s="453" t="s">
        <v>536</v>
      </c>
      <c r="AK28" s="435"/>
      <c r="AL28" s="435"/>
      <c r="AT28" s="393">
        <f t="shared" si="0"/>
        <v>21</v>
      </c>
      <c r="AU28" s="823" t="str">
        <f>AT28&amp;" "&amp;IF(AW28&lt;&gt;"-",【様式2】職員名簿!B59&amp;"/"&amp;AV28&amp;"/"&amp;AW28,"")</f>
        <v xml:space="preserve">21 </v>
      </c>
      <c r="AV28" s="823">
        <f>【様式2】職員名簿!E59</f>
        <v>0</v>
      </c>
      <c r="AW28" s="823" t="str">
        <f>IF(【様式2】職員名簿!J59="エラー","-",【様式2】職員名簿!J59)</f>
        <v>-</v>
      </c>
      <c r="AX28" s="394">
        <f>IF($AV28="常勤",$AM$2,IF($AV28="非常勤",【様式2】職員名簿!G59,0))</f>
        <v>0</v>
      </c>
      <c r="AY28" s="428">
        <f>IF($AW28=AY$3,COUNTIF($AW$8:$AW28,AY$3),0)</f>
        <v>0</v>
      </c>
      <c r="AZ28" s="429" t="str">
        <f t="shared" si="1"/>
        <v/>
      </c>
      <c r="BA28" s="430">
        <f>IF($AW28=BA$3,COUNTIF($AW$8:$AW28,BA$3),0)</f>
        <v>0</v>
      </c>
      <c r="BB28" s="429" t="str">
        <f t="shared" si="2"/>
        <v/>
      </c>
      <c r="BC28" s="431">
        <f>IF($AW28=BC$3,COUNTIF($AW$8:$AW28,BC$3),0)</f>
        <v>0</v>
      </c>
      <c r="BD28" s="429" t="str">
        <f t="shared" si="3"/>
        <v/>
      </c>
      <c r="BE28" s="393">
        <f>IF(OR($AW28=BE$3,$AW28=BE$4),COUNTIF($AW$8:$AW28,BE$3)+COUNTIF($AW$8:$AW28,BE$4),0)</f>
        <v>0</v>
      </c>
      <c r="BF28" s="429" t="str">
        <f t="shared" si="4"/>
        <v/>
      </c>
      <c r="BG28" s="393">
        <f>IF($AW28=BG$3,COUNTIF($AW$8:$AW28,BG$3),0)</f>
        <v>0</v>
      </c>
      <c r="BH28" s="429" t="str">
        <f t="shared" si="5"/>
        <v/>
      </c>
      <c r="BI28" s="393">
        <f>IF($AW28&lt;&gt;BI$3,COUNTIF($AW$8:$AW28,"&lt;&gt;"&amp;BI$3),0)</f>
        <v>0</v>
      </c>
      <c r="BJ28" s="429" t="str">
        <f t="shared" si="6"/>
        <v/>
      </c>
      <c r="BK28" s="433"/>
      <c r="BL28" s="433"/>
    </row>
    <row r="29" spans="1:64" s="383" customFormat="1" ht="15" customHeight="1">
      <c r="A29" s="1716"/>
      <c r="B29" s="1511"/>
      <c r="C29" s="1512"/>
      <c r="D29" s="1437" t="str">
        <f>IF(R28=1,"雇用",IF(R28=2,"委託","エラー"))</f>
        <v>エラー</v>
      </c>
      <c r="E29" s="685" t="str">
        <f>IF(W29,T29,"")</f>
        <v/>
      </c>
      <c r="F29" s="1424"/>
      <c r="G29" s="1504"/>
      <c r="H29" s="1504"/>
      <c r="I29" s="705" t="str">
        <f>IF(OR(NOT(W29),U29=0),"",U29)</f>
        <v/>
      </c>
      <c r="J29" s="687" t="str">
        <f t="shared" si="10"/>
        <v/>
      </c>
      <c r="K29" s="685" t="s">
        <v>522</v>
      </c>
      <c r="L29" s="479" t="str">
        <f t="shared" si="11"/>
        <v/>
      </c>
      <c r="M29" s="490">
        <f>IF(OR(AND(J29&lt;&gt;"",J29&lt;&gt;"○"),AI29=4),"×",IF(J29="",0,AJ29/$AM$2))</f>
        <v>0</v>
      </c>
      <c r="N29" s="456" t="str">
        <f t="shared" si="25"/>
        <v>×</v>
      </c>
      <c r="O29" s="1672"/>
      <c r="P29" s="445"/>
      <c r="Q29" s="467" t="b">
        <f>R29</f>
        <v>0</v>
      </c>
      <c r="R29" s="451" t="b">
        <f>R28=1</f>
        <v>0</v>
      </c>
      <c r="S29" s="451" t="b">
        <f>AND(J29="○",O85&gt;=0)</f>
        <v>0</v>
      </c>
      <c r="T29" s="451" t="str">
        <f>$BF$6</f>
        <v>調理員</v>
      </c>
      <c r="U29" s="430">
        <f>IFERROR(VLOOKUP($F29,$AU$8:$AX$107,4,FALSE),0)</f>
        <v>0</v>
      </c>
      <c r="V29" s="451">
        <v>2</v>
      </c>
      <c r="W29" s="451" t="b">
        <f>AND(Q29,R29)</f>
        <v>0</v>
      </c>
      <c r="X29" s="446" t="b">
        <f t="shared" ca="1" si="13"/>
        <v>0</v>
      </c>
      <c r="Y29" s="447" t="b">
        <f>COUNTIF($AC$17:AC28,AC29)+COUNTIF(AC30:$AC$65,AC29)-COUNTIF(Z29:AB29,AC29)=0</f>
        <v>0</v>
      </c>
      <c r="Z29" s="768" t="s">
        <v>536</v>
      </c>
      <c r="AA29" s="768" t="s">
        <v>536</v>
      </c>
      <c r="AB29" s="768" t="s">
        <v>536</v>
      </c>
      <c r="AC29" s="764">
        <f>IF(V29=3,0,IFERROR(INDEX($AT$8:$AT$107,MATCH($F29,AU$8:AU$107,0),1),0))</f>
        <v>0</v>
      </c>
      <c r="AD29" s="431" t="b">
        <f t="shared" ref="AD29:AD30" si="26">U29&gt;0</f>
        <v>0</v>
      </c>
      <c r="AE29" s="394" t="b">
        <f>IFERROR(VLOOKUP($F29,$AU$8:$AX$107,2,FALSE),"")="常勤"</f>
        <v>0</v>
      </c>
      <c r="AF29" s="451" t="s">
        <v>536</v>
      </c>
      <c r="AG29" s="451" t="s">
        <v>536</v>
      </c>
      <c r="AH29" s="451">
        <v>1</v>
      </c>
      <c r="AI29" s="431">
        <f t="shared" si="23"/>
        <v>2</v>
      </c>
      <c r="AJ29" s="453">
        <f t="shared" si="24"/>
        <v>0</v>
      </c>
      <c r="AK29" s="435"/>
      <c r="AL29" s="435"/>
      <c r="AT29" s="393">
        <f t="shared" si="0"/>
        <v>22</v>
      </c>
      <c r="AU29" s="823" t="str">
        <f>AT29&amp;" "&amp;IF(AW29&lt;&gt;"-",【様式2】職員名簿!B60&amp;"/"&amp;AV29&amp;"/"&amp;AW29,"")</f>
        <v xml:space="preserve">22 </v>
      </c>
      <c r="AV29" s="823">
        <f>【様式2】職員名簿!E60</f>
        <v>0</v>
      </c>
      <c r="AW29" s="823" t="str">
        <f>IF(【様式2】職員名簿!J60="エラー","-",【様式2】職員名簿!J60)</f>
        <v>-</v>
      </c>
      <c r="AX29" s="394">
        <f>IF($AV29="常勤",$AM$2,IF($AV29="非常勤",【様式2】職員名簿!G60,0))</f>
        <v>0</v>
      </c>
      <c r="AY29" s="428">
        <f>IF($AW29=AY$3,COUNTIF($AW$8:$AW29,AY$3),0)</f>
        <v>0</v>
      </c>
      <c r="AZ29" s="429" t="str">
        <f t="shared" si="1"/>
        <v/>
      </c>
      <c r="BA29" s="430">
        <f>IF($AW29=BA$3,COUNTIF($AW$8:$AW29,BA$3),0)</f>
        <v>0</v>
      </c>
      <c r="BB29" s="429" t="str">
        <f t="shared" si="2"/>
        <v/>
      </c>
      <c r="BC29" s="431">
        <f>IF($AW29=BC$3,COUNTIF($AW$8:$AW29,BC$3),0)</f>
        <v>0</v>
      </c>
      <c r="BD29" s="429" t="str">
        <f t="shared" si="3"/>
        <v/>
      </c>
      <c r="BE29" s="393">
        <f>IF(OR($AW29=BE$3,$AW29=BE$4),COUNTIF($AW$8:$AW29,BE$3)+COUNTIF($AW$8:$AW29,BE$4),0)</f>
        <v>0</v>
      </c>
      <c r="BF29" s="429" t="str">
        <f t="shared" si="4"/>
        <v/>
      </c>
      <c r="BG29" s="393">
        <f>IF($AW29=BG$3,COUNTIF($AW$8:$AW29,BG$3),0)</f>
        <v>0</v>
      </c>
      <c r="BH29" s="429" t="str">
        <f t="shared" si="5"/>
        <v/>
      </c>
      <c r="BI29" s="393">
        <f>IF($AW29&lt;&gt;BI$3,COUNTIF($AW$8:$AW29,"&lt;&gt;"&amp;BI$3),0)</f>
        <v>0</v>
      </c>
      <c r="BJ29" s="429" t="str">
        <f t="shared" si="6"/>
        <v/>
      </c>
      <c r="BK29" s="433"/>
      <c r="BL29" s="433"/>
    </row>
    <row r="30" spans="1:64" s="383" customFormat="1" ht="15" customHeight="1">
      <c r="A30" s="1716"/>
      <c r="B30" s="1513"/>
      <c r="C30" s="1514"/>
      <c r="D30" s="1674"/>
      <c r="E30" s="685" t="str">
        <f>IF(W30,T30,"")</f>
        <v/>
      </c>
      <c r="F30" s="1532" t="str">
        <f>IF(W30,BL10,"")</f>
        <v/>
      </c>
      <c r="G30" s="1532"/>
      <c r="H30" s="1532"/>
      <c r="I30" s="706" t="str">
        <f>IF(OR(NOT(W30),U30=0),"",U30)</f>
        <v/>
      </c>
      <c r="J30" s="459" t="str">
        <f t="shared" si="10"/>
        <v/>
      </c>
      <c r="K30" s="669" t="s">
        <v>634</v>
      </c>
      <c r="L30" s="471" t="s">
        <v>635</v>
      </c>
      <c r="M30" s="455" t="s">
        <v>635</v>
      </c>
      <c r="N30" s="683" t="str">
        <f t="shared" si="25"/>
        <v>×</v>
      </c>
      <c r="O30" s="1673"/>
      <c r="P30" s="445"/>
      <c r="Q30" s="450" t="b">
        <f>R30</f>
        <v>0</v>
      </c>
      <c r="R30" s="451" t="b">
        <f>R28=2</f>
        <v>0</v>
      </c>
      <c r="S30" s="452" t="b">
        <f>AND(J30="○",$O$85&gt;=0)</f>
        <v>0</v>
      </c>
      <c r="T30" s="451" t="str">
        <f>BL6</f>
        <v>業務委託</v>
      </c>
      <c r="U30" s="686">
        <f>BM10</f>
        <v>0</v>
      </c>
      <c r="V30" s="451">
        <v>3</v>
      </c>
      <c r="W30" s="451" t="b">
        <f>AND(Q30,R30)</f>
        <v>0</v>
      </c>
      <c r="X30" s="446" t="b">
        <f t="shared" ca="1" si="13"/>
        <v>0</v>
      </c>
      <c r="Y30" s="447" t="b">
        <f>COUNTIF($AC$17:AC29,AC30)+COUNTIF(AC31:$AC$65,AC30)-COUNTIF(Z30:AB30,AC30)=0</f>
        <v>0</v>
      </c>
      <c r="Z30" s="768" t="s">
        <v>536</v>
      </c>
      <c r="AA30" s="768" t="s">
        <v>536</v>
      </c>
      <c r="AB30" s="768" t="s">
        <v>536</v>
      </c>
      <c r="AC30" s="457">
        <f>IF(V30=3,0,IFERROR(INDEX($AT$8:$AT$107,MATCH($F30,AU$8:AU$107,0),1),0))</f>
        <v>0</v>
      </c>
      <c r="AD30" s="464" t="b">
        <f t="shared" si="26"/>
        <v>0</v>
      </c>
      <c r="AE30" s="465" t="b">
        <f>IFERROR(VLOOKUP($F30,$AU$8:$AX$107,2,FALSE),"")="常勤"</f>
        <v>0</v>
      </c>
      <c r="AF30" s="451" t="s">
        <v>536</v>
      </c>
      <c r="AG30" s="451" t="s">
        <v>536</v>
      </c>
      <c r="AH30" s="451">
        <v>2</v>
      </c>
      <c r="AI30" s="431">
        <f t="shared" si="23"/>
        <v>2</v>
      </c>
      <c r="AJ30" s="453">
        <f t="shared" si="24"/>
        <v>0</v>
      </c>
      <c r="AK30" s="435"/>
      <c r="AL30" s="435"/>
      <c r="AS30" s="448"/>
      <c r="AT30" s="393">
        <f t="shared" si="0"/>
        <v>23</v>
      </c>
      <c r="AU30" s="823" t="str">
        <f>AT30&amp;" "&amp;IF(AW30&lt;&gt;"-",【様式2】職員名簿!B61&amp;"/"&amp;AV30&amp;"/"&amp;AW30,"")</f>
        <v xml:space="preserve">23 </v>
      </c>
      <c r="AV30" s="823">
        <f>【様式2】職員名簿!E61</f>
        <v>0</v>
      </c>
      <c r="AW30" s="823" t="str">
        <f>IF(【様式2】職員名簿!J61="エラー","-",【様式2】職員名簿!J61)</f>
        <v>-</v>
      </c>
      <c r="AX30" s="394">
        <f>IF($AV30="常勤",$AM$2,IF($AV30="非常勤",【様式2】職員名簿!G61,0))</f>
        <v>0</v>
      </c>
      <c r="AY30" s="428">
        <f>IF($AW30=AY$3,COUNTIF($AW$8:$AW30,AY$3),0)</f>
        <v>0</v>
      </c>
      <c r="AZ30" s="429" t="str">
        <f t="shared" si="1"/>
        <v/>
      </c>
      <c r="BA30" s="430">
        <f>IF($AW30=BA$3,COUNTIF($AW$8:$AW30,BA$3),0)</f>
        <v>0</v>
      </c>
      <c r="BB30" s="429" t="str">
        <f t="shared" si="2"/>
        <v/>
      </c>
      <c r="BC30" s="431">
        <f>IF($AW30=BC$3,COUNTIF($AW$8:$AW30,BC$3),0)</f>
        <v>0</v>
      </c>
      <c r="BD30" s="429" t="str">
        <f t="shared" si="3"/>
        <v/>
      </c>
      <c r="BE30" s="393">
        <f>IF(OR($AW30=BE$3,$AW30=BE$4),COUNTIF($AW$8:$AW30,BE$3)+COUNTIF($AW$8:$AW30,BE$4),0)</f>
        <v>0</v>
      </c>
      <c r="BF30" s="429" t="str">
        <f t="shared" si="4"/>
        <v/>
      </c>
      <c r="BG30" s="393">
        <f>IF($AW30=BG$3,COUNTIF($AW$8:$AW30,BG$3),0)</f>
        <v>0</v>
      </c>
      <c r="BH30" s="429" t="str">
        <f t="shared" si="5"/>
        <v/>
      </c>
      <c r="BI30" s="393">
        <f>IF($AW30&lt;&gt;BI$3,COUNTIF($AW$8:$AW30,"&lt;&gt;"&amp;BI$3),0)</f>
        <v>0</v>
      </c>
      <c r="BJ30" s="429" t="str">
        <f t="shared" si="6"/>
        <v/>
      </c>
      <c r="BK30" s="433"/>
      <c r="BL30" s="433"/>
    </row>
    <row r="31" spans="1:64" s="383" customFormat="1" ht="15" customHeight="1">
      <c r="A31" s="1716"/>
      <c r="B31" s="1509" t="s">
        <v>225</v>
      </c>
      <c r="C31" s="1510"/>
      <c r="D31" s="1665" t="s">
        <v>562</v>
      </c>
      <c r="E31" s="1666"/>
      <c r="F31" s="1662" t="str">
        <f>IF(R31=1,"非常勤１名",IF(R31=2,"兼務１名",IF(R31=3,"業務委託",IF(R31=4,"配置免除","エラー：個票0を見直すこと"))))</f>
        <v>エラー：個票0を見直すこと</v>
      </c>
      <c r="G31" s="1663"/>
      <c r="H31" s="1663"/>
      <c r="I31" s="1663"/>
      <c r="J31" s="1663"/>
      <c r="K31" s="1664"/>
      <c r="L31" s="681" t="s">
        <v>487</v>
      </c>
      <c r="M31" s="682" t="s">
        <v>487</v>
      </c>
      <c r="N31" s="633" t="str">
        <f t="shared" si="25"/>
        <v>○</v>
      </c>
      <c r="O31" s="1671" t="str">
        <f>IF(Q31,IF(S31,"○","×"),"-")</f>
        <v>×</v>
      </c>
      <c r="P31" s="445"/>
      <c r="Q31" s="467" t="b">
        <f>TRUE()</f>
        <v>1</v>
      </c>
      <c r="R31" s="451">
        <f>IF(【様式１】総括表・個票!AI51,1,IF(【様式１】総括表・個票!AI52,2,IF(【様式１】総括表・個票!AI53,3,IF(【様式１】総括表・個票!AI48,4,0))))</f>
        <v>0</v>
      </c>
      <c r="S31" s="684" t="b">
        <f>AND(O87&gt;=0,OR(AND(IF(Q32,S32,TRUE),IF(Q33,S33,TRUE),IF(Q34,S34,TRUE),OR(Q32,Q33,Q34)),R31=4))</f>
        <v>0</v>
      </c>
      <c r="T31" s="451" t="str">
        <f>$BH$6</f>
        <v>事務員</v>
      </c>
      <c r="U31" s="686" t="s">
        <v>636</v>
      </c>
      <c r="V31" s="451" t="s">
        <v>636</v>
      </c>
      <c r="W31" s="451" t="b">
        <f>Q31</f>
        <v>1</v>
      </c>
      <c r="X31" s="446" t="s">
        <v>636</v>
      </c>
      <c r="Y31" s="447" t="s">
        <v>636</v>
      </c>
      <c r="Z31" s="768" t="s">
        <v>536</v>
      </c>
      <c r="AA31" s="768" t="s">
        <v>536</v>
      </c>
      <c r="AB31" s="768" t="s">
        <v>536</v>
      </c>
      <c r="AC31" s="764" t="s">
        <v>536</v>
      </c>
      <c r="AD31" s="464" t="s">
        <v>536</v>
      </c>
      <c r="AE31" s="465" t="s">
        <v>536</v>
      </c>
      <c r="AF31" s="451" t="s">
        <v>536</v>
      </c>
      <c r="AG31" s="451" t="s">
        <v>536</v>
      </c>
      <c r="AH31" s="451" t="s">
        <v>536</v>
      </c>
      <c r="AI31" s="431" t="s">
        <v>536</v>
      </c>
      <c r="AJ31" s="453" t="s">
        <v>536</v>
      </c>
      <c r="AK31" s="435"/>
      <c r="AL31" s="435"/>
      <c r="AS31" s="448"/>
      <c r="AT31" s="393">
        <f t="shared" si="0"/>
        <v>24</v>
      </c>
      <c r="AU31" s="823" t="str">
        <f>AT31&amp;" "&amp;IF(AW31&lt;&gt;"-",【様式2】職員名簿!B62&amp;"/"&amp;AV31&amp;"/"&amp;AW31,"")</f>
        <v xml:space="preserve">24 </v>
      </c>
      <c r="AV31" s="823">
        <f>【様式2】職員名簿!E62</f>
        <v>0</v>
      </c>
      <c r="AW31" s="823" t="str">
        <f>IF(【様式2】職員名簿!J62="エラー","-",【様式2】職員名簿!J62)</f>
        <v>-</v>
      </c>
      <c r="AX31" s="394">
        <f>IF($AV31="常勤",$AM$2,IF($AV31="非常勤",【様式2】職員名簿!G62,0))</f>
        <v>0</v>
      </c>
      <c r="AY31" s="428">
        <f>IF($AW31=AY$3,COUNTIF($AW$8:$AW31,AY$3),0)</f>
        <v>0</v>
      </c>
      <c r="AZ31" s="429" t="str">
        <f t="shared" si="1"/>
        <v/>
      </c>
      <c r="BA31" s="430">
        <f>IF($AW31=BA$3,COUNTIF($AW$8:$AW31,BA$3),0)</f>
        <v>0</v>
      </c>
      <c r="BB31" s="429" t="str">
        <f t="shared" si="2"/>
        <v/>
      </c>
      <c r="BC31" s="431">
        <f>IF($AW31=BC$3,COUNTIF($AW$8:$AW31,BC$3),0)</f>
        <v>0</v>
      </c>
      <c r="BD31" s="429" t="str">
        <f t="shared" si="3"/>
        <v/>
      </c>
      <c r="BE31" s="393">
        <f>IF(OR($AW31=BE$3,$AW31=BE$4),COUNTIF($AW$8:$AW31,BE$3)+COUNTIF($AW$8:$AW31,BE$4),0)</f>
        <v>0</v>
      </c>
      <c r="BF31" s="429" t="str">
        <f t="shared" si="4"/>
        <v/>
      </c>
      <c r="BG31" s="393">
        <f>IF($AW31=BG$3,COUNTIF($AW$8:$AW31,BG$3),0)</f>
        <v>0</v>
      </c>
      <c r="BH31" s="429" t="str">
        <f t="shared" si="5"/>
        <v/>
      </c>
      <c r="BI31" s="393">
        <f>IF($AW31&lt;&gt;BI$3,COUNTIF($AW$8:$AW31,"&lt;&gt;"&amp;BI$3),0)</f>
        <v>0</v>
      </c>
      <c r="BJ31" s="429" t="str">
        <f t="shared" si="6"/>
        <v/>
      </c>
      <c r="BK31" s="433"/>
      <c r="BL31" s="433"/>
    </row>
    <row r="32" spans="1:64" s="383" customFormat="1" ht="15" customHeight="1">
      <c r="A32" s="1716"/>
      <c r="B32" s="1511"/>
      <c r="C32" s="1512"/>
      <c r="D32" s="1437" t="str">
        <f>IF(R31=1,"専任",IF(R31=2,"兼務",IF(R31=3,"委託",IF(R31=4,"免除","エラー"))))</f>
        <v>エラー</v>
      </c>
      <c r="E32" s="685" t="str">
        <f>IF(W32,T32,"")</f>
        <v/>
      </c>
      <c r="F32" s="1504"/>
      <c r="G32" s="1504"/>
      <c r="H32" s="1504"/>
      <c r="I32" s="705" t="str">
        <f t="shared" ref="I32:I34" si="27">IF(OR(NOT(W32),U32=0),"",U32)</f>
        <v/>
      </c>
      <c r="J32" s="687" t="str">
        <f t="shared" ref="J32:J34" si="28">IF(OR(F32=0,F32=""),"",IF(W32,IF(X32,IF(OR(Y32,V32=3),IF(AD32,IF(OR(AE32,V32=2,V32=3),"○","要常勤"),"時間無"),"重複"),"名簿無"),"対象外"))</f>
        <v/>
      </c>
      <c r="K32" s="685" t="s">
        <v>522</v>
      </c>
      <c r="L32" s="479" t="str">
        <f t="shared" si="11"/>
        <v/>
      </c>
      <c r="M32" s="490">
        <f>IF(OR(AND(J32&lt;&gt;"",J32&lt;&gt;"○"),AI32=4),"×",IF(J32="",0,AJ32/$AM$2))</f>
        <v>0</v>
      </c>
      <c r="N32" s="456" t="str">
        <f t="shared" si="25"/>
        <v>×</v>
      </c>
      <c r="O32" s="1672" t="str">
        <f t="shared" ref="O32:O34" si="29">IF(Q32,IF(S32,"○","×"),"-")</f>
        <v>-</v>
      </c>
      <c r="P32" s="445"/>
      <c r="Q32" s="450" t="b">
        <f>R32</f>
        <v>0</v>
      </c>
      <c r="R32" s="451" t="b">
        <f>R31=1</f>
        <v>0</v>
      </c>
      <c r="S32" s="452" t="b">
        <f>AND(J32="○",$O$87&gt;=0)</f>
        <v>0</v>
      </c>
      <c r="T32" s="451" t="str">
        <f>$BH$6</f>
        <v>事務員</v>
      </c>
      <c r="U32" s="430">
        <f>IFERROR(VLOOKUP($F32,$AU$8:$AX$107,4,FALSE),0)</f>
        <v>0</v>
      </c>
      <c r="V32" s="451">
        <v>2</v>
      </c>
      <c r="W32" s="451" t="b">
        <f>R32</f>
        <v>0</v>
      </c>
      <c r="X32" s="446" t="b">
        <f t="shared" ref="X32:X34" ca="1" si="30">COUNTIF(INDIRECT(T32),F32)&gt;0</f>
        <v>0</v>
      </c>
      <c r="Y32" s="447" t="b">
        <f>COUNTIF($AC$17:AC31,AC32)+COUNTIF(AC33:$AC$65,AC32)-COUNTIF(Z32:AB32,AC32)=0</f>
        <v>0</v>
      </c>
      <c r="Z32" s="768" t="s">
        <v>536</v>
      </c>
      <c r="AA32" s="768" t="s">
        <v>536</v>
      </c>
      <c r="AB32" s="768" t="s">
        <v>536</v>
      </c>
      <c r="AC32" s="764">
        <f>IF(V32=3,0,IFERROR(INDEX($AT$8:$AT$107,MATCH($F32,AU$8:AU$107,0),1),0))</f>
        <v>0</v>
      </c>
      <c r="AD32" s="431" t="b">
        <f t="shared" ref="AD32:AD38" si="31">U32&gt;0</f>
        <v>0</v>
      </c>
      <c r="AE32" s="394" t="b">
        <f>IFERROR(VLOOKUP($F32,$AU$8:$AX$107,2,FALSE),"")="常勤"</f>
        <v>0</v>
      </c>
      <c r="AF32" s="451" t="s">
        <v>536</v>
      </c>
      <c r="AG32" s="451" t="s">
        <v>536</v>
      </c>
      <c r="AH32" s="451">
        <v>1</v>
      </c>
      <c r="AI32" s="431">
        <f t="shared" si="23"/>
        <v>2</v>
      </c>
      <c r="AJ32" s="453">
        <f t="shared" si="24"/>
        <v>0</v>
      </c>
      <c r="AK32" s="435"/>
      <c r="AL32" s="435"/>
      <c r="AS32" s="448"/>
      <c r="AT32" s="393">
        <f t="shared" si="0"/>
        <v>25</v>
      </c>
      <c r="AU32" s="823" t="str">
        <f>AT32&amp;" "&amp;IF(AW32&lt;&gt;"-",【様式2】職員名簿!B63&amp;"/"&amp;AV32&amp;"/"&amp;AW32,"")</f>
        <v xml:space="preserve">25 </v>
      </c>
      <c r="AV32" s="823">
        <f>【様式2】職員名簿!E63</f>
        <v>0</v>
      </c>
      <c r="AW32" s="823" t="str">
        <f>IF(【様式2】職員名簿!J63="エラー","-",【様式2】職員名簿!J63)</f>
        <v>-</v>
      </c>
      <c r="AX32" s="394">
        <f>IF($AV32="常勤",$AM$2,IF($AV32="非常勤",【様式2】職員名簿!G63,0))</f>
        <v>0</v>
      </c>
      <c r="AY32" s="428">
        <f>IF($AW32=AY$3,COUNTIF($AW$8:$AW32,AY$3),0)</f>
        <v>0</v>
      </c>
      <c r="AZ32" s="429" t="str">
        <f t="shared" si="1"/>
        <v/>
      </c>
      <c r="BA32" s="430">
        <f>IF($AW32=BA$3,COUNTIF($AW$8:$AW32,BA$3),0)</f>
        <v>0</v>
      </c>
      <c r="BB32" s="429" t="str">
        <f t="shared" si="2"/>
        <v/>
      </c>
      <c r="BC32" s="431">
        <f>IF($AW32=BC$3,COUNTIF($AW$8:$AW32,BC$3),0)</f>
        <v>0</v>
      </c>
      <c r="BD32" s="429" t="str">
        <f t="shared" si="3"/>
        <v/>
      </c>
      <c r="BE32" s="393">
        <f>IF(OR($AW32=BE$3,$AW32=BE$4),COUNTIF($AW$8:$AW32,BE$3)+COUNTIF($AW$8:$AW32,BE$4),0)</f>
        <v>0</v>
      </c>
      <c r="BF32" s="429" t="str">
        <f t="shared" si="4"/>
        <v/>
      </c>
      <c r="BG32" s="393">
        <f>IF($AW32=BG$3,COUNTIF($AW$8:$AW32,BG$3),0)</f>
        <v>0</v>
      </c>
      <c r="BH32" s="429" t="str">
        <f t="shared" si="5"/>
        <v/>
      </c>
      <c r="BI32" s="393">
        <f>IF($AW32&lt;&gt;BI$3,COUNTIF($AW$8:$AW32,"&lt;&gt;"&amp;BI$3),0)</f>
        <v>0</v>
      </c>
      <c r="BJ32" s="429" t="str">
        <f t="shared" si="6"/>
        <v/>
      </c>
      <c r="BK32" s="433"/>
      <c r="BL32" s="433"/>
    </row>
    <row r="33" spans="1:65" s="383" customFormat="1" ht="15" customHeight="1">
      <c r="A33" s="1716"/>
      <c r="B33" s="1511"/>
      <c r="C33" s="1512"/>
      <c r="D33" s="1437"/>
      <c r="E33" s="669" t="str">
        <f t="shared" ref="E33:E34" si="32">IF(W33,T33,"")</f>
        <v/>
      </c>
      <c r="F33" s="1768"/>
      <c r="G33" s="1768"/>
      <c r="H33" s="1768"/>
      <c r="I33" s="705" t="str">
        <f t="shared" si="27"/>
        <v/>
      </c>
      <c r="J33" s="459" t="str">
        <f t="shared" si="28"/>
        <v/>
      </c>
      <c r="K33" s="800"/>
      <c r="L33" s="454" t="str">
        <f t="shared" si="11"/>
        <v/>
      </c>
      <c r="M33" s="455">
        <f>IF(OR(AND(J33&lt;&gt;"",J33&lt;&gt;"○"),AI33=4),"×",IF(J33="",0,AJ33/$AM$2))</f>
        <v>0</v>
      </c>
      <c r="N33" s="456" t="str">
        <f t="shared" si="25"/>
        <v>×</v>
      </c>
      <c r="O33" s="1672" t="str">
        <f t="shared" si="29"/>
        <v>-</v>
      </c>
      <c r="P33" s="445"/>
      <c r="Q33" s="450" t="b">
        <f t="shared" ref="Q33" si="33">R33</f>
        <v>0</v>
      </c>
      <c r="R33" s="451" t="b">
        <f>R31=2</f>
        <v>0</v>
      </c>
      <c r="S33" s="452" t="b">
        <f>AND(J33="○",$O$87&gt;=0)</f>
        <v>0</v>
      </c>
      <c r="T33" s="451" t="str">
        <f>$BJ$6</f>
        <v>全職種</v>
      </c>
      <c r="U33" s="430">
        <f>IFERROR(VLOOKUP($F33,$AU$8:$AX$107,4,FALSE),0)</f>
        <v>0</v>
      </c>
      <c r="V33" s="451">
        <v>3</v>
      </c>
      <c r="W33" s="451" t="b">
        <f t="shared" ref="W33:W34" si="34">R33</f>
        <v>0</v>
      </c>
      <c r="X33" s="446" t="b">
        <f t="shared" ca="1" si="30"/>
        <v>0</v>
      </c>
      <c r="Y33" s="447" t="b">
        <f>COUNTIF($AC$17:AC32,AC33)+COUNTIF(AC34:$AC$65,AC33)-COUNTIF(Z33:AB33,AC33)=0</f>
        <v>0</v>
      </c>
      <c r="Z33" s="768" t="s">
        <v>536</v>
      </c>
      <c r="AA33" s="768" t="s">
        <v>536</v>
      </c>
      <c r="AB33" s="768" t="s">
        <v>536</v>
      </c>
      <c r="AC33" s="457">
        <f>IF(V33=3,0,IFERROR(INDEX($AT$8:$AT$107,MATCH($F33,AU$8:AU$107,0),1),0))</f>
        <v>0</v>
      </c>
      <c r="AD33" s="431" t="b">
        <f t="shared" si="31"/>
        <v>0</v>
      </c>
      <c r="AE33" s="394" t="b">
        <f>IFERROR(VLOOKUP($F33,$AU$8:$AX$107,2,FALSE),"")="常勤"</f>
        <v>0</v>
      </c>
      <c r="AF33" s="451" t="str">
        <f>IFERROR(VLOOKUP(F33,$AU$8:$AX$107,3,FALSE),"")</f>
        <v/>
      </c>
      <c r="AG33" s="458">
        <f>M33</f>
        <v>0</v>
      </c>
      <c r="AH33" s="451">
        <v>2</v>
      </c>
      <c r="AI33" s="431">
        <f t="shared" si="23"/>
        <v>2</v>
      </c>
      <c r="AJ33" s="453">
        <f t="shared" si="24"/>
        <v>0</v>
      </c>
      <c r="AK33" s="435"/>
      <c r="AO33" s="448"/>
      <c r="AP33" s="448"/>
      <c r="AQ33" s="448"/>
      <c r="AR33" s="448"/>
      <c r="AS33" s="448"/>
      <c r="AT33" s="393">
        <f t="shared" si="0"/>
        <v>26</v>
      </c>
      <c r="AU33" s="823" t="str">
        <f>AT33&amp;" "&amp;IF(AW33&lt;&gt;"-",【様式2】職員名簿!B64&amp;"/"&amp;AV33&amp;"/"&amp;AW33,"")</f>
        <v xml:space="preserve">26 </v>
      </c>
      <c r="AV33" s="823">
        <f>【様式2】職員名簿!E64</f>
        <v>0</v>
      </c>
      <c r="AW33" s="823" t="str">
        <f>IF(【様式2】職員名簿!J64="エラー","-",【様式2】職員名簿!J64)</f>
        <v>-</v>
      </c>
      <c r="AX33" s="394">
        <f>IF($AV33="常勤",$AM$2,IF($AV33="非常勤",【様式2】職員名簿!G64,0))</f>
        <v>0</v>
      </c>
      <c r="AY33" s="428">
        <f>IF($AW33=AY$3,COUNTIF($AW$8:$AW33,AY$3),0)</f>
        <v>0</v>
      </c>
      <c r="AZ33" s="429" t="str">
        <f t="shared" si="1"/>
        <v/>
      </c>
      <c r="BA33" s="430">
        <f>IF($AW33=BA$3,COUNTIF($AW$8:$AW33,BA$3),0)</f>
        <v>0</v>
      </c>
      <c r="BB33" s="429" t="str">
        <f t="shared" si="2"/>
        <v/>
      </c>
      <c r="BC33" s="431">
        <f>IF($AW33=BC$3,COUNTIF($AW$8:$AW33,BC$3),0)</f>
        <v>0</v>
      </c>
      <c r="BD33" s="429" t="str">
        <f t="shared" si="3"/>
        <v/>
      </c>
      <c r="BE33" s="393">
        <f>IF(OR($AW33=BE$3,$AW33=BE$4),COUNTIF($AW$8:$AW33,BE$3)+COUNTIF($AW$8:$AW33,BE$4),0)</f>
        <v>0</v>
      </c>
      <c r="BF33" s="429" t="str">
        <f t="shared" si="4"/>
        <v/>
      </c>
      <c r="BG33" s="393">
        <f>IF($AW33=BG$3,COUNTIF($AW$8:$AW33,BG$3),0)</f>
        <v>0</v>
      </c>
      <c r="BH33" s="429" t="str">
        <f t="shared" si="5"/>
        <v/>
      </c>
      <c r="BI33" s="393">
        <f>IF($AW33&lt;&gt;BI$3,COUNTIF($AW$8:$AW33,"&lt;&gt;"&amp;BI$3),0)</f>
        <v>0</v>
      </c>
      <c r="BJ33" s="429" t="str">
        <f t="shared" si="6"/>
        <v/>
      </c>
      <c r="BK33" s="433"/>
      <c r="BL33" s="433"/>
    </row>
    <row r="34" spans="1:65" ht="15" customHeight="1">
      <c r="A34" s="1716"/>
      <c r="B34" s="1513"/>
      <c r="C34" s="1514"/>
      <c r="D34" s="1674"/>
      <c r="E34" s="670" t="str">
        <f t="shared" si="32"/>
        <v/>
      </c>
      <c r="F34" s="1769" t="str">
        <f>IF(W34,BL11,"")</f>
        <v/>
      </c>
      <c r="G34" s="1769"/>
      <c r="H34" s="1769"/>
      <c r="I34" s="707" t="str">
        <f t="shared" si="27"/>
        <v/>
      </c>
      <c r="J34" s="459" t="str">
        <f t="shared" si="28"/>
        <v/>
      </c>
      <c r="K34" s="669" t="s">
        <v>537</v>
      </c>
      <c r="L34" s="454" t="s">
        <v>537</v>
      </c>
      <c r="M34" s="460" t="s">
        <v>537</v>
      </c>
      <c r="N34" s="461" t="str">
        <f t="shared" ref="N34" si="35">IF(Q34,"○","×")</f>
        <v>×</v>
      </c>
      <c r="O34" s="1673" t="str">
        <f t="shared" si="29"/>
        <v>-</v>
      </c>
      <c r="P34" s="445"/>
      <c r="Q34" s="450" t="b">
        <f>R34</f>
        <v>0</v>
      </c>
      <c r="R34" s="451" t="b">
        <f>R31=3</f>
        <v>0</v>
      </c>
      <c r="S34" s="452" t="b">
        <f>AND(J34="○",$O$87&gt;=0)</f>
        <v>0</v>
      </c>
      <c r="T34" s="451" t="str">
        <f>$BL$6</f>
        <v>業務委託</v>
      </c>
      <c r="U34" s="686">
        <f>BM11</f>
        <v>0</v>
      </c>
      <c r="V34" s="463">
        <v>3</v>
      </c>
      <c r="W34" s="451" t="b">
        <f t="shared" si="34"/>
        <v>0</v>
      </c>
      <c r="X34" s="446" t="b">
        <f t="shared" ca="1" si="30"/>
        <v>0</v>
      </c>
      <c r="Y34" s="447" t="b">
        <f>COUNTIF($AC$17:AC33,AC34)+COUNTIF(AC35:$AC$65,AC34)-COUNTIF(Z34:AB34,AC34)=0</f>
        <v>0</v>
      </c>
      <c r="Z34" s="768" t="s">
        <v>536</v>
      </c>
      <c r="AA34" s="768" t="s">
        <v>536</v>
      </c>
      <c r="AB34" s="768" t="s">
        <v>536</v>
      </c>
      <c r="AC34" s="457">
        <f>IF(V34=3,0,IFERROR(INDEX($AT$8:$AT$107,MATCH($F34,AU$8:AU$107,0),1),0))</f>
        <v>0</v>
      </c>
      <c r="AD34" s="464" t="b">
        <f t="shared" si="31"/>
        <v>0</v>
      </c>
      <c r="AE34" s="465" t="b">
        <f>IFERROR(VLOOKUP($F34,$AU$8:$AX$107,2,FALSE),"")="常勤"</f>
        <v>0</v>
      </c>
      <c r="AF34" s="451" t="s">
        <v>536</v>
      </c>
      <c r="AG34" s="451" t="s">
        <v>536</v>
      </c>
      <c r="AH34" s="451">
        <v>2</v>
      </c>
      <c r="AI34" s="431">
        <f t="shared" si="23"/>
        <v>2</v>
      </c>
      <c r="AJ34" s="453">
        <f t="shared" si="24"/>
        <v>0</v>
      </c>
      <c r="AM34" s="383"/>
      <c r="AN34" s="383"/>
      <c r="AO34" s="448"/>
      <c r="AP34" s="448"/>
      <c r="AQ34" s="466"/>
      <c r="AR34" s="466"/>
      <c r="AS34" s="448"/>
      <c r="AT34" s="393">
        <f t="shared" si="0"/>
        <v>27</v>
      </c>
      <c r="AU34" s="823" t="str">
        <f>AT34&amp;" "&amp;IF(AW34&lt;&gt;"-",【様式2】職員名簿!B65&amp;"/"&amp;AV34&amp;"/"&amp;AW34,"")</f>
        <v xml:space="preserve">27 </v>
      </c>
      <c r="AV34" s="823">
        <f>【様式2】職員名簿!E65</f>
        <v>0</v>
      </c>
      <c r="AW34" s="823" t="str">
        <f>IF(【様式2】職員名簿!J65="エラー","-",【様式2】職員名簿!J65)</f>
        <v>-</v>
      </c>
      <c r="AX34" s="394">
        <f>IF($AV34="常勤",$AM$2,IF($AV34="非常勤",【様式2】職員名簿!G65,0))</f>
        <v>0</v>
      </c>
      <c r="AY34" s="428">
        <f>IF($AW34=AY$3,COUNTIF($AW$8:$AW34,AY$3),0)</f>
        <v>0</v>
      </c>
      <c r="AZ34" s="429" t="str">
        <f t="shared" si="1"/>
        <v/>
      </c>
      <c r="BA34" s="430">
        <f>IF($AW34=BA$3,COUNTIF($AW$8:$AW34,BA$3),0)</f>
        <v>0</v>
      </c>
      <c r="BB34" s="429" t="str">
        <f t="shared" si="2"/>
        <v/>
      </c>
      <c r="BC34" s="431">
        <f>IF($AW34=BC$3,COUNTIF($AW$8:$AW34,BC$3),0)</f>
        <v>0</v>
      </c>
      <c r="BD34" s="429" t="str">
        <f t="shared" si="3"/>
        <v/>
      </c>
      <c r="BE34" s="393">
        <f>IF(OR($AW34=BE$3,$AW34=BE$4),COUNTIF($AW$8:$AW34,BE$3)+COUNTIF($AW$8:$AW34,BE$4),0)</f>
        <v>0</v>
      </c>
      <c r="BF34" s="429" t="str">
        <f t="shared" si="4"/>
        <v/>
      </c>
      <c r="BG34" s="393">
        <f>IF($AW34=BG$3,COUNTIF($AW$8:$AW34,BG$3),0)</f>
        <v>0</v>
      </c>
      <c r="BH34" s="429" t="str">
        <f t="shared" si="5"/>
        <v/>
      </c>
      <c r="BI34" s="393">
        <f>IF($AW34&lt;&gt;BI$3,COUNTIF($AW$8:$AW34,"&lt;&gt;"&amp;BI$3),0)</f>
        <v>0</v>
      </c>
      <c r="BJ34" s="429" t="str">
        <f t="shared" si="6"/>
        <v/>
      </c>
      <c r="BK34" s="433"/>
      <c r="BL34" s="433"/>
      <c r="BM34" s="383"/>
    </row>
    <row r="35" spans="1:65" ht="15" customHeight="1">
      <c r="A35" s="1717"/>
      <c r="B35" s="1770" t="s">
        <v>563</v>
      </c>
      <c r="C35" s="1771"/>
      <c r="D35" s="1772" t="str">
        <f>IF(W35,T35,"")</f>
        <v>嘱託医等</v>
      </c>
      <c r="E35" s="1773"/>
      <c r="F35" s="1748" t="str">
        <f>IF(Q35,"嘱託医を配置","個票0未選択のため見直すこと")</f>
        <v>嘱託医を配置</v>
      </c>
      <c r="G35" s="1749"/>
      <c r="H35" s="1749"/>
      <c r="I35" s="1749"/>
      <c r="J35" s="1749"/>
      <c r="K35" s="1750"/>
      <c r="L35" s="664" t="s">
        <v>522</v>
      </c>
      <c r="M35" s="665" t="s">
        <v>537</v>
      </c>
      <c r="N35" s="633" t="str">
        <f>IF(Q35,"○","×")</f>
        <v>○</v>
      </c>
      <c r="O35" s="819" t="str">
        <f>IF(Q35,IF(S35,"○","×"),"-")</f>
        <v>×</v>
      </c>
      <c r="P35" s="445"/>
      <c r="Q35" s="451" t="b">
        <f>TRUE()</f>
        <v>1</v>
      </c>
      <c r="R35" s="451" t="b">
        <f>【様式１】総括表・個票!AI58</f>
        <v>0</v>
      </c>
      <c r="S35" s="451" t="b">
        <f>R35</f>
        <v>0</v>
      </c>
      <c r="T35" s="451" t="s">
        <v>564</v>
      </c>
      <c r="U35" s="430" t="s">
        <v>522</v>
      </c>
      <c r="V35" s="451" t="s">
        <v>537</v>
      </c>
      <c r="W35" s="451" t="b">
        <f>Q35</f>
        <v>1</v>
      </c>
      <c r="X35" s="446" t="s">
        <v>522</v>
      </c>
      <c r="Y35" s="447" t="s">
        <v>522</v>
      </c>
      <c r="Z35" s="768" t="s">
        <v>536</v>
      </c>
      <c r="AA35" s="768" t="s">
        <v>536</v>
      </c>
      <c r="AB35" s="768" t="s">
        <v>536</v>
      </c>
      <c r="AC35" s="764" t="s">
        <v>522</v>
      </c>
      <c r="AD35" s="431" t="s">
        <v>522</v>
      </c>
      <c r="AE35" s="394" t="s">
        <v>522</v>
      </c>
      <c r="AF35" s="451" t="s">
        <v>536</v>
      </c>
      <c r="AG35" s="451" t="s">
        <v>536</v>
      </c>
      <c r="AH35" s="451" t="s">
        <v>537</v>
      </c>
      <c r="AI35" s="431" t="s">
        <v>522</v>
      </c>
      <c r="AJ35" s="453" t="s">
        <v>522</v>
      </c>
      <c r="AN35" s="383"/>
      <c r="AO35" s="448"/>
      <c r="AP35" s="448"/>
      <c r="AQ35" s="466"/>
      <c r="AR35" s="466"/>
      <c r="AS35" s="448"/>
      <c r="AT35" s="393">
        <f t="shared" si="0"/>
        <v>28</v>
      </c>
      <c r="AU35" s="823" t="str">
        <f>AT35&amp;" "&amp;IF(AW35&lt;&gt;"-",【様式2】職員名簿!B66&amp;"/"&amp;AV35&amp;"/"&amp;AW35,"")</f>
        <v xml:space="preserve">28 </v>
      </c>
      <c r="AV35" s="823">
        <f>【様式2】職員名簿!E66</f>
        <v>0</v>
      </c>
      <c r="AW35" s="823" t="str">
        <f>IF(【様式2】職員名簿!J66="エラー","-",【様式2】職員名簿!J66)</f>
        <v>-</v>
      </c>
      <c r="AX35" s="394">
        <f>IF($AV35="常勤",$AM$2,IF($AV35="非常勤",【様式2】職員名簿!G66,0))</f>
        <v>0</v>
      </c>
      <c r="AY35" s="428">
        <f>IF($AW35=AY$3,COUNTIF($AW$8:$AW35,AY$3),0)</f>
        <v>0</v>
      </c>
      <c r="AZ35" s="429" t="str">
        <f t="shared" si="1"/>
        <v/>
      </c>
      <c r="BA35" s="430">
        <f>IF($AW35=BA$3,COUNTIF($AW$8:$AW35,BA$3),0)</f>
        <v>0</v>
      </c>
      <c r="BB35" s="429" t="str">
        <f t="shared" si="2"/>
        <v/>
      </c>
      <c r="BC35" s="431">
        <f>IF($AW35=BC$3,COUNTIF($AW$8:$AW35,BC$3),0)</f>
        <v>0</v>
      </c>
      <c r="BD35" s="429" t="str">
        <f t="shared" si="3"/>
        <v/>
      </c>
      <c r="BE35" s="393">
        <f>IF(OR($AW35=BE$3,$AW35=BE$4),COUNTIF($AW$8:$AW35,BE$3)+COUNTIF($AW$8:$AW35,BE$4),0)</f>
        <v>0</v>
      </c>
      <c r="BF35" s="429" t="str">
        <f t="shared" si="4"/>
        <v/>
      </c>
      <c r="BG35" s="393">
        <f>IF($AW35=BG$3,COUNTIF($AW$8:$AW35,BG$3),0)</f>
        <v>0</v>
      </c>
      <c r="BH35" s="429" t="str">
        <f t="shared" si="5"/>
        <v/>
      </c>
      <c r="BI35" s="393">
        <f>IF($AW35&lt;&gt;BI$3,COUNTIF($AW$8:$AW35,"&lt;&gt;"&amp;BI$3),0)</f>
        <v>0</v>
      </c>
      <c r="BJ35" s="429" t="str">
        <f t="shared" si="6"/>
        <v/>
      </c>
      <c r="BK35" s="433"/>
      <c r="BL35" s="433"/>
    </row>
    <row r="36" spans="1:65" ht="15" customHeight="1">
      <c r="A36" s="1062" t="s">
        <v>617</v>
      </c>
      <c r="B36" s="1764" t="s">
        <v>612</v>
      </c>
      <c r="C36" s="1765"/>
      <c r="D36" s="1464" t="str">
        <f>IF(W36,T36,"")</f>
        <v/>
      </c>
      <c r="E36" s="1465"/>
      <c r="F36" s="1751" t="str">
        <f>IF(Q36,IF(Q37,"障がい児を除く児童について","全児童について")&amp;"１：５","")</f>
        <v/>
      </c>
      <c r="G36" s="1752"/>
      <c r="H36" s="1752"/>
      <c r="I36" s="1752"/>
      <c r="J36" s="1752"/>
      <c r="K36" s="1753"/>
      <c r="L36" s="672" t="s">
        <v>522</v>
      </c>
      <c r="M36" s="673" t="s">
        <v>537</v>
      </c>
      <c r="N36" s="470" t="str">
        <f t="shared" ref="N36:N37" si="36">IF(Q36,"○","×")</f>
        <v>×</v>
      </c>
      <c r="O36" s="820" t="str">
        <f t="shared" ref="O36:O37" si="37">IF(Q36,IF(S36,"○","×"),"-")</f>
        <v>-</v>
      </c>
      <c r="P36" s="445"/>
      <c r="Q36" s="767" t="b">
        <f>【様式１】総括表・個票!AI75</f>
        <v>0</v>
      </c>
      <c r="R36" s="767" t="s">
        <v>522</v>
      </c>
      <c r="S36" s="767" t="b">
        <f>AND(O81&gt;=0,O83&gt;=0)</f>
        <v>1</v>
      </c>
      <c r="T36" s="452" t="str">
        <f>$BB$6</f>
        <v>家庭的保育補助者</v>
      </c>
      <c r="U36" s="430" t="s">
        <v>522</v>
      </c>
      <c r="V36" s="451" t="s">
        <v>537</v>
      </c>
      <c r="W36" s="452" t="b">
        <f>Q36</f>
        <v>0</v>
      </c>
      <c r="X36" s="446" t="s">
        <v>536</v>
      </c>
      <c r="Y36" s="447" t="s">
        <v>536</v>
      </c>
      <c r="Z36" s="768" t="s">
        <v>536</v>
      </c>
      <c r="AA36" s="768" t="s">
        <v>536</v>
      </c>
      <c r="AB36" s="768" t="s">
        <v>536</v>
      </c>
      <c r="AC36" s="764" t="s">
        <v>536</v>
      </c>
      <c r="AD36" s="476" t="s">
        <v>536</v>
      </c>
      <c r="AE36" s="477" t="s">
        <v>536</v>
      </c>
      <c r="AF36" s="452" t="s">
        <v>536</v>
      </c>
      <c r="AG36" s="636" t="s">
        <v>536</v>
      </c>
      <c r="AH36" s="451" t="s">
        <v>536</v>
      </c>
      <c r="AI36" s="431" t="s">
        <v>536</v>
      </c>
      <c r="AJ36" s="453" t="s">
        <v>536</v>
      </c>
      <c r="AM36" s="383"/>
      <c r="AN36" s="383"/>
      <c r="AO36" s="448"/>
      <c r="AP36" s="448"/>
      <c r="AQ36" s="448"/>
      <c r="AR36" s="448"/>
      <c r="AS36" s="448"/>
      <c r="AT36" s="393">
        <f t="shared" si="0"/>
        <v>29</v>
      </c>
      <c r="AU36" s="823" t="str">
        <f>AT36&amp;" "&amp;IF(AW36&lt;&gt;"-",【様式2】職員名簿!B67&amp;"/"&amp;AV36&amp;"/"&amp;AW36,"")</f>
        <v xml:space="preserve">29 </v>
      </c>
      <c r="AV36" s="823">
        <f>【様式2】職員名簿!E67</f>
        <v>0</v>
      </c>
      <c r="AW36" s="823" t="str">
        <f>IF(【様式2】職員名簿!J67="エラー","-",【様式2】職員名簿!J67)</f>
        <v>-</v>
      </c>
      <c r="AX36" s="394">
        <f>IF($AV36="常勤",$AM$2,IF($AV36="非常勤",【様式2】職員名簿!G67,0))</f>
        <v>0</v>
      </c>
      <c r="AY36" s="428">
        <f>IF($AW36=AY$3,COUNTIF($AW$8:$AW36,AY$3),0)</f>
        <v>0</v>
      </c>
      <c r="AZ36" s="429" t="str">
        <f t="shared" si="1"/>
        <v/>
      </c>
      <c r="BA36" s="430">
        <f>IF($AW36=BA$3,COUNTIF($AW$8:$AW36,BA$3),0)</f>
        <v>0</v>
      </c>
      <c r="BB36" s="429" t="str">
        <f t="shared" si="2"/>
        <v/>
      </c>
      <c r="BC36" s="431">
        <f>IF($AW36=BC$3,COUNTIF($AW$8:$AW36,BC$3),0)</f>
        <v>0</v>
      </c>
      <c r="BD36" s="429" t="str">
        <f t="shared" si="3"/>
        <v/>
      </c>
      <c r="BE36" s="393">
        <f>IF(OR($AW36=BE$3,$AW36=BE$4),COUNTIF($AW$8:$AW36,BE$3)+COUNTIF($AW$8:$AW36,BE$4),0)</f>
        <v>0</v>
      </c>
      <c r="BF36" s="429" t="str">
        <f t="shared" si="4"/>
        <v/>
      </c>
      <c r="BG36" s="393">
        <f>IF($AW36=BG$3,COUNTIF($AW$8:$AW36,BG$3),0)</f>
        <v>0</v>
      </c>
      <c r="BH36" s="429" t="str">
        <f t="shared" si="5"/>
        <v/>
      </c>
      <c r="BI36" s="393">
        <f>IF($AW36&lt;&gt;BI$3,COUNTIF($AW$8:$AW36,"&lt;&gt;"&amp;BI$3),0)</f>
        <v>0</v>
      </c>
      <c r="BJ36" s="429" t="str">
        <f t="shared" si="6"/>
        <v/>
      </c>
      <c r="BK36" s="433"/>
      <c r="BL36" s="433"/>
    </row>
    <row r="37" spans="1:65" ht="15" customHeight="1">
      <c r="A37" s="1064"/>
      <c r="B37" s="1766" t="s">
        <v>102</v>
      </c>
      <c r="C37" s="1767"/>
      <c r="D37" s="1507" t="str">
        <f t="shared" ref="D37" si="38">IF(W37,T37,"")</f>
        <v/>
      </c>
      <c r="E37" s="1508"/>
      <c r="F37" s="1748" t="str">
        <f>IF(Q37,"障がい児について１：２"&amp;IF(M9=R37,"","（障がい児数不一致）")&amp;IF(Q36,"","(家庭的保育補助者加算未申請）"),"")</f>
        <v/>
      </c>
      <c r="G37" s="1749"/>
      <c r="H37" s="1749"/>
      <c r="I37" s="1749"/>
      <c r="J37" s="1749"/>
      <c r="K37" s="1750"/>
      <c r="L37" s="666" t="s">
        <v>522</v>
      </c>
      <c r="M37" s="494" t="s">
        <v>537</v>
      </c>
      <c r="N37" s="667" t="str">
        <f t="shared" si="36"/>
        <v>×</v>
      </c>
      <c r="O37" s="821" t="str">
        <f t="shared" si="37"/>
        <v>-</v>
      </c>
      <c r="P37" s="445"/>
      <c r="Q37" s="451" t="b">
        <f>【様式１】総括表・個票!AI107</f>
        <v>0</v>
      </c>
      <c r="R37" s="451">
        <f>【様式１】総括表・個票!AI117</f>
        <v>0</v>
      </c>
      <c r="S37" s="451" t="b">
        <f>AND(O81&gt;=0,O83&gt;=0,M9=R37,O36="○")</f>
        <v>0</v>
      </c>
      <c r="T37" s="452" t="str">
        <f>$BB$6</f>
        <v>家庭的保育補助者</v>
      </c>
      <c r="U37" s="430" t="s">
        <v>522</v>
      </c>
      <c r="V37" s="451" t="s">
        <v>537</v>
      </c>
      <c r="W37" s="452" t="b">
        <f>AND(Q37)</f>
        <v>0</v>
      </c>
      <c r="X37" s="446" t="s">
        <v>536</v>
      </c>
      <c r="Y37" s="447" t="s">
        <v>536</v>
      </c>
      <c r="Z37" s="768" t="s">
        <v>536</v>
      </c>
      <c r="AA37" s="768" t="s">
        <v>536</v>
      </c>
      <c r="AB37" s="768" t="s">
        <v>536</v>
      </c>
      <c r="AC37" s="764" t="s">
        <v>536</v>
      </c>
      <c r="AD37" s="476" t="s">
        <v>536</v>
      </c>
      <c r="AE37" s="477" t="s">
        <v>536</v>
      </c>
      <c r="AF37" s="452" t="s">
        <v>536</v>
      </c>
      <c r="AG37" s="636" t="s">
        <v>536</v>
      </c>
      <c r="AH37" s="451" t="s">
        <v>536</v>
      </c>
      <c r="AI37" s="431" t="s">
        <v>536</v>
      </c>
      <c r="AJ37" s="453" t="s">
        <v>536</v>
      </c>
      <c r="AM37" s="383"/>
      <c r="AP37" s="448"/>
      <c r="AQ37" s="448"/>
      <c r="AR37" s="448"/>
      <c r="AS37" s="448"/>
      <c r="AT37" s="393">
        <f t="shared" si="0"/>
        <v>30</v>
      </c>
      <c r="AU37" s="823" t="str">
        <f>AT37&amp;" "&amp;IF(AW37&lt;&gt;"-",【様式2】職員名簿!B68&amp;"/"&amp;AV37&amp;"/"&amp;AW37,"")</f>
        <v xml:space="preserve">30 </v>
      </c>
      <c r="AV37" s="823">
        <f>【様式2】職員名簿!E68</f>
        <v>0</v>
      </c>
      <c r="AW37" s="823" t="str">
        <f>IF(【様式2】職員名簿!J68="エラー","-",【様式2】職員名簿!J68)</f>
        <v>-</v>
      </c>
      <c r="AX37" s="394">
        <f>IF($AV37="常勤",$AM$2,IF($AV37="非常勤",【様式2】職員名簿!G68,0))</f>
        <v>0</v>
      </c>
      <c r="AY37" s="428">
        <f>IF($AW37=AY$3,COUNTIF($AW$8:$AW37,AY$3),0)</f>
        <v>0</v>
      </c>
      <c r="AZ37" s="429" t="str">
        <f t="shared" si="1"/>
        <v/>
      </c>
      <c r="BA37" s="430">
        <f>IF($AW37=BA$3,COUNTIF($AW$8:$AW37,BA$3),0)</f>
        <v>0</v>
      </c>
      <c r="BB37" s="429" t="str">
        <f t="shared" si="2"/>
        <v/>
      </c>
      <c r="BC37" s="431">
        <f>IF($AW37=BC$3,COUNTIF($AW$8:$AW37,BC$3),0)</f>
        <v>0</v>
      </c>
      <c r="BD37" s="429" t="str">
        <f t="shared" si="3"/>
        <v/>
      </c>
      <c r="BE37" s="393">
        <f>IF(OR($AW37=BE$3,$AW37=BE$4),COUNTIF($AW$8:$AW37,BE$3)+COUNTIF($AW$8:$AW37,BE$4),0)</f>
        <v>0</v>
      </c>
      <c r="BF37" s="429" t="str">
        <f t="shared" si="4"/>
        <v/>
      </c>
      <c r="BG37" s="393">
        <f>IF($AW37=BG$3,COUNTIF($AW$8:$AW37,BG$3),0)</f>
        <v>0</v>
      </c>
      <c r="BH37" s="429" t="str">
        <f t="shared" si="5"/>
        <v/>
      </c>
      <c r="BI37" s="393">
        <f>IF($AW37&lt;&gt;BI$3,COUNTIF($AW$8:$AW37,"&lt;&gt;"&amp;BI$3),0)</f>
        <v>0</v>
      </c>
      <c r="BJ37" s="429" t="str">
        <f t="shared" si="6"/>
        <v/>
      </c>
      <c r="BK37" s="433"/>
      <c r="BL37" s="433"/>
    </row>
    <row r="38" spans="1:65" ht="15" customHeight="1" thickBot="1">
      <c r="A38" s="668" t="s">
        <v>6</v>
      </c>
      <c r="B38" s="1462" t="str">
        <f>"栄養管理加算【"&amp;IF(R38=1,"配置",IF(R38=2,"兼務",IF(R38=3,"嘱託","-")))&amp;"】"</f>
        <v>栄養管理加算【-】</v>
      </c>
      <c r="C38" s="1463"/>
      <c r="D38" s="1464" t="str">
        <f t="shared" ref="D38" si="39">IF(W38,T38,"")</f>
        <v/>
      </c>
      <c r="E38" s="1465"/>
      <c r="F38" s="1466"/>
      <c r="G38" s="1466"/>
      <c r="H38" s="1467"/>
      <c r="I38" s="802" t="str">
        <f>IF(OR(NOT(W38),U38=0),"",U38)</f>
        <v/>
      </c>
      <c r="J38" s="761" t="str">
        <f t="shared" ref="J38" si="40">IF(OR(F38=0,F38=""),"",IF(W38,IF(X38,IF(OR(Y38,V38=3),IF(AD38,IF(OR(AE38,V38=2,V38=3),"○","要常勤"),"時間無"),"重複"),"名簿無"),"対象外"))</f>
        <v/>
      </c>
      <c r="K38" s="711" t="s">
        <v>537</v>
      </c>
      <c r="L38" s="472" t="str">
        <f>IF(AI38=1,"調整①→",IF(AI38=5,"調整②→",IF(AI38=2,"",IF(AI38=3,"全計上→","エラー"))))</f>
        <v/>
      </c>
      <c r="M38" s="473">
        <f>IF(OR(AND(J38&lt;&gt;"",J38&lt;&gt;"○"),AI38=4),"×",IF(J38="",0,AJ38/$AM$2))</f>
        <v>0</v>
      </c>
      <c r="N38" s="474" t="str">
        <f>IF(Q38,"○","×")</f>
        <v>×</v>
      </c>
      <c r="O38" s="822" t="str">
        <f>IF(Q38,IF(S38,"○","×"),"-")</f>
        <v>-</v>
      </c>
      <c r="P38" s="402"/>
      <c r="Q38" s="671" t="b">
        <f>AND(【様式１】総括表・個票!AI183,OR(R38=1,R38=2))</f>
        <v>0</v>
      </c>
      <c r="R38" s="671">
        <f>IF(【様式１】総括表・個票!AI188,1,IF(【様式１】総括表・個票!AI189,2,IF(【様式１】総括表・個票!AI191,3,0)))</f>
        <v>0</v>
      </c>
      <c r="S38" s="671" t="b">
        <f>AND($J38="○",$O85&gt;=0)</f>
        <v>0</v>
      </c>
      <c r="T38" s="452" t="str">
        <f>$BD$6</f>
        <v>栄養士</v>
      </c>
      <c r="U38" s="475">
        <f>IFERROR(VLOOKUP($F38,$AU$8:$AX$107,4,FALSE),0)</f>
        <v>0</v>
      </c>
      <c r="V38" s="830">
        <f>IF(R38=2,3,2)</f>
        <v>2</v>
      </c>
      <c r="W38" s="452" t="b">
        <f>AND(Q38,OR(R38=1,R38=2))</f>
        <v>0</v>
      </c>
      <c r="X38" s="446" t="b">
        <f t="shared" ref="X38" ca="1" si="41">COUNTIF(INDIRECT(T38),F38)&gt;0</f>
        <v>0</v>
      </c>
      <c r="Y38" s="447" t="b">
        <f>COUNTIF($AC$17:AC37,AC38)+COUNTIF(AC39:$AC$65,AC38)-COUNTIF(Z38:AB38,AC38)=0</f>
        <v>0</v>
      </c>
      <c r="Z38" s="768" t="s">
        <v>536</v>
      </c>
      <c r="AA38" s="768" t="s">
        <v>536</v>
      </c>
      <c r="AB38" s="768" t="s">
        <v>536</v>
      </c>
      <c r="AC38" s="764">
        <f>IF(V38=3,0,IFERROR(INDEX($AT$8:$AT$107,MATCH($F38,AU$8:AU$107,0),1),0))</f>
        <v>0</v>
      </c>
      <c r="AD38" s="476" t="b">
        <f t="shared" si="31"/>
        <v>0</v>
      </c>
      <c r="AE38" s="477" t="b">
        <f>IFERROR(VLOOKUP($F38,$AU$8:$AX$107,2,FALSE),"")="常勤"</f>
        <v>0</v>
      </c>
      <c r="AF38" s="452" t="s">
        <v>536</v>
      </c>
      <c r="AG38" s="452" t="s">
        <v>536</v>
      </c>
      <c r="AH38" s="451">
        <v>2</v>
      </c>
      <c r="AI38" s="431">
        <f>IF(AND($W38,$J38="○"),IF($K38="-",IF($U38&lt;IF($AH38=5,$AL$4,$AL$3),$AH38,2),IF($K38=0,IF($U38&lt;IF($AH38=5,$AL$4,$AL$3),IF(OR($AH38=1,$AH38=5),$AH38,3),3),IF(K38&lt;IF($AH38=5,$AL$4,$AL$3),$AH38,IF($K38&gt;$U38,4,2)))),2)</f>
        <v>2</v>
      </c>
      <c r="AJ38" s="453">
        <f t="shared" ref="AJ38" si="42">IF(AI38=1,$AL$3,IF(AI38=5,$AL$4,IF(AI38=2,IF(K38="-",U38,K38),IF(AI38=3,U38,"×"))))</f>
        <v>0</v>
      </c>
      <c r="AM38" s="383"/>
      <c r="AP38" s="448"/>
      <c r="AR38" s="448"/>
      <c r="AS38" s="448"/>
      <c r="AT38" s="393">
        <f t="shared" si="0"/>
        <v>31</v>
      </c>
      <c r="AU38" s="823" t="str">
        <f>AT38&amp;" "&amp;IF(AW38&lt;&gt;"-",【様式2】職員名簿!B69&amp;"/"&amp;AV38&amp;"/"&amp;AW38,"")</f>
        <v xml:space="preserve">31 </v>
      </c>
      <c r="AV38" s="823">
        <f>【様式2】職員名簿!E69</f>
        <v>0</v>
      </c>
      <c r="AW38" s="823" t="str">
        <f>IF(【様式2】職員名簿!J69="エラー","-",【様式2】職員名簿!J69)</f>
        <v>-</v>
      </c>
      <c r="AX38" s="394">
        <f>IF($AV38="常勤",$AM$2,IF($AV38="非常勤",【様式2】職員名簿!G69,0))</f>
        <v>0</v>
      </c>
      <c r="AY38" s="428">
        <f>IF($AW38=AY$3,COUNTIF($AW$8:$AW38,AY$3),0)</f>
        <v>0</v>
      </c>
      <c r="AZ38" s="429" t="str">
        <f t="shared" si="1"/>
        <v/>
      </c>
      <c r="BA38" s="430">
        <f>IF($AW38=BA$3,COUNTIF($AW$8:$AW38,BA$3),0)</f>
        <v>0</v>
      </c>
      <c r="BB38" s="429" t="str">
        <f t="shared" si="2"/>
        <v/>
      </c>
      <c r="BC38" s="431">
        <f>IF($AW38=BC$3,COUNTIF($AW$8:$AW38,BC$3),0)</f>
        <v>0</v>
      </c>
      <c r="BD38" s="429" t="str">
        <f t="shared" si="3"/>
        <v/>
      </c>
      <c r="BE38" s="393">
        <f>IF(OR($AW38=BE$3,$AW38=BE$4),COUNTIF($AW$8:$AW38,BE$3)+COUNTIF($AW$8:$AW38,BE$4),0)</f>
        <v>0</v>
      </c>
      <c r="BF38" s="429" t="str">
        <f t="shared" si="4"/>
        <v/>
      </c>
      <c r="BG38" s="393">
        <f>IF($AW38=BG$3,COUNTIF($AW$8:$AW38,BG$3),0)</f>
        <v>0</v>
      </c>
      <c r="BH38" s="429" t="str">
        <f t="shared" si="5"/>
        <v/>
      </c>
      <c r="BI38" s="393">
        <f>IF($AW38&lt;&gt;BI$3,COUNTIF($AW$8:$AW38,"&lt;&gt;"&amp;BI$3),0)</f>
        <v>0</v>
      </c>
      <c r="BJ38" s="429" t="str">
        <f t="shared" si="6"/>
        <v/>
      </c>
      <c r="BK38" s="433"/>
      <c r="BL38" s="433"/>
    </row>
    <row r="39" spans="1:65" ht="15" customHeight="1">
      <c r="A39" s="1425" t="s">
        <v>61</v>
      </c>
      <c r="B39" s="1426"/>
      <c r="C39" s="1427"/>
      <c r="D39" s="1745" t="s">
        <v>643</v>
      </c>
      <c r="E39" s="1746"/>
      <c r="F39" s="1746"/>
      <c r="G39" s="1746"/>
      <c r="H39" s="1746"/>
      <c r="I39" s="1746"/>
      <c r="J39" s="1746"/>
      <c r="K39" s="1746"/>
      <c r="L39" s="1746"/>
      <c r="M39" s="1747"/>
      <c r="N39" s="1713" t="s">
        <v>565</v>
      </c>
      <c r="O39" s="1736"/>
      <c r="P39" s="402"/>
      <c r="Q39" s="433"/>
      <c r="R39" s="433"/>
      <c r="S39" s="433"/>
      <c r="T39" s="480"/>
      <c r="U39" s="481"/>
      <c r="V39" s="480"/>
      <c r="W39" s="480"/>
      <c r="X39" s="482"/>
      <c r="Y39" s="483"/>
      <c r="Z39" s="480"/>
      <c r="AA39" s="480"/>
      <c r="AB39" s="480"/>
      <c r="AC39" s="484"/>
      <c r="AD39" s="482"/>
      <c r="AE39" s="483"/>
      <c r="AF39" s="480"/>
      <c r="AG39" s="480"/>
      <c r="AH39" s="485"/>
      <c r="AI39" s="482"/>
      <c r="AJ39" s="486"/>
      <c r="AM39" s="383"/>
      <c r="AO39" s="383"/>
      <c r="AR39" s="448"/>
      <c r="AS39" s="448"/>
      <c r="AT39" s="393">
        <f t="shared" si="0"/>
        <v>32</v>
      </c>
      <c r="AU39" s="823" t="str">
        <f>AT39&amp;" "&amp;IF(AW39&lt;&gt;"-",【様式2】職員名簿!B70&amp;"/"&amp;AV39&amp;"/"&amp;AW39,"")</f>
        <v xml:space="preserve">32 </v>
      </c>
      <c r="AV39" s="823">
        <f>【様式2】職員名簿!E70</f>
        <v>0</v>
      </c>
      <c r="AW39" s="823" t="str">
        <f>IF(【様式2】職員名簿!J70="エラー","-",【様式2】職員名簿!J70)</f>
        <v>-</v>
      </c>
      <c r="AX39" s="394">
        <f>IF($AV39="常勤",$AM$2,IF($AV39="非常勤",【様式2】職員名簿!G70,0))</f>
        <v>0</v>
      </c>
      <c r="AY39" s="428">
        <f>IF($AW39=AY$3,COUNTIF($AW$8:$AW39,AY$3),0)</f>
        <v>0</v>
      </c>
      <c r="AZ39" s="429" t="str">
        <f t="shared" si="1"/>
        <v/>
      </c>
      <c r="BA39" s="430">
        <f>IF($AW39=BA$3,COUNTIF($AW$8:$AW39,BA$3),0)</f>
        <v>0</v>
      </c>
      <c r="BB39" s="429" t="str">
        <f t="shared" si="2"/>
        <v/>
      </c>
      <c r="BC39" s="431">
        <f>IF($AW39=BC$3,COUNTIF($AW$8:$AW39,BC$3),0)</f>
        <v>0</v>
      </c>
      <c r="BD39" s="429" t="str">
        <f t="shared" si="3"/>
        <v/>
      </c>
      <c r="BE39" s="393">
        <f>IF(OR($AW39=BE$3,$AW39=BE$4),COUNTIF($AW$8:$AW39,BE$3)+COUNTIF($AW$8:$AW39,BE$4),0)</f>
        <v>0</v>
      </c>
      <c r="BF39" s="429" t="str">
        <f t="shared" si="4"/>
        <v/>
      </c>
      <c r="BG39" s="393">
        <f>IF($AW39=BG$3,COUNTIF($AW$8:$AW39,BG$3),0)</f>
        <v>0</v>
      </c>
      <c r="BH39" s="429" t="str">
        <f t="shared" si="5"/>
        <v/>
      </c>
      <c r="BI39" s="393">
        <f>IF($AW39&lt;&gt;BI$3,COUNTIF($AW$8:$AW39,"&lt;&gt;"&amp;BI$3),0)</f>
        <v>0</v>
      </c>
      <c r="BJ39" s="429" t="str">
        <f t="shared" si="6"/>
        <v/>
      </c>
      <c r="BK39" s="433"/>
      <c r="BL39" s="433"/>
    </row>
    <row r="40" spans="1:65" ht="15" customHeight="1">
      <c r="A40" s="1428" t="s">
        <v>644</v>
      </c>
      <c r="B40" s="1429"/>
      <c r="C40" s="1430"/>
      <c r="D40" s="1741" t="s">
        <v>513</v>
      </c>
      <c r="E40" s="1742"/>
      <c r="F40" s="1680" t="s">
        <v>639</v>
      </c>
      <c r="G40" s="1681"/>
      <c r="H40" s="1681"/>
      <c r="I40" s="1681"/>
      <c r="J40" s="1681"/>
      <c r="K40" s="1681"/>
      <c r="L40" s="1682" t="s">
        <v>547</v>
      </c>
      <c r="M40" s="1683"/>
      <c r="N40" s="1737"/>
      <c r="O40" s="1738"/>
      <c r="P40" s="402"/>
      <c r="Q40" s="433"/>
      <c r="R40" s="433"/>
      <c r="S40" s="433"/>
      <c r="T40" s="480"/>
      <c r="U40" s="481"/>
      <c r="V40" s="480"/>
      <c r="W40" s="480"/>
      <c r="X40" s="482"/>
      <c r="Y40" s="483"/>
      <c r="Z40" s="480"/>
      <c r="AA40" s="480"/>
      <c r="AB40" s="480"/>
      <c r="AC40" s="484"/>
      <c r="AD40" s="482"/>
      <c r="AE40" s="483"/>
      <c r="AF40" s="480"/>
      <c r="AG40" s="480"/>
      <c r="AH40" s="485"/>
      <c r="AI40" s="482"/>
      <c r="AJ40" s="486"/>
      <c r="AM40" s="383"/>
      <c r="AN40" s="383"/>
      <c r="AO40" s="383"/>
      <c r="AQ40" s="448"/>
      <c r="AR40" s="448"/>
      <c r="AS40" s="466"/>
      <c r="AT40" s="393">
        <f t="shared" ref="AT40:AT71" si="43">ROW()-ROW($AT$7)</f>
        <v>33</v>
      </c>
      <c r="AU40" s="823" t="str">
        <f>AT40&amp;" "&amp;IF(AW40&lt;&gt;"-",【様式2】職員名簿!B71&amp;"/"&amp;AV40&amp;"/"&amp;AW40,"")</f>
        <v xml:space="preserve">33 </v>
      </c>
      <c r="AV40" s="823">
        <f>【様式2】職員名簿!E71</f>
        <v>0</v>
      </c>
      <c r="AW40" s="823" t="str">
        <f>IF(【様式2】職員名簿!J71="エラー","-",【様式2】職員名簿!J71)</f>
        <v>-</v>
      </c>
      <c r="AX40" s="394">
        <f>IF($AV40="常勤",$AM$2,IF($AV40="非常勤",【様式2】職員名簿!G71,0))</f>
        <v>0</v>
      </c>
      <c r="AY40" s="428">
        <f>IF($AW40=AY$3,COUNTIF($AW$8:$AW40,AY$3),0)</f>
        <v>0</v>
      </c>
      <c r="AZ40" s="429" t="str">
        <f t="shared" ref="AZ40:AZ71" si="44">IFERROR(INDEX($AU$8:$AU$107,MATCH($AT40,AY$8:AY$107,0),1),"")</f>
        <v/>
      </c>
      <c r="BA40" s="430">
        <f>IF($AW40=BA$3,COUNTIF($AW$8:$AW40,BA$3),0)</f>
        <v>0</v>
      </c>
      <c r="BB40" s="429" t="str">
        <f t="shared" ref="BB40:BB71" si="45">IFERROR(INDEX($AU$8:$AU$107,MATCH($AT40,BA$8:BA$107,0),1),"")</f>
        <v/>
      </c>
      <c r="BC40" s="431">
        <f>IF($AW40=BC$3,COUNTIF($AW$8:$AW40,BC$3),0)</f>
        <v>0</v>
      </c>
      <c r="BD40" s="429" t="str">
        <f t="shared" ref="BD40:BD71" si="46">IFERROR(INDEX($AU$8:$AU$107,MATCH($AT40,BC$8:BC$107,0),1),"")</f>
        <v/>
      </c>
      <c r="BE40" s="393">
        <f>IF(OR($AW40=BE$3,$AW40=BE$4),COUNTIF($AW$8:$AW40,BE$3)+COUNTIF($AW$8:$AW40,BE$4),0)</f>
        <v>0</v>
      </c>
      <c r="BF40" s="429" t="str">
        <f t="shared" ref="BF40:BF71" si="47">IFERROR(INDEX($AU$8:$AU$107,MATCH($AT40,BE$8:BE$107,0),1),"")</f>
        <v/>
      </c>
      <c r="BG40" s="393">
        <f>IF($AW40=BG$3,COUNTIF($AW$8:$AW40,BG$3),0)</f>
        <v>0</v>
      </c>
      <c r="BH40" s="429" t="str">
        <f t="shared" ref="BH40:BH71" si="48">IFERROR(INDEX($AU$8:$AU$107,MATCH($AT40,BG$8:BG$107,0),1),"")</f>
        <v/>
      </c>
      <c r="BI40" s="393">
        <f>IF($AW40&lt;&gt;BI$3,COUNTIF($AW$8:$AW40,"&lt;&gt;"&amp;BI$3),0)</f>
        <v>0</v>
      </c>
      <c r="BJ40" s="429" t="str">
        <f t="shared" ref="BJ40:BJ71" si="49">IFERROR(INDEX($AU$8:$AU$107,MATCH($AT40,BI$8:BI$107,0),1),"")</f>
        <v/>
      </c>
      <c r="BK40" s="433"/>
      <c r="BL40" s="433"/>
    </row>
    <row r="41" spans="1:65" ht="15" customHeight="1" thickBot="1">
      <c r="A41" s="1431"/>
      <c r="B41" s="1432"/>
      <c r="C41" s="1433"/>
      <c r="D41" s="1743"/>
      <c r="E41" s="1744"/>
      <c r="F41" s="1686" t="s">
        <v>555</v>
      </c>
      <c r="G41" s="1686"/>
      <c r="H41" s="1686"/>
      <c r="I41" s="500" t="s">
        <v>640</v>
      </c>
      <c r="J41" s="765" t="s">
        <v>641</v>
      </c>
      <c r="K41" s="712" t="s">
        <v>642</v>
      </c>
      <c r="L41" s="1754"/>
      <c r="M41" s="1755"/>
      <c r="N41" s="1739"/>
      <c r="O41" s="1740"/>
      <c r="P41" s="402"/>
      <c r="Q41" s="433"/>
      <c r="R41" s="433"/>
      <c r="S41" s="433"/>
      <c r="T41" s="480"/>
      <c r="U41" s="481"/>
      <c r="V41" s="480"/>
      <c r="W41" s="480"/>
      <c r="X41" s="482"/>
      <c r="Y41" s="483"/>
      <c r="Z41" s="480"/>
      <c r="AA41" s="480"/>
      <c r="AB41" s="480"/>
      <c r="AC41" s="484"/>
      <c r="AD41" s="482"/>
      <c r="AE41" s="483"/>
      <c r="AF41" s="480"/>
      <c r="AG41" s="480"/>
      <c r="AH41" s="485"/>
      <c r="AI41" s="482"/>
      <c r="AJ41" s="486"/>
      <c r="AM41" s="383"/>
      <c r="AN41" s="383"/>
      <c r="AP41" s="448"/>
      <c r="AQ41" s="448"/>
      <c r="AR41" s="448"/>
      <c r="AS41" s="466"/>
      <c r="AT41" s="393">
        <f t="shared" si="43"/>
        <v>34</v>
      </c>
      <c r="AU41" s="823" t="str">
        <f>AT41&amp;" "&amp;IF(AW41&lt;&gt;"-",【様式2】職員名簿!B72&amp;"/"&amp;AV41&amp;"/"&amp;AW41,"")</f>
        <v xml:space="preserve">34 </v>
      </c>
      <c r="AV41" s="823">
        <f>【様式2】職員名簿!E72</f>
        <v>0</v>
      </c>
      <c r="AW41" s="823" t="str">
        <f>IF(【様式2】職員名簿!J72="エラー","-",【様式2】職員名簿!J72)</f>
        <v>-</v>
      </c>
      <c r="AX41" s="394">
        <f>IF($AV41="常勤",$AM$2,IF($AV41="非常勤",【様式2】職員名簿!G72,0))</f>
        <v>0</v>
      </c>
      <c r="AY41" s="428">
        <f>IF($AW41=AY$3,COUNTIF($AW$8:$AW41,AY$3),0)</f>
        <v>0</v>
      </c>
      <c r="AZ41" s="429" t="str">
        <f t="shared" si="44"/>
        <v/>
      </c>
      <c r="BA41" s="430">
        <f>IF($AW41=BA$3,COUNTIF($AW$8:$AW41,BA$3),0)</f>
        <v>0</v>
      </c>
      <c r="BB41" s="429" t="str">
        <f t="shared" si="45"/>
        <v/>
      </c>
      <c r="BC41" s="431">
        <f>IF($AW41=BC$3,COUNTIF($AW$8:$AW41,BC$3),0)</f>
        <v>0</v>
      </c>
      <c r="BD41" s="429" t="str">
        <f t="shared" si="46"/>
        <v/>
      </c>
      <c r="BE41" s="393">
        <f>IF(OR($AW41=BE$3,$AW41=BE$4),COUNTIF($AW$8:$AW41,BE$3)+COUNTIF($AW$8:$AW41,BE$4),0)</f>
        <v>0</v>
      </c>
      <c r="BF41" s="429" t="str">
        <f t="shared" si="47"/>
        <v/>
      </c>
      <c r="BG41" s="393">
        <f>IF($AW41=BG$3,COUNTIF($AW$8:$AW41,BG$3),0)</f>
        <v>0</v>
      </c>
      <c r="BH41" s="429" t="str">
        <f t="shared" si="48"/>
        <v/>
      </c>
      <c r="BI41" s="393">
        <f>IF($AW41&lt;&gt;BI$3,COUNTIF($AW$8:$AW41,"&lt;&gt;"&amp;BI$3),0)</f>
        <v>0</v>
      </c>
      <c r="BJ41" s="429" t="str">
        <f t="shared" si="49"/>
        <v/>
      </c>
      <c r="BK41" s="433"/>
      <c r="BL41" s="433"/>
    </row>
    <row r="42" spans="1:65" ht="15" customHeight="1">
      <c r="A42" s="1062" t="s">
        <v>645</v>
      </c>
      <c r="B42" s="1063"/>
      <c r="C42" s="1147"/>
      <c r="D42" s="1473" t="str">
        <f>T42</f>
        <v>全職種</v>
      </c>
      <c r="E42" s="1474"/>
      <c r="F42" s="1656"/>
      <c r="G42" s="1657"/>
      <c r="H42" s="1658"/>
      <c r="I42" s="708" t="str">
        <f t="shared" ref="I42:I64" si="50">IF(OR(NOT(W42),U42=0),"",U42)</f>
        <v/>
      </c>
      <c r="J42" s="801" t="str">
        <f t="shared" ref="J42:J62" si="51">IF(OR(F42=0,F42=""),"",IF(W42,IF(X42,IF(OR(Y42,V42=3),IF(AD42,IF(OR(AE42,V42=2,V42=3),"○","要常勤"),"時間無"),"重複"),"名簿無"),"対象外"))</f>
        <v/>
      </c>
      <c r="K42" s="803"/>
      <c r="L42" s="492" t="str">
        <f t="shared" ref="L42:L64" si="52">IF(AI42=1,"調整①→",IF(AI42=5,"調整②→",IF(AI42=2,"",IF(AI42=3,"全計上→","エラー"))))</f>
        <v/>
      </c>
      <c r="M42" s="493">
        <f t="shared" ref="M42:M64" si="53">IF(OR(AND(J42&lt;&gt;"",J42&lt;&gt;"○"),AI42=4),"×",IF(J42="",0,AJ42/$AM$2))</f>
        <v>0</v>
      </c>
      <c r="N42" s="1638">
        <f>SUM(M42:M46)</f>
        <v>0</v>
      </c>
      <c r="O42" s="1639"/>
      <c r="P42" s="402"/>
      <c r="Q42" s="433"/>
      <c r="R42" s="433"/>
      <c r="S42" s="433"/>
      <c r="T42" s="768" t="str">
        <f t="shared" ref="T42:T62" si="54">$BJ$6</f>
        <v>全職種</v>
      </c>
      <c r="U42" s="763">
        <f t="shared" ref="U42:U62" si="55">IFERROR(VLOOKUP($F42,$AU$8:$AX$107,4,FALSE),0)</f>
        <v>0</v>
      </c>
      <c r="V42" s="768">
        <v>2</v>
      </c>
      <c r="W42" s="768" t="b">
        <f>ISTEXT(F42)</f>
        <v>0</v>
      </c>
      <c r="X42" s="446" t="b">
        <f t="shared" ref="X42:X63" ca="1" si="56">COUNTIF(INDIRECT(T42),F42)&gt;0</f>
        <v>0</v>
      </c>
      <c r="Y42" s="487" t="b">
        <f>COUNTIF($AC$17:AC41,AC42)+COUNTIF(AC43:$AC$65,AC42)-COUNTIF(Z42:AB42,AC42)=0</f>
        <v>0</v>
      </c>
      <c r="Z42" s="488" t="s">
        <v>536</v>
      </c>
      <c r="AA42" s="488" t="s">
        <v>536</v>
      </c>
      <c r="AB42" s="488" t="s">
        <v>536</v>
      </c>
      <c r="AC42" s="764">
        <f t="shared" ref="AC42:AC62" si="57">IF(V42=3,0,IFERROR(INDEX($AT$8:$AT$107,MATCH($F42,AU$8:AU$107,0),1),0))</f>
        <v>0</v>
      </c>
      <c r="AD42" s="446" t="b">
        <f t="shared" ref="AD42:AD64" si="58">U42&gt;0</f>
        <v>0</v>
      </c>
      <c r="AE42" s="447" t="b">
        <f t="shared" ref="AE42:AE62" si="59">IFERROR(VLOOKUP($F42,$AU$8:$AX$107,2,FALSE),"")="常勤"</f>
        <v>0</v>
      </c>
      <c r="AF42" s="768" t="str">
        <f t="shared" ref="AF42:AF62" si="60">IFERROR(VLOOKUP($F42,$AU$8:$AX$107,3,FALSE),"")</f>
        <v/>
      </c>
      <c r="AG42" s="488">
        <f t="shared" ref="AG42:AG64" si="61">M42</f>
        <v>0</v>
      </c>
      <c r="AH42" s="451">
        <v>2</v>
      </c>
      <c r="AI42" s="431">
        <f t="shared" ref="AI42:AI64" si="62">IF(AND($W42,$J42="○"),IF($K42="-",IF($U42&lt;IF($AH42=5,$AL$4,$AL$3),$AH42,2),IF($K42=0,IF($U42&lt;IF($AH42=5,$AL$4,$AL$3),IF(OR($AH42=1,$AH42=5),$AH42,3),3),IF(K42&lt;IF($AH42=5,$AL$4,$AL$3),$AH42,IF($K42&gt;$U42,4,2)))),2)</f>
        <v>2</v>
      </c>
      <c r="AJ42" s="453">
        <f t="shared" ref="AJ42:AJ64" si="63">IF(AI42=1,$AL$3,IF(AI42=5,$AL$4,IF(AI42=2,IF(K42="-",U42,K42),IF(AI42=3,U42,"×"))))</f>
        <v>0</v>
      </c>
      <c r="AM42" s="383"/>
      <c r="AN42" s="383"/>
      <c r="AP42" s="448"/>
      <c r="AQ42" s="448"/>
      <c r="AR42" s="448"/>
      <c r="AS42" s="466"/>
      <c r="AT42" s="393">
        <f t="shared" si="43"/>
        <v>35</v>
      </c>
      <c r="AU42" s="823" t="str">
        <f>AT42&amp;" "&amp;IF(AW42&lt;&gt;"-",【様式2】職員名簿!B73&amp;"/"&amp;AV42&amp;"/"&amp;AW42,"")</f>
        <v xml:space="preserve">35 </v>
      </c>
      <c r="AV42" s="823">
        <f>【様式2】職員名簿!E73</f>
        <v>0</v>
      </c>
      <c r="AW42" s="823" t="str">
        <f>IF(【様式2】職員名簿!J73="エラー","-",【様式2】職員名簿!J73)</f>
        <v>-</v>
      </c>
      <c r="AX42" s="394">
        <f>IF($AV42="常勤",$AM$2,IF($AV42="非常勤",【様式2】職員名簿!G73,0))</f>
        <v>0</v>
      </c>
      <c r="AY42" s="428">
        <f>IF($AW42=AY$3,COUNTIF($AW$8:$AW42,AY$3),0)</f>
        <v>0</v>
      </c>
      <c r="AZ42" s="429" t="str">
        <f t="shared" si="44"/>
        <v/>
      </c>
      <c r="BA42" s="430">
        <f>IF($AW42=BA$3,COUNTIF($AW$8:$AW42,BA$3),0)</f>
        <v>0</v>
      </c>
      <c r="BB42" s="429" t="str">
        <f t="shared" si="45"/>
        <v/>
      </c>
      <c r="BC42" s="431">
        <f>IF($AW42=BC$3,COUNTIF($AW$8:$AW42,BC$3),0)</f>
        <v>0</v>
      </c>
      <c r="BD42" s="429" t="str">
        <f t="shared" si="46"/>
        <v/>
      </c>
      <c r="BE42" s="393">
        <f>IF(OR($AW42=BE$3,$AW42=BE$4),COUNTIF($AW$8:$AW42,BE$3)+COUNTIF($AW$8:$AW42,BE$4),0)</f>
        <v>0</v>
      </c>
      <c r="BF42" s="429" t="str">
        <f t="shared" si="47"/>
        <v/>
      </c>
      <c r="BG42" s="393">
        <f>IF($AW42=BG$3,COUNTIF($AW$8:$AW42,BG$3),0)</f>
        <v>0</v>
      </c>
      <c r="BH42" s="429" t="str">
        <f t="shared" si="48"/>
        <v/>
      </c>
      <c r="BI42" s="393">
        <f>IF($AW42&lt;&gt;BI$3,COUNTIF($AW$8:$AW42,"&lt;&gt;"&amp;BI$3),0)</f>
        <v>0</v>
      </c>
      <c r="BJ42" s="429" t="str">
        <f t="shared" si="49"/>
        <v/>
      </c>
      <c r="BK42" s="433"/>
      <c r="BL42" s="433"/>
    </row>
    <row r="43" spans="1:65" ht="15" customHeight="1">
      <c r="A43" s="1064"/>
      <c r="B43" s="1065"/>
      <c r="C43" s="1471"/>
      <c r="D43" s="1420" t="str">
        <f t="shared" ref="D43:D62" si="64">T43</f>
        <v>全職種</v>
      </c>
      <c r="E43" s="1470"/>
      <c r="F43" s="1424"/>
      <c r="G43" s="1504"/>
      <c r="H43" s="1637"/>
      <c r="I43" s="705" t="str">
        <f t="shared" si="50"/>
        <v/>
      </c>
      <c r="J43" s="687" t="str">
        <f t="shared" si="51"/>
        <v/>
      </c>
      <c r="K43" s="799"/>
      <c r="L43" s="489" t="str">
        <f t="shared" si="52"/>
        <v/>
      </c>
      <c r="M43" s="490">
        <f t="shared" si="53"/>
        <v>0</v>
      </c>
      <c r="N43" s="1640"/>
      <c r="O43" s="1641"/>
      <c r="P43" s="402"/>
      <c r="Q43" s="433"/>
      <c r="R43" s="433"/>
      <c r="S43" s="433"/>
      <c r="T43" s="768" t="str">
        <f t="shared" si="54"/>
        <v>全職種</v>
      </c>
      <c r="U43" s="763">
        <f t="shared" si="55"/>
        <v>0</v>
      </c>
      <c r="V43" s="768">
        <v>2</v>
      </c>
      <c r="W43" s="768" t="b">
        <f t="shared" ref="W43:W62" si="65">ISTEXT(F43)</f>
        <v>0</v>
      </c>
      <c r="X43" s="446" t="b">
        <f t="shared" ca="1" si="56"/>
        <v>0</v>
      </c>
      <c r="Y43" s="487" t="b">
        <f>COUNTIF($AC$17:AC42,AC43)+COUNTIF(AC44:$AC$65,AC43)-COUNTIF(Z43:AB43,AC43)=0</f>
        <v>0</v>
      </c>
      <c r="Z43" s="488" t="s">
        <v>536</v>
      </c>
      <c r="AA43" s="488" t="s">
        <v>536</v>
      </c>
      <c r="AB43" s="488" t="s">
        <v>536</v>
      </c>
      <c r="AC43" s="764">
        <f t="shared" si="57"/>
        <v>0</v>
      </c>
      <c r="AD43" s="446" t="b">
        <f t="shared" si="58"/>
        <v>0</v>
      </c>
      <c r="AE43" s="447" t="b">
        <f t="shared" si="59"/>
        <v>0</v>
      </c>
      <c r="AF43" s="768" t="str">
        <f t="shared" si="60"/>
        <v/>
      </c>
      <c r="AG43" s="488">
        <f t="shared" si="61"/>
        <v>0</v>
      </c>
      <c r="AH43" s="451">
        <v>2</v>
      </c>
      <c r="AI43" s="431">
        <f t="shared" si="62"/>
        <v>2</v>
      </c>
      <c r="AJ43" s="453">
        <f t="shared" si="63"/>
        <v>0</v>
      </c>
      <c r="AL43" s="383"/>
      <c r="AM43" s="383"/>
      <c r="AN43" s="383"/>
      <c r="AP43" s="448"/>
      <c r="AQ43" s="466"/>
      <c r="AR43" s="466"/>
      <c r="AS43" s="466"/>
      <c r="AT43" s="393">
        <f t="shared" si="43"/>
        <v>36</v>
      </c>
      <c r="AU43" s="823" t="str">
        <f>AT43&amp;" "&amp;IF(AW43&lt;&gt;"-",【様式2】職員名簿!B74&amp;"/"&amp;AV43&amp;"/"&amp;AW43,"")</f>
        <v xml:space="preserve">36 </v>
      </c>
      <c r="AV43" s="823">
        <f>【様式2】職員名簿!E74</f>
        <v>0</v>
      </c>
      <c r="AW43" s="823" t="str">
        <f>IF(【様式2】職員名簿!J74="エラー","-",【様式2】職員名簿!J74)</f>
        <v>-</v>
      </c>
      <c r="AX43" s="394">
        <f>IF($AV43="常勤",$AM$2,IF($AV43="非常勤",【様式2】職員名簿!G74,0))</f>
        <v>0</v>
      </c>
      <c r="AY43" s="428">
        <f>IF($AW43=AY$3,COUNTIF($AW$8:$AW43,AY$3),0)</f>
        <v>0</v>
      </c>
      <c r="AZ43" s="429" t="str">
        <f t="shared" si="44"/>
        <v/>
      </c>
      <c r="BA43" s="430">
        <f>IF($AW43=BA$3,COUNTIF($AW$8:$AW43,BA$3),0)</f>
        <v>0</v>
      </c>
      <c r="BB43" s="429" t="str">
        <f t="shared" si="45"/>
        <v/>
      </c>
      <c r="BC43" s="431">
        <f>IF($AW43=BC$3,COUNTIF($AW$8:$AW43,BC$3),0)</f>
        <v>0</v>
      </c>
      <c r="BD43" s="429" t="str">
        <f t="shared" si="46"/>
        <v/>
      </c>
      <c r="BE43" s="393">
        <f>IF(OR($AW43=BE$3,$AW43=BE$4),COUNTIF($AW$8:$AW43,BE$3)+COUNTIF($AW$8:$AW43,BE$4),0)</f>
        <v>0</v>
      </c>
      <c r="BF43" s="429" t="str">
        <f t="shared" si="47"/>
        <v/>
      </c>
      <c r="BG43" s="393">
        <f>IF($AW43=BG$3,COUNTIF($AW$8:$AW43,BG$3),0)</f>
        <v>0</v>
      </c>
      <c r="BH43" s="429" t="str">
        <f t="shared" si="48"/>
        <v/>
      </c>
      <c r="BI43" s="393">
        <f>IF($AW43&lt;&gt;BI$3,COUNTIF($AW$8:$AW43,"&lt;&gt;"&amp;BI$3),0)</f>
        <v>0</v>
      </c>
      <c r="BJ43" s="429" t="str">
        <f t="shared" si="49"/>
        <v/>
      </c>
      <c r="BK43" s="433"/>
      <c r="BL43" s="433"/>
    </row>
    <row r="44" spans="1:65" ht="15" customHeight="1">
      <c r="A44" s="1064"/>
      <c r="B44" s="1065"/>
      <c r="C44" s="1471"/>
      <c r="D44" s="1420" t="str">
        <f t="shared" si="64"/>
        <v>全職種</v>
      </c>
      <c r="E44" s="1470"/>
      <c r="F44" s="1424"/>
      <c r="G44" s="1504"/>
      <c r="H44" s="1637"/>
      <c r="I44" s="705" t="str">
        <f t="shared" si="50"/>
        <v/>
      </c>
      <c r="J44" s="687" t="str">
        <f t="shared" si="51"/>
        <v/>
      </c>
      <c r="K44" s="799"/>
      <c r="L44" s="489" t="str">
        <f t="shared" si="52"/>
        <v/>
      </c>
      <c r="M44" s="490">
        <f t="shared" si="53"/>
        <v>0</v>
      </c>
      <c r="N44" s="1640"/>
      <c r="O44" s="1641"/>
      <c r="P44" s="402"/>
      <c r="Q44" s="433"/>
      <c r="R44" s="433"/>
      <c r="S44" s="433"/>
      <c r="T44" s="768" t="str">
        <f t="shared" si="54"/>
        <v>全職種</v>
      </c>
      <c r="U44" s="763">
        <f t="shared" si="55"/>
        <v>0</v>
      </c>
      <c r="V44" s="768">
        <v>2</v>
      </c>
      <c r="W44" s="768" t="b">
        <f t="shared" si="65"/>
        <v>0</v>
      </c>
      <c r="X44" s="446" t="b">
        <f t="shared" ca="1" si="56"/>
        <v>0</v>
      </c>
      <c r="Y44" s="487" t="b">
        <f>COUNTIF($AC$17:AC43,AC44)+COUNTIF(AC45:$AC$65,AC44)-COUNTIF(Z44:AB44,AC44)=0</f>
        <v>0</v>
      </c>
      <c r="Z44" s="488" t="s">
        <v>536</v>
      </c>
      <c r="AA44" s="488" t="s">
        <v>536</v>
      </c>
      <c r="AB44" s="488" t="s">
        <v>536</v>
      </c>
      <c r="AC44" s="764">
        <f t="shared" si="57"/>
        <v>0</v>
      </c>
      <c r="AD44" s="446" t="b">
        <f t="shared" si="58"/>
        <v>0</v>
      </c>
      <c r="AE44" s="447" t="b">
        <f t="shared" si="59"/>
        <v>0</v>
      </c>
      <c r="AF44" s="768" t="str">
        <f t="shared" si="60"/>
        <v/>
      </c>
      <c r="AG44" s="488">
        <f t="shared" si="61"/>
        <v>0</v>
      </c>
      <c r="AH44" s="451">
        <v>2</v>
      </c>
      <c r="AI44" s="431">
        <f t="shared" si="62"/>
        <v>2</v>
      </c>
      <c r="AJ44" s="453">
        <f t="shared" si="63"/>
        <v>0</v>
      </c>
      <c r="AL44" s="383"/>
      <c r="AM44" s="383"/>
      <c r="AN44" s="383"/>
      <c r="AP44" s="448"/>
      <c r="AQ44" s="466"/>
      <c r="AR44" s="466"/>
      <c r="AS44" s="434"/>
      <c r="AT44" s="393">
        <f t="shared" si="43"/>
        <v>37</v>
      </c>
      <c r="AU44" s="823" t="str">
        <f>AT44&amp;" "&amp;IF(AW44&lt;&gt;"-",【様式2】職員名簿!B75&amp;"/"&amp;AV44&amp;"/"&amp;AW44,"")</f>
        <v xml:space="preserve">37 </v>
      </c>
      <c r="AV44" s="823">
        <f>【様式2】職員名簿!E75</f>
        <v>0</v>
      </c>
      <c r="AW44" s="823" t="str">
        <f>IF(【様式2】職員名簿!J75="エラー","-",【様式2】職員名簿!J75)</f>
        <v>-</v>
      </c>
      <c r="AX44" s="394">
        <f>IF($AV44="常勤",$AM$2,IF($AV44="非常勤",【様式2】職員名簿!G75,0))</f>
        <v>0</v>
      </c>
      <c r="AY44" s="428">
        <f>IF($AW44=AY$3,COUNTIF($AW$8:$AW44,AY$3),0)</f>
        <v>0</v>
      </c>
      <c r="AZ44" s="429" t="str">
        <f t="shared" si="44"/>
        <v/>
      </c>
      <c r="BA44" s="430">
        <f>IF($AW44=BA$3,COUNTIF($AW$8:$AW44,BA$3),0)</f>
        <v>0</v>
      </c>
      <c r="BB44" s="429" t="str">
        <f t="shared" si="45"/>
        <v/>
      </c>
      <c r="BC44" s="431">
        <f>IF($AW44=BC$3,COUNTIF($AW$8:$AW44,BC$3),0)</f>
        <v>0</v>
      </c>
      <c r="BD44" s="429" t="str">
        <f t="shared" si="46"/>
        <v/>
      </c>
      <c r="BE44" s="393">
        <f>IF(OR($AW44=BE$3,$AW44=BE$4),COUNTIF($AW$8:$AW44,BE$3)+COUNTIF($AW$8:$AW44,BE$4),0)</f>
        <v>0</v>
      </c>
      <c r="BF44" s="429" t="str">
        <f t="shared" si="47"/>
        <v/>
      </c>
      <c r="BG44" s="393">
        <f>IF($AW44=BG$3,COUNTIF($AW$8:$AW44,BG$3),0)</f>
        <v>0</v>
      </c>
      <c r="BH44" s="429" t="str">
        <f t="shared" si="48"/>
        <v/>
      </c>
      <c r="BI44" s="393">
        <f>IF($AW44&lt;&gt;BI$3,COUNTIF($AW$8:$AW44,"&lt;&gt;"&amp;BI$3),0)</f>
        <v>0</v>
      </c>
      <c r="BJ44" s="429" t="str">
        <f t="shared" si="49"/>
        <v/>
      </c>
      <c r="BK44" s="433"/>
      <c r="BL44" s="433"/>
    </row>
    <row r="45" spans="1:65" ht="15" customHeight="1">
      <c r="A45" s="1064"/>
      <c r="B45" s="1065"/>
      <c r="C45" s="1471"/>
      <c r="D45" s="1420" t="str">
        <f t="shared" si="64"/>
        <v>全職種</v>
      </c>
      <c r="E45" s="1470"/>
      <c r="F45" s="1424"/>
      <c r="G45" s="1504"/>
      <c r="H45" s="1637"/>
      <c r="I45" s="705" t="str">
        <f t="shared" si="50"/>
        <v/>
      </c>
      <c r="J45" s="687" t="str">
        <f t="shared" si="51"/>
        <v/>
      </c>
      <c r="K45" s="799"/>
      <c r="L45" s="489" t="str">
        <f t="shared" si="52"/>
        <v/>
      </c>
      <c r="M45" s="490">
        <f t="shared" si="53"/>
        <v>0</v>
      </c>
      <c r="N45" s="1640"/>
      <c r="O45" s="1641"/>
      <c r="P45" s="402"/>
      <c r="Q45" s="433"/>
      <c r="R45" s="433"/>
      <c r="S45" s="433"/>
      <c r="T45" s="768" t="str">
        <f t="shared" si="54"/>
        <v>全職種</v>
      </c>
      <c r="U45" s="763">
        <f t="shared" si="55"/>
        <v>0</v>
      </c>
      <c r="V45" s="768">
        <v>2</v>
      </c>
      <c r="W45" s="768" t="b">
        <f t="shared" si="65"/>
        <v>0</v>
      </c>
      <c r="X45" s="446" t="b">
        <f t="shared" ca="1" si="56"/>
        <v>0</v>
      </c>
      <c r="Y45" s="487" t="b">
        <f>COUNTIF($AC$17:AC44,AC45)+COUNTIF(AC46:$AC$65,AC45)-COUNTIF(Z45:AB45,AC45)=0</f>
        <v>0</v>
      </c>
      <c r="Z45" s="488" t="s">
        <v>536</v>
      </c>
      <c r="AA45" s="488" t="s">
        <v>536</v>
      </c>
      <c r="AB45" s="488" t="s">
        <v>536</v>
      </c>
      <c r="AC45" s="764">
        <f t="shared" si="57"/>
        <v>0</v>
      </c>
      <c r="AD45" s="446" t="b">
        <f t="shared" si="58"/>
        <v>0</v>
      </c>
      <c r="AE45" s="447" t="b">
        <f t="shared" si="59"/>
        <v>0</v>
      </c>
      <c r="AF45" s="768" t="str">
        <f t="shared" si="60"/>
        <v/>
      </c>
      <c r="AG45" s="488">
        <f t="shared" si="61"/>
        <v>0</v>
      </c>
      <c r="AH45" s="451">
        <v>2</v>
      </c>
      <c r="AI45" s="431">
        <f t="shared" si="62"/>
        <v>2</v>
      </c>
      <c r="AJ45" s="453">
        <f t="shared" si="63"/>
        <v>0</v>
      </c>
      <c r="AM45" s="383"/>
      <c r="AN45" s="383"/>
      <c r="AP45" s="448"/>
      <c r="AQ45" s="466"/>
      <c r="AR45" s="466"/>
      <c r="AS45" s="434"/>
      <c r="AT45" s="393">
        <f t="shared" si="43"/>
        <v>38</v>
      </c>
      <c r="AU45" s="823" t="str">
        <f>AT45&amp;" "&amp;IF(AW45&lt;&gt;"-",【様式2】職員名簿!B76&amp;"/"&amp;AV45&amp;"/"&amp;AW45,"")</f>
        <v xml:space="preserve">38 </v>
      </c>
      <c r="AV45" s="823">
        <f>【様式2】職員名簿!E76</f>
        <v>0</v>
      </c>
      <c r="AW45" s="823" t="str">
        <f>IF(【様式2】職員名簿!J76="エラー","-",【様式2】職員名簿!J76)</f>
        <v>-</v>
      </c>
      <c r="AX45" s="394">
        <f>IF($AV45="常勤",$AM$2,IF($AV45="非常勤",【様式2】職員名簿!G76,0))</f>
        <v>0</v>
      </c>
      <c r="AY45" s="428">
        <f>IF($AW45=AY$3,COUNTIF($AW$8:$AW45,AY$3),0)</f>
        <v>0</v>
      </c>
      <c r="AZ45" s="429" t="str">
        <f t="shared" si="44"/>
        <v/>
      </c>
      <c r="BA45" s="430">
        <f>IF($AW45=BA$3,COUNTIF($AW$8:$AW45,BA$3),0)</f>
        <v>0</v>
      </c>
      <c r="BB45" s="429" t="str">
        <f t="shared" si="45"/>
        <v/>
      </c>
      <c r="BC45" s="431">
        <f>IF($AW45=BC$3,COUNTIF($AW$8:$AW45,BC$3),0)</f>
        <v>0</v>
      </c>
      <c r="BD45" s="429" t="str">
        <f t="shared" si="46"/>
        <v/>
      </c>
      <c r="BE45" s="393">
        <f>IF(OR($AW45=BE$3,$AW45=BE$4),COUNTIF($AW$8:$AW45,BE$3)+COUNTIF($AW$8:$AW45,BE$4),0)</f>
        <v>0</v>
      </c>
      <c r="BF45" s="429" t="str">
        <f t="shared" si="47"/>
        <v/>
      </c>
      <c r="BG45" s="393">
        <f>IF($AW45=BG$3,COUNTIF($AW$8:$AW45,BG$3),0)</f>
        <v>0</v>
      </c>
      <c r="BH45" s="429" t="str">
        <f t="shared" si="48"/>
        <v/>
      </c>
      <c r="BI45" s="393">
        <f>IF($AW45&lt;&gt;BI$3,COUNTIF($AW$8:$AW45,"&lt;&gt;"&amp;BI$3),0)</f>
        <v>0</v>
      </c>
      <c r="BJ45" s="429" t="str">
        <f t="shared" si="49"/>
        <v/>
      </c>
      <c r="BK45" s="433"/>
      <c r="BL45" s="433"/>
    </row>
    <row r="46" spans="1:65" ht="15" customHeight="1">
      <c r="A46" s="1066"/>
      <c r="B46" s="1067"/>
      <c r="C46" s="1472"/>
      <c r="D46" s="1538" t="str">
        <f t="shared" si="64"/>
        <v>全職種</v>
      </c>
      <c r="E46" s="1541"/>
      <c r="F46" s="1644"/>
      <c r="G46" s="1645"/>
      <c r="H46" s="1646"/>
      <c r="I46" s="709" t="str">
        <f t="shared" si="50"/>
        <v/>
      </c>
      <c r="J46" s="769" t="str">
        <f t="shared" si="51"/>
        <v/>
      </c>
      <c r="K46" s="804"/>
      <c r="L46" s="468" t="str">
        <f t="shared" si="52"/>
        <v/>
      </c>
      <c r="M46" s="469">
        <f t="shared" si="53"/>
        <v>0</v>
      </c>
      <c r="N46" s="1642"/>
      <c r="O46" s="1643"/>
      <c r="P46" s="402"/>
      <c r="Q46" s="433"/>
      <c r="R46" s="433"/>
      <c r="S46" s="433"/>
      <c r="T46" s="768" t="str">
        <f t="shared" si="54"/>
        <v>全職種</v>
      </c>
      <c r="U46" s="763">
        <f t="shared" si="55"/>
        <v>0</v>
      </c>
      <c r="V46" s="768">
        <v>2</v>
      </c>
      <c r="W46" s="768" t="b">
        <f t="shared" si="65"/>
        <v>0</v>
      </c>
      <c r="X46" s="446" t="b">
        <f t="shared" ca="1" si="56"/>
        <v>0</v>
      </c>
      <c r="Y46" s="487" t="b">
        <f>COUNTIF($AC$17:AC45,AC46)+COUNTIF(AC47:$AC$65,AC46)-COUNTIF(Z46:AB46,AC46)=0</f>
        <v>0</v>
      </c>
      <c r="Z46" s="488" t="s">
        <v>536</v>
      </c>
      <c r="AA46" s="488" t="s">
        <v>536</v>
      </c>
      <c r="AB46" s="488" t="s">
        <v>536</v>
      </c>
      <c r="AC46" s="764">
        <f t="shared" si="57"/>
        <v>0</v>
      </c>
      <c r="AD46" s="446" t="b">
        <f t="shared" si="58"/>
        <v>0</v>
      </c>
      <c r="AE46" s="447" t="b">
        <f t="shared" si="59"/>
        <v>0</v>
      </c>
      <c r="AF46" s="768" t="str">
        <f t="shared" si="60"/>
        <v/>
      </c>
      <c r="AG46" s="488">
        <f t="shared" si="61"/>
        <v>0</v>
      </c>
      <c r="AH46" s="451">
        <v>2</v>
      </c>
      <c r="AI46" s="431">
        <f t="shared" si="62"/>
        <v>2</v>
      </c>
      <c r="AJ46" s="453">
        <f t="shared" si="63"/>
        <v>0</v>
      </c>
      <c r="AM46" s="383"/>
      <c r="AN46" s="383"/>
      <c r="AP46" s="448"/>
      <c r="AR46" s="466"/>
      <c r="AS46" s="434"/>
      <c r="AT46" s="393">
        <f t="shared" si="43"/>
        <v>39</v>
      </c>
      <c r="AU46" s="823" t="str">
        <f>AT46&amp;" "&amp;IF(AW46&lt;&gt;"-",【様式2】職員名簿!B77&amp;"/"&amp;AV46&amp;"/"&amp;AW46,"")</f>
        <v xml:space="preserve">39 </v>
      </c>
      <c r="AV46" s="823">
        <f>【様式2】職員名簿!E77</f>
        <v>0</v>
      </c>
      <c r="AW46" s="823" t="str">
        <f>IF(【様式2】職員名簿!J77="エラー","-",【様式2】職員名簿!J77)</f>
        <v>-</v>
      </c>
      <c r="AX46" s="394">
        <f>IF($AV46="常勤",$AM$2,IF($AV46="非常勤",【様式2】職員名簿!G77,0))</f>
        <v>0</v>
      </c>
      <c r="AY46" s="428">
        <f>IF($AW46=AY$3,COUNTIF($AW$8:$AW46,AY$3),0)</f>
        <v>0</v>
      </c>
      <c r="AZ46" s="429" t="str">
        <f t="shared" si="44"/>
        <v/>
      </c>
      <c r="BA46" s="430">
        <f>IF($AW46=BA$3,COUNTIF($AW$8:$AW46,BA$3),0)</f>
        <v>0</v>
      </c>
      <c r="BB46" s="429" t="str">
        <f t="shared" si="45"/>
        <v/>
      </c>
      <c r="BC46" s="431">
        <f>IF($AW46=BC$3,COUNTIF($AW$8:$AW46,BC$3),0)</f>
        <v>0</v>
      </c>
      <c r="BD46" s="429" t="str">
        <f t="shared" si="46"/>
        <v/>
      </c>
      <c r="BE46" s="393">
        <f>IF(OR($AW46=BE$3,$AW46=BE$4),COUNTIF($AW$8:$AW46,BE$3)+COUNTIF($AW$8:$AW46,BE$4),0)</f>
        <v>0</v>
      </c>
      <c r="BF46" s="429" t="str">
        <f t="shared" si="47"/>
        <v/>
      </c>
      <c r="BG46" s="393">
        <f>IF($AW46=BG$3,COUNTIF($AW$8:$AW46,BG$3),0)</f>
        <v>0</v>
      </c>
      <c r="BH46" s="429" t="str">
        <f t="shared" si="48"/>
        <v/>
      </c>
      <c r="BI46" s="393">
        <f>IF($AW46&lt;&gt;BI$3,COUNTIF($AW$8:$AW46,"&lt;&gt;"&amp;BI$3),0)</f>
        <v>0</v>
      </c>
      <c r="BJ46" s="429" t="str">
        <f t="shared" si="49"/>
        <v/>
      </c>
      <c r="BK46" s="433"/>
      <c r="BL46" s="433"/>
    </row>
    <row r="47" spans="1:65" ht="15" customHeight="1">
      <c r="A47" s="1647" t="s">
        <v>630</v>
      </c>
      <c r="B47" s="1648"/>
      <c r="C47" s="1649"/>
      <c r="D47" s="1473" t="str">
        <f t="shared" si="64"/>
        <v>全職種</v>
      </c>
      <c r="E47" s="1474"/>
      <c r="F47" s="1494"/>
      <c r="G47" s="1495"/>
      <c r="H47" s="1496"/>
      <c r="I47" s="710" t="str">
        <f t="shared" si="50"/>
        <v/>
      </c>
      <c r="J47" s="801" t="str">
        <f t="shared" si="51"/>
        <v/>
      </c>
      <c r="K47" s="803"/>
      <c r="L47" s="492" t="str">
        <f t="shared" si="52"/>
        <v/>
      </c>
      <c r="M47" s="493">
        <f t="shared" si="53"/>
        <v>0</v>
      </c>
      <c r="N47" s="1638">
        <f>SUM(M47:M49)</f>
        <v>0</v>
      </c>
      <c r="O47" s="1639"/>
      <c r="P47" s="402"/>
      <c r="Q47" s="433"/>
      <c r="R47" s="433"/>
      <c r="S47" s="433"/>
      <c r="T47" s="768" t="str">
        <f t="shared" si="54"/>
        <v>全職種</v>
      </c>
      <c r="U47" s="763">
        <f t="shared" si="55"/>
        <v>0</v>
      </c>
      <c r="V47" s="768">
        <v>2</v>
      </c>
      <c r="W47" s="768" t="b">
        <f t="shared" si="65"/>
        <v>0</v>
      </c>
      <c r="X47" s="446" t="b">
        <f t="shared" ca="1" si="56"/>
        <v>0</v>
      </c>
      <c r="Y47" s="487" t="b">
        <f>COUNTIF($AC$17:AC46,AC47)+COUNTIF(AC48:$AC$65,AC47)-COUNTIF(Z47:AB47,AC47)=0</f>
        <v>0</v>
      </c>
      <c r="Z47" s="488" t="s">
        <v>536</v>
      </c>
      <c r="AA47" s="488" t="s">
        <v>536</v>
      </c>
      <c r="AB47" s="488" t="s">
        <v>536</v>
      </c>
      <c r="AC47" s="764">
        <f t="shared" si="57"/>
        <v>0</v>
      </c>
      <c r="AD47" s="446" t="b">
        <f t="shared" si="58"/>
        <v>0</v>
      </c>
      <c r="AE47" s="447" t="b">
        <f t="shared" si="59"/>
        <v>0</v>
      </c>
      <c r="AF47" s="768" t="str">
        <f t="shared" si="60"/>
        <v/>
      </c>
      <c r="AG47" s="488">
        <f t="shared" si="61"/>
        <v>0</v>
      </c>
      <c r="AH47" s="451">
        <v>2</v>
      </c>
      <c r="AI47" s="431">
        <f t="shared" si="62"/>
        <v>2</v>
      </c>
      <c r="AJ47" s="453">
        <f t="shared" si="63"/>
        <v>0</v>
      </c>
      <c r="AM47" s="383"/>
      <c r="AN47" s="383"/>
      <c r="AP47" s="448"/>
      <c r="AQ47" s="466"/>
      <c r="AR47" s="466"/>
      <c r="AS47" s="434"/>
      <c r="AT47" s="393">
        <f t="shared" si="43"/>
        <v>40</v>
      </c>
      <c r="AU47" s="823" t="str">
        <f>AT47&amp;" "&amp;IF(AW47&lt;&gt;"-",【様式2】職員名簿!B78&amp;"/"&amp;AV47&amp;"/"&amp;AW47,"")</f>
        <v xml:space="preserve">40 </v>
      </c>
      <c r="AV47" s="823">
        <f>【様式2】職員名簿!E78</f>
        <v>0</v>
      </c>
      <c r="AW47" s="823" t="str">
        <f>IF(【様式2】職員名簿!J78="エラー","-",【様式2】職員名簿!J78)</f>
        <v>-</v>
      </c>
      <c r="AX47" s="394">
        <f>IF($AV47="常勤",$AM$2,IF($AV47="非常勤",【様式2】職員名簿!G78,0))</f>
        <v>0</v>
      </c>
      <c r="AY47" s="428">
        <f>IF($AW47=AY$3,COUNTIF($AW$8:$AW47,AY$3),0)</f>
        <v>0</v>
      </c>
      <c r="AZ47" s="429" t="str">
        <f t="shared" si="44"/>
        <v/>
      </c>
      <c r="BA47" s="430">
        <f>IF($AW47=BA$3,COUNTIF($AW$8:$AW47,BA$3),0)</f>
        <v>0</v>
      </c>
      <c r="BB47" s="429" t="str">
        <f t="shared" si="45"/>
        <v/>
      </c>
      <c r="BC47" s="431">
        <f>IF($AW47=BC$3,COUNTIF($AW$8:$AW47,BC$3),0)</f>
        <v>0</v>
      </c>
      <c r="BD47" s="429" t="str">
        <f t="shared" si="46"/>
        <v/>
      </c>
      <c r="BE47" s="393">
        <f>IF(OR($AW47=BE$3,$AW47=BE$4),COUNTIF($AW$8:$AW47,BE$3)+COUNTIF($AW$8:$AW47,BE$4),0)</f>
        <v>0</v>
      </c>
      <c r="BF47" s="429" t="str">
        <f t="shared" si="47"/>
        <v/>
      </c>
      <c r="BG47" s="393">
        <f>IF($AW47=BG$3,COUNTIF($AW$8:$AW47,BG$3),0)</f>
        <v>0</v>
      </c>
      <c r="BH47" s="429" t="str">
        <f t="shared" si="48"/>
        <v/>
      </c>
      <c r="BI47" s="393">
        <f>IF($AW47&lt;&gt;BI$3,COUNTIF($AW$8:$AW47,"&lt;&gt;"&amp;BI$3),0)</f>
        <v>0</v>
      </c>
      <c r="BJ47" s="429" t="str">
        <f t="shared" si="49"/>
        <v/>
      </c>
      <c r="BK47" s="433"/>
      <c r="BL47" s="433"/>
    </row>
    <row r="48" spans="1:65" ht="15" customHeight="1">
      <c r="A48" s="1650"/>
      <c r="B48" s="1651"/>
      <c r="C48" s="1652"/>
      <c r="D48" s="1420" t="str">
        <f t="shared" si="64"/>
        <v>全職種</v>
      </c>
      <c r="E48" s="1470"/>
      <c r="F48" s="1424"/>
      <c r="G48" s="1504"/>
      <c r="H48" s="1637"/>
      <c r="I48" s="705" t="str">
        <f t="shared" si="50"/>
        <v/>
      </c>
      <c r="J48" s="687" t="str">
        <f t="shared" si="51"/>
        <v/>
      </c>
      <c r="K48" s="799"/>
      <c r="L48" s="489" t="str">
        <f t="shared" si="52"/>
        <v/>
      </c>
      <c r="M48" s="490">
        <f t="shared" si="53"/>
        <v>0</v>
      </c>
      <c r="N48" s="1640"/>
      <c r="O48" s="1641"/>
      <c r="P48" s="402"/>
      <c r="Q48" s="433"/>
      <c r="R48" s="433"/>
      <c r="S48" s="433"/>
      <c r="T48" s="768" t="str">
        <f t="shared" si="54"/>
        <v>全職種</v>
      </c>
      <c r="U48" s="763">
        <f t="shared" si="55"/>
        <v>0</v>
      </c>
      <c r="V48" s="768">
        <v>2</v>
      </c>
      <c r="W48" s="768" t="b">
        <f t="shared" si="65"/>
        <v>0</v>
      </c>
      <c r="X48" s="446" t="b">
        <f t="shared" ca="1" si="56"/>
        <v>0</v>
      </c>
      <c r="Y48" s="487" t="b">
        <f>COUNTIF($AC$17:AC47,AC48)+COUNTIF(AC49:$AC$65,AC48)-COUNTIF(Z48:AB48,AC48)=0</f>
        <v>0</v>
      </c>
      <c r="Z48" s="488" t="s">
        <v>536</v>
      </c>
      <c r="AA48" s="488" t="s">
        <v>536</v>
      </c>
      <c r="AB48" s="488" t="s">
        <v>536</v>
      </c>
      <c r="AC48" s="764">
        <f t="shared" si="57"/>
        <v>0</v>
      </c>
      <c r="AD48" s="446" t="b">
        <f t="shared" si="58"/>
        <v>0</v>
      </c>
      <c r="AE48" s="447" t="b">
        <f t="shared" si="59"/>
        <v>0</v>
      </c>
      <c r="AF48" s="768" t="str">
        <f t="shared" si="60"/>
        <v/>
      </c>
      <c r="AG48" s="488">
        <f t="shared" si="61"/>
        <v>0</v>
      </c>
      <c r="AH48" s="451">
        <v>2</v>
      </c>
      <c r="AI48" s="431">
        <f t="shared" si="62"/>
        <v>2</v>
      </c>
      <c r="AJ48" s="453">
        <f t="shared" si="63"/>
        <v>0</v>
      </c>
      <c r="AM48" s="383"/>
      <c r="AP48" s="448"/>
      <c r="AQ48" s="466"/>
      <c r="AR48" s="466"/>
      <c r="AS48" s="434"/>
      <c r="AT48" s="393">
        <f t="shared" si="43"/>
        <v>41</v>
      </c>
      <c r="AU48" s="823" t="str">
        <f>AT48&amp;" "&amp;IF(AW48&lt;&gt;"-",【様式2】職員名簿!B79&amp;"/"&amp;AV48&amp;"/"&amp;AW48,"")</f>
        <v xml:space="preserve">41 </v>
      </c>
      <c r="AV48" s="823">
        <f>【様式2】職員名簿!E79</f>
        <v>0</v>
      </c>
      <c r="AW48" s="823" t="str">
        <f>IF(【様式2】職員名簿!J79="エラー","-",【様式2】職員名簿!J79)</f>
        <v>-</v>
      </c>
      <c r="AX48" s="394">
        <f>IF($AV48="常勤",$AM$2,IF($AV48="非常勤",【様式2】職員名簿!G79,0))</f>
        <v>0</v>
      </c>
      <c r="AY48" s="428">
        <f>IF($AW48=AY$3,COUNTIF($AW$8:$AW48,AY$3),0)</f>
        <v>0</v>
      </c>
      <c r="AZ48" s="429" t="str">
        <f t="shared" si="44"/>
        <v/>
      </c>
      <c r="BA48" s="430">
        <f>IF($AW48=BA$3,COUNTIF($AW$8:$AW48,BA$3),0)</f>
        <v>0</v>
      </c>
      <c r="BB48" s="429" t="str">
        <f t="shared" si="45"/>
        <v/>
      </c>
      <c r="BC48" s="431">
        <f>IF($AW48=BC$3,COUNTIF($AW$8:$AW48,BC$3),0)</f>
        <v>0</v>
      </c>
      <c r="BD48" s="429" t="str">
        <f t="shared" si="46"/>
        <v/>
      </c>
      <c r="BE48" s="393">
        <f>IF(OR($AW48=BE$3,$AW48=BE$4),COUNTIF($AW$8:$AW48,BE$3)+COUNTIF($AW$8:$AW48,BE$4),0)</f>
        <v>0</v>
      </c>
      <c r="BF48" s="429" t="str">
        <f t="shared" si="47"/>
        <v/>
      </c>
      <c r="BG48" s="393">
        <f>IF($AW48=BG$3,COUNTIF($AW$8:$AW48,BG$3),0)</f>
        <v>0</v>
      </c>
      <c r="BH48" s="429" t="str">
        <f t="shared" si="48"/>
        <v/>
      </c>
      <c r="BI48" s="393">
        <f>IF($AW48&lt;&gt;BI$3,COUNTIF($AW$8:$AW48,"&lt;&gt;"&amp;BI$3),0)</f>
        <v>0</v>
      </c>
      <c r="BJ48" s="429" t="str">
        <f t="shared" si="49"/>
        <v/>
      </c>
      <c r="BK48" s="433"/>
      <c r="BL48" s="433"/>
    </row>
    <row r="49" spans="1:64" ht="15" customHeight="1">
      <c r="A49" s="1653"/>
      <c r="B49" s="1654"/>
      <c r="C49" s="1655"/>
      <c r="D49" s="1538" t="str">
        <f t="shared" si="64"/>
        <v>全職種</v>
      </c>
      <c r="E49" s="1541"/>
      <c r="F49" s="1644"/>
      <c r="G49" s="1645"/>
      <c r="H49" s="1646"/>
      <c r="I49" s="709" t="str">
        <f t="shared" si="50"/>
        <v/>
      </c>
      <c r="J49" s="769" t="str">
        <f t="shared" si="51"/>
        <v/>
      </c>
      <c r="K49" s="804"/>
      <c r="L49" s="468" t="str">
        <f t="shared" si="52"/>
        <v/>
      </c>
      <c r="M49" s="469">
        <f t="shared" si="53"/>
        <v>0</v>
      </c>
      <c r="N49" s="1642"/>
      <c r="O49" s="1643"/>
      <c r="P49" s="402"/>
      <c r="Q49" s="433"/>
      <c r="R49" s="433"/>
      <c r="S49" s="433"/>
      <c r="T49" s="768" t="str">
        <f t="shared" si="54"/>
        <v>全職種</v>
      </c>
      <c r="U49" s="763">
        <f t="shared" si="55"/>
        <v>0</v>
      </c>
      <c r="V49" s="768">
        <v>2</v>
      </c>
      <c r="W49" s="768" t="b">
        <f t="shared" si="65"/>
        <v>0</v>
      </c>
      <c r="X49" s="446" t="b">
        <f t="shared" ca="1" si="56"/>
        <v>0</v>
      </c>
      <c r="Y49" s="487" t="b">
        <f>COUNTIF($AC$17:AC48,AC49)+COUNTIF(AC50:$AC$65,AC49)-COUNTIF(Z49:AB49,AC49)=0</f>
        <v>0</v>
      </c>
      <c r="Z49" s="488" t="s">
        <v>536</v>
      </c>
      <c r="AA49" s="488" t="s">
        <v>536</v>
      </c>
      <c r="AB49" s="488" t="s">
        <v>536</v>
      </c>
      <c r="AC49" s="764">
        <f t="shared" si="57"/>
        <v>0</v>
      </c>
      <c r="AD49" s="446" t="b">
        <f t="shared" si="58"/>
        <v>0</v>
      </c>
      <c r="AE49" s="447" t="b">
        <f t="shared" si="59"/>
        <v>0</v>
      </c>
      <c r="AF49" s="768" t="str">
        <f t="shared" si="60"/>
        <v/>
      </c>
      <c r="AG49" s="488">
        <f t="shared" si="61"/>
        <v>0</v>
      </c>
      <c r="AH49" s="451">
        <v>2</v>
      </c>
      <c r="AI49" s="431">
        <f t="shared" si="62"/>
        <v>2</v>
      </c>
      <c r="AJ49" s="453">
        <f t="shared" si="63"/>
        <v>0</v>
      </c>
      <c r="AM49" s="383"/>
      <c r="AP49" s="448"/>
      <c r="AQ49" s="466"/>
      <c r="AR49" s="466"/>
      <c r="AS49" s="434"/>
      <c r="AT49" s="393">
        <f t="shared" si="43"/>
        <v>42</v>
      </c>
      <c r="AU49" s="823" t="str">
        <f>AT49&amp;" "&amp;IF(AW49&lt;&gt;"-",【様式2】職員名簿!B80&amp;"/"&amp;AV49&amp;"/"&amp;AW49,"")</f>
        <v xml:space="preserve">42 </v>
      </c>
      <c r="AV49" s="823">
        <f>【様式2】職員名簿!E80</f>
        <v>0</v>
      </c>
      <c r="AW49" s="823" t="str">
        <f>IF(【様式2】職員名簿!J80="エラー","-",【様式2】職員名簿!J80)</f>
        <v>-</v>
      </c>
      <c r="AX49" s="394">
        <f>IF($AV49="常勤",$AM$2,IF($AV49="非常勤",【様式2】職員名簿!G80,0))</f>
        <v>0</v>
      </c>
      <c r="AY49" s="428">
        <f>IF($AW49=AY$3,COUNTIF($AW$8:$AW49,AY$3),0)</f>
        <v>0</v>
      </c>
      <c r="AZ49" s="429" t="str">
        <f t="shared" si="44"/>
        <v/>
      </c>
      <c r="BA49" s="430">
        <f>IF($AW49=BA$3,COUNTIF($AW$8:$AW49,BA$3),0)</f>
        <v>0</v>
      </c>
      <c r="BB49" s="429" t="str">
        <f t="shared" si="45"/>
        <v/>
      </c>
      <c r="BC49" s="431">
        <f>IF($AW49=BC$3,COUNTIF($AW$8:$AW49,BC$3),0)</f>
        <v>0</v>
      </c>
      <c r="BD49" s="429" t="str">
        <f t="shared" si="46"/>
        <v/>
      </c>
      <c r="BE49" s="393">
        <f>IF(OR($AW49=BE$3,$AW49=BE$4),COUNTIF($AW$8:$AW49,BE$3)+COUNTIF($AW$8:$AW49,BE$4),0)</f>
        <v>0</v>
      </c>
      <c r="BF49" s="429" t="str">
        <f t="shared" si="47"/>
        <v/>
      </c>
      <c r="BG49" s="393">
        <f>IF($AW49=BG$3,COUNTIF($AW$8:$AW49,BG$3),0)</f>
        <v>0</v>
      </c>
      <c r="BH49" s="429" t="str">
        <f t="shared" si="48"/>
        <v/>
      </c>
      <c r="BI49" s="393">
        <f>IF($AW49&lt;&gt;BI$3,COUNTIF($AW$8:$AW49,"&lt;&gt;"&amp;BI$3),0)</f>
        <v>0</v>
      </c>
      <c r="BJ49" s="429" t="str">
        <f t="shared" si="49"/>
        <v/>
      </c>
      <c r="BK49" s="433"/>
      <c r="BL49" s="433"/>
    </row>
    <row r="50" spans="1:64" ht="15" customHeight="1">
      <c r="A50" s="1647" t="s">
        <v>631</v>
      </c>
      <c r="B50" s="1648"/>
      <c r="C50" s="1649"/>
      <c r="D50" s="1473" t="str">
        <f t="shared" si="64"/>
        <v>調理員</v>
      </c>
      <c r="E50" s="1474"/>
      <c r="F50" s="1494"/>
      <c r="G50" s="1495"/>
      <c r="H50" s="1496"/>
      <c r="I50" s="710" t="str">
        <f t="shared" si="50"/>
        <v/>
      </c>
      <c r="J50" s="801" t="str">
        <f t="shared" si="51"/>
        <v/>
      </c>
      <c r="K50" s="803"/>
      <c r="L50" s="492" t="str">
        <f t="shared" si="52"/>
        <v/>
      </c>
      <c r="M50" s="493">
        <f t="shared" si="53"/>
        <v>0</v>
      </c>
      <c r="N50" s="1638">
        <f>SUM(M50:M52)</f>
        <v>0</v>
      </c>
      <c r="O50" s="1639"/>
      <c r="P50" s="402"/>
      <c r="Q50" s="433"/>
      <c r="R50" s="433"/>
      <c r="S50" s="433"/>
      <c r="T50" s="768" t="str">
        <f t="shared" ref="T50:T52" si="66">$BF$6</f>
        <v>調理員</v>
      </c>
      <c r="U50" s="763">
        <f t="shared" si="55"/>
        <v>0</v>
      </c>
      <c r="V50" s="768">
        <v>2</v>
      </c>
      <c r="W50" s="768" t="b">
        <f t="shared" si="65"/>
        <v>0</v>
      </c>
      <c r="X50" s="446" t="b">
        <f t="shared" ca="1" si="56"/>
        <v>0</v>
      </c>
      <c r="Y50" s="487" t="b">
        <f>COUNTIF($AC$17:AC49,AC50)+COUNTIF(AC51:$AC$65,AC50)-COUNTIF(Z50:AB50,AC50)=0</f>
        <v>0</v>
      </c>
      <c r="Z50" s="488" t="s">
        <v>536</v>
      </c>
      <c r="AA50" s="488" t="s">
        <v>536</v>
      </c>
      <c r="AB50" s="488" t="s">
        <v>536</v>
      </c>
      <c r="AC50" s="764">
        <f t="shared" si="57"/>
        <v>0</v>
      </c>
      <c r="AD50" s="446" t="b">
        <f t="shared" si="58"/>
        <v>0</v>
      </c>
      <c r="AE50" s="447" t="b">
        <f t="shared" si="59"/>
        <v>0</v>
      </c>
      <c r="AF50" s="768" t="str">
        <f t="shared" si="60"/>
        <v/>
      </c>
      <c r="AG50" s="488">
        <f t="shared" si="61"/>
        <v>0</v>
      </c>
      <c r="AH50" s="451">
        <v>2</v>
      </c>
      <c r="AI50" s="431">
        <f t="shared" si="62"/>
        <v>2</v>
      </c>
      <c r="AJ50" s="453">
        <f t="shared" si="63"/>
        <v>0</v>
      </c>
      <c r="AM50" s="383"/>
      <c r="AP50" s="466"/>
      <c r="AQ50" s="466"/>
      <c r="AR50" s="466"/>
      <c r="AS50" s="434"/>
      <c r="AT50" s="393">
        <f t="shared" si="43"/>
        <v>43</v>
      </c>
      <c r="AU50" s="823" t="str">
        <f>AT50&amp;" "&amp;IF(AW50&lt;&gt;"-",【様式2】職員名簿!B81&amp;"/"&amp;AV50&amp;"/"&amp;AW50,"")</f>
        <v xml:space="preserve">43 </v>
      </c>
      <c r="AV50" s="823">
        <f>【様式2】職員名簿!E81</f>
        <v>0</v>
      </c>
      <c r="AW50" s="823" t="str">
        <f>IF(【様式2】職員名簿!J81="エラー","-",【様式2】職員名簿!J81)</f>
        <v>-</v>
      </c>
      <c r="AX50" s="394">
        <f>IF($AV50="常勤",$AM$2,IF($AV50="非常勤",【様式2】職員名簿!G81,0))</f>
        <v>0</v>
      </c>
      <c r="AY50" s="428">
        <f>IF($AW50=AY$3,COUNTIF($AW$8:$AW50,AY$3),0)</f>
        <v>0</v>
      </c>
      <c r="AZ50" s="429" t="str">
        <f t="shared" si="44"/>
        <v/>
      </c>
      <c r="BA50" s="430">
        <f>IF($AW50=BA$3,COUNTIF($AW$8:$AW50,BA$3),0)</f>
        <v>0</v>
      </c>
      <c r="BB50" s="429" t="str">
        <f t="shared" si="45"/>
        <v/>
      </c>
      <c r="BC50" s="431">
        <f>IF($AW50=BC$3,COUNTIF($AW$8:$AW50,BC$3),0)</f>
        <v>0</v>
      </c>
      <c r="BD50" s="429" t="str">
        <f t="shared" si="46"/>
        <v/>
      </c>
      <c r="BE50" s="393">
        <f>IF(OR($AW50=BE$3,$AW50=BE$4),COUNTIF($AW$8:$AW50,BE$3)+COUNTIF($AW$8:$AW50,BE$4),0)</f>
        <v>0</v>
      </c>
      <c r="BF50" s="429" t="str">
        <f t="shared" si="47"/>
        <v/>
      </c>
      <c r="BG50" s="393">
        <f>IF($AW50=BG$3,COUNTIF($AW$8:$AW50,BG$3),0)</f>
        <v>0</v>
      </c>
      <c r="BH50" s="429" t="str">
        <f t="shared" si="48"/>
        <v/>
      </c>
      <c r="BI50" s="393">
        <f>IF($AW50&lt;&gt;BI$3,COUNTIF($AW$8:$AW50,"&lt;&gt;"&amp;BI$3),0)</f>
        <v>0</v>
      </c>
      <c r="BJ50" s="429" t="str">
        <f t="shared" si="49"/>
        <v/>
      </c>
      <c r="BK50" s="433"/>
      <c r="BL50" s="433"/>
    </row>
    <row r="51" spans="1:64" ht="15" customHeight="1">
      <c r="A51" s="1650"/>
      <c r="B51" s="1651"/>
      <c r="C51" s="1652"/>
      <c r="D51" s="1420" t="str">
        <f t="shared" si="64"/>
        <v>調理員</v>
      </c>
      <c r="E51" s="1470"/>
      <c r="F51" s="1424"/>
      <c r="G51" s="1504"/>
      <c r="H51" s="1637"/>
      <c r="I51" s="705" t="str">
        <f t="shared" si="50"/>
        <v/>
      </c>
      <c r="J51" s="687" t="str">
        <f t="shared" si="51"/>
        <v/>
      </c>
      <c r="K51" s="799"/>
      <c r="L51" s="489" t="str">
        <f t="shared" si="52"/>
        <v/>
      </c>
      <c r="M51" s="490">
        <f t="shared" si="53"/>
        <v>0</v>
      </c>
      <c r="N51" s="1640"/>
      <c r="O51" s="1641"/>
      <c r="P51" s="402"/>
      <c r="Q51" s="433"/>
      <c r="R51" s="433"/>
      <c r="S51" s="433"/>
      <c r="T51" s="768" t="str">
        <f t="shared" si="66"/>
        <v>調理員</v>
      </c>
      <c r="U51" s="763">
        <f t="shared" si="55"/>
        <v>0</v>
      </c>
      <c r="V51" s="768">
        <v>2</v>
      </c>
      <c r="W51" s="768" t="b">
        <f t="shared" si="65"/>
        <v>0</v>
      </c>
      <c r="X51" s="446" t="b">
        <f t="shared" ca="1" si="56"/>
        <v>0</v>
      </c>
      <c r="Y51" s="487" t="b">
        <f>COUNTIF($AC$17:AC50,AC51)+COUNTIF(AC52:$AC$65,AC51)-COUNTIF(Z51:AB51,AC51)=0</f>
        <v>0</v>
      </c>
      <c r="Z51" s="488" t="s">
        <v>536</v>
      </c>
      <c r="AA51" s="488" t="s">
        <v>536</v>
      </c>
      <c r="AB51" s="488" t="s">
        <v>536</v>
      </c>
      <c r="AC51" s="764">
        <f t="shared" si="57"/>
        <v>0</v>
      </c>
      <c r="AD51" s="446" t="b">
        <f t="shared" si="58"/>
        <v>0</v>
      </c>
      <c r="AE51" s="447" t="b">
        <f t="shared" si="59"/>
        <v>0</v>
      </c>
      <c r="AF51" s="768" t="str">
        <f t="shared" si="60"/>
        <v/>
      </c>
      <c r="AG51" s="488">
        <f t="shared" si="61"/>
        <v>0</v>
      </c>
      <c r="AH51" s="451">
        <v>2</v>
      </c>
      <c r="AI51" s="431">
        <f t="shared" si="62"/>
        <v>2</v>
      </c>
      <c r="AJ51" s="453">
        <f t="shared" si="63"/>
        <v>0</v>
      </c>
      <c r="AK51" s="383"/>
      <c r="AM51" s="383"/>
      <c r="AP51" s="466"/>
      <c r="AQ51" s="466"/>
      <c r="AR51" s="466"/>
      <c r="AS51" s="434"/>
      <c r="AT51" s="393">
        <f t="shared" si="43"/>
        <v>44</v>
      </c>
      <c r="AU51" s="823" t="str">
        <f>AT51&amp;" "&amp;IF(AW51&lt;&gt;"-",【様式2】職員名簿!B82&amp;"/"&amp;AV51&amp;"/"&amp;AW51,"")</f>
        <v xml:space="preserve">44 </v>
      </c>
      <c r="AV51" s="823">
        <f>【様式2】職員名簿!E82</f>
        <v>0</v>
      </c>
      <c r="AW51" s="823" t="str">
        <f>IF(【様式2】職員名簿!J82="エラー","-",【様式2】職員名簿!J82)</f>
        <v>-</v>
      </c>
      <c r="AX51" s="394">
        <f>IF($AV51="常勤",$AM$2,IF($AV51="非常勤",【様式2】職員名簿!G82,0))</f>
        <v>0</v>
      </c>
      <c r="AY51" s="428">
        <f>IF($AW51=AY$3,COUNTIF($AW$8:$AW51,AY$3),0)</f>
        <v>0</v>
      </c>
      <c r="AZ51" s="429" t="str">
        <f t="shared" si="44"/>
        <v/>
      </c>
      <c r="BA51" s="430">
        <f>IF($AW51=BA$3,COUNTIF($AW$8:$AW51,BA$3),0)</f>
        <v>0</v>
      </c>
      <c r="BB51" s="429" t="str">
        <f t="shared" si="45"/>
        <v/>
      </c>
      <c r="BC51" s="431">
        <f>IF($AW51=BC$3,COUNTIF($AW$8:$AW51,BC$3),0)</f>
        <v>0</v>
      </c>
      <c r="BD51" s="429" t="str">
        <f t="shared" si="46"/>
        <v/>
      </c>
      <c r="BE51" s="393">
        <f>IF(OR($AW51=BE$3,$AW51=BE$4),COUNTIF($AW$8:$AW51,BE$3)+COUNTIF($AW$8:$AW51,BE$4),0)</f>
        <v>0</v>
      </c>
      <c r="BF51" s="429" t="str">
        <f t="shared" si="47"/>
        <v/>
      </c>
      <c r="BG51" s="393">
        <f>IF($AW51=BG$3,COUNTIF($AW$8:$AW51,BG$3),0)</f>
        <v>0</v>
      </c>
      <c r="BH51" s="429" t="str">
        <f t="shared" si="48"/>
        <v/>
      </c>
      <c r="BI51" s="393">
        <f>IF($AW51&lt;&gt;BI$3,COUNTIF($AW$8:$AW51,"&lt;&gt;"&amp;BI$3),0)</f>
        <v>0</v>
      </c>
      <c r="BJ51" s="429" t="str">
        <f t="shared" si="49"/>
        <v/>
      </c>
      <c r="BK51" s="433"/>
      <c r="BL51" s="433"/>
    </row>
    <row r="52" spans="1:64" ht="15" customHeight="1">
      <c r="A52" s="1653"/>
      <c r="B52" s="1654"/>
      <c r="C52" s="1655"/>
      <c r="D52" s="1538" t="str">
        <f t="shared" si="64"/>
        <v>調理員</v>
      </c>
      <c r="E52" s="1541"/>
      <c r="F52" s="1644"/>
      <c r="G52" s="1645"/>
      <c r="H52" s="1646"/>
      <c r="I52" s="709" t="str">
        <f t="shared" si="50"/>
        <v/>
      </c>
      <c r="J52" s="769" t="str">
        <f t="shared" si="51"/>
        <v/>
      </c>
      <c r="K52" s="804"/>
      <c r="L52" s="468" t="str">
        <f t="shared" si="52"/>
        <v/>
      </c>
      <c r="M52" s="469">
        <f t="shared" si="53"/>
        <v>0</v>
      </c>
      <c r="N52" s="1642"/>
      <c r="O52" s="1643"/>
      <c r="P52" s="402"/>
      <c r="Q52" s="433"/>
      <c r="R52" s="433"/>
      <c r="S52" s="433"/>
      <c r="T52" s="768" t="str">
        <f t="shared" si="66"/>
        <v>調理員</v>
      </c>
      <c r="U52" s="763">
        <f t="shared" si="55"/>
        <v>0</v>
      </c>
      <c r="V52" s="768">
        <v>2</v>
      </c>
      <c r="W52" s="768" t="b">
        <f t="shared" si="65"/>
        <v>0</v>
      </c>
      <c r="X52" s="446" t="b">
        <f t="shared" ca="1" si="56"/>
        <v>0</v>
      </c>
      <c r="Y52" s="487" t="b">
        <f>COUNTIF($AC$17:AC51,AC52)+COUNTIF(AC53:$AC$65,AC52)-COUNTIF(Z52:AB52,AC52)=0</f>
        <v>0</v>
      </c>
      <c r="Z52" s="488" t="s">
        <v>536</v>
      </c>
      <c r="AA52" s="488" t="s">
        <v>536</v>
      </c>
      <c r="AB52" s="488" t="s">
        <v>536</v>
      </c>
      <c r="AC52" s="764">
        <f t="shared" si="57"/>
        <v>0</v>
      </c>
      <c r="AD52" s="446" t="b">
        <f t="shared" si="58"/>
        <v>0</v>
      </c>
      <c r="AE52" s="447" t="b">
        <f t="shared" si="59"/>
        <v>0</v>
      </c>
      <c r="AF52" s="768" t="str">
        <f t="shared" si="60"/>
        <v/>
      </c>
      <c r="AG52" s="488">
        <f t="shared" si="61"/>
        <v>0</v>
      </c>
      <c r="AH52" s="451">
        <v>2</v>
      </c>
      <c r="AI52" s="431">
        <f t="shared" si="62"/>
        <v>2</v>
      </c>
      <c r="AJ52" s="453">
        <f t="shared" si="63"/>
        <v>0</v>
      </c>
      <c r="AK52" s="383"/>
      <c r="AM52" s="383"/>
      <c r="AP52" s="466"/>
      <c r="AQ52" s="466"/>
      <c r="AR52" s="466"/>
      <c r="AS52" s="434"/>
      <c r="AT52" s="393">
        <f t="shared" si="43"/>
        <v>45</v>
      </c>
      <c r="AU52" s="823" t="str">
        <f>AT52&amp;" "&amp;IF(AW52&lt;&gt;"-",【様式2】職員名簿!B83&amp;"/"&amp;AV52&amp;"/"&amp;AW52,"")</f>
        <v xml:space="preserve">45 </v>
      </c>
      <c r="AV52" s="823">
        <f>【様式2】職員名簿!E83</f>
        <v>0</v>
      </c>
      <c r="AW52" s="823" t="str">
        <f>IF(【様式2】職員名簿!J83="エラー","-",【様式2】職員名簿!J83)</f>
        <v>-</v>
      </c>
      <c r="AX52" s="394">
        <f>IF($AV52="常勤",$AM$2,IF($AV52="非常勤",【様式2】職員名簿!G83,0))</f>
        <v>0</v>
      </c>
      <c r="AY52" s="428">
        <f>IF($AW52=AY$3,COUNTIF($AW$8:$AW52,AY$3),0)</f>
        <v>0</v>
      </c>
      <c r="AZ52" s="429" t="str">
        <f t="shared" si="44"/>
        <v/>
      </c>
      <c r="BA52" s="430">
        <f>IF($AW52=BA$3,COUNTIF($AW$8:$AW52,BA$3),0)</f>
        <v>0</v>
      </c>
      <c r="BB52" s="429" t="str">
        <f t="shared" si="45"/>
        <v/>
      </c>
      <c r="BC52" s="431">
        <f>IF($AW52=BC$3,COUNTIF($AW$8:$AW52,BC$3),0)</f>
        <v>0</v>
      </c>
      <c r="BD52" s="429" t="str">
        <f t="shared" si="46"/>
        <v/>
      </c>
      <c r="BE52" s="393">
        <f>IF(OR($AW52=BE$3,$AW52=BE$4),COUNTIF($AW$8:$AW52,BE$3)+COUNTIF($AW$8:$AW52,BE$4),0)</f>
        <v>0</v>
      </c>
      <c r="BF52" s="429" t="str">
        <f t="shared" si="47"/>
        <v/>
      </c>
      <c r="BG52" s="393">
        <f>IF($AW52=BG$3,COUNTIF($AW$8:$AW52,BG$3),0)</f>
        <v>0</v>
      </c>
      <c r="BH52" s="429" t="str">
        <f t="shared" si="48"/>
        <v/>
      </c>
      <c r="BI52" s="393">
        <f>IF($AW52&lt;&gt;BI$3,COUNTIF($AW$8:$AW52,"&lt;&gt;"&amp;BI$3),0)</f>
        <v>0</v>
      </c>
      <c r="BJ52" s="429" t="str">
        <f t="shared" si="49"/>
        <v/>
      </c>
      <c r="BK52" s="433"/>
      <c r="BL52" s="433"/>
    </row>
    <row r="53" spans="1:64" ht="15" customHeight="1">
      <c r="A53" s="1490" t="s">
        <v>566</v>
      </c>
      <c r="B53" s="1492"/>
      <c r="C53" s="1493"/>
      <c r="D53" s="1473" t="str">
        <f t="shared" si="64"/>
        <v>全職種</v>
      </c>
      <c r="E53" s="1474"/>
      <c r="F53" s="1494"/>
      <c r="G53" s="1495"/>
      <c r="H53" s="1496"/>
      <c r="I53" s="710" t="str">
        <f t="shared" si="50"/>
        <v/>
      </c>
      <c r="J53" s="801" t="str">
        <f t="shared" si="51"/>
        <v/>
      </c>
      <c r="K53" s="803"/>
      <c r="L53" s="492" t="str">
        <f t="shared" si="52"/>
        <v/>
      </c>
      <c r="M53" s="493">
        <f t="shared" si="53"/>
        <v>0</v>
      </c>
      <c r="N53" s="1638">
        <f>SUM(M53:M62)</f>
        <v>0</v>
      </c>
      <c r="O53" s="1639"/>
      <c r="P53" s="402"/>
      <c r="Q53" s="433"/>
      <c r="R53" s="433"/>
      <c r="S53" s="433"/>
      <c r="T53" s="768" t="str">
        <f t="shared" si="54"/>
        <v>全職種</v>
      </c>
      <c r="U53" s="763">
        <f t="shared" si="55"/>
        <v>0</v>
      </c>
      <c r="V53" s="768">
        <v>2</v>
      </c>
      <c r="W53" s="768" t="b">
        <f t="shared" si="65"/>
        <v>0</v>
      </c>
      <c r="X53" s="446" t="b">
        <f t="shared" ca="1" si="56"/>
        <v>0</v>
      </c>
      <c r="Y53" s="487" t="b">
        <f>COUNTIF($AC$17:AC52,AC53)+COUNTIF(AC54:$AC$65,AC53)-COUNTIF(Z53:AB53,AC53)=0</f>
        <v>0</v>
      </c>
      <c r="Z53" s="488" t="s">
        <v>536</v>
      </c>
      <c r="AA53" s="488" t="s">
        <v>536</v>
      </c>
      <c r="AB53" s="488" t="s">
        <v>536</v>
      </c>
      <c r="AC53" s="764">
        <f t="shared" si="57"/>
        <v>0</v>
      </c>
      <c r="AD53" s="446" t="b">
        <f t="shared" si="58"/>
        <v>0</v>
      </c>
      <c r="AE53" s="447" t="b">
        <f t="shared" si="59"/>
        <v>0</v>
      </c>
      <c r="AF53" s="768" t="str">
        <f t="shared" si="60"/>
        <v/>
      </c>
      <c r="AG53" s="488">
        <f t="shared" si="61"/>
        <v>0</v>
      </c>
      <c r="AH53" s="451">
        <v>2</v>
      </c>
      <c r="AI53" s="431">
        <f t="shared" si="62"/>
        <v>2</v>
      </c>
      <c r="AJ53" s="453">
        <f t="shared" si="63"/>
        <v>0</v>
      </c>
      <c r="AK53" s="383"/>
      <c r="AM53" s="383"/>
      <c r="AQ53" s="466"/>
      <c r="AR53" s="466"/>
      <c r="AS53" s="434"/>
      <c r="AT53" s="393">
        <f t="shared" si="43"/>
        <v>46</v>
      </c>
      <c r="AU53" s="823" t="str">
        <f>AT53&amp;" "&amp;IF(AW53&lt;&gt;"-",【様式2】職員名簿!B84&amp;"/"&amp;AV53&amp;"/"&amp;AW53,"")</f>
        <v xml:space="preserve">46 </v>
      </c>
      <c r="AV53" s="823">
        <f>【様式2】職員名簿!E84</f>
        <v>0</v>
      </c>
      <c r="AW53" s="823" t="str">
        <f>IF(【様式2】職員名簿!J84="エラー","-",【様式2】職員名簿!J84)</f>
        <v>-</v>
      </c>
      <c r="AX53" s="394">
        <f>IF($AV53="常勤",$AM$2,IF($AV53="非常勤",【様式2】職員名簿!G84,0))</f>
        <v>0</v>
      </c>
      <c r="AY53" s="428">
        <f>IF($AW53=AY$3,COUNTIF($AW$8:$AW53,AY$3),0)</f>
        <v>0</v>
      </c>
      <c r="AZ53" s="429" t="str">
        <f t="shared" si="44"/>
        <v/>
      </c>
      <c r="BA53" s="430">
        <f>IF($AW53=BA$3,COUNTIF($AW$8:$AW53,BA$3),0)</f>
        <v>0</v>
      </c>
      <c r="BB53" s="429" t="str">
        <f t="shared" si="45"/>
        <v/>
      </c>
      <c r="BC53" s="431">
        <f>IF($AW53=BC$3,COUNTIF($AW$8:$AW53,BC$3),0)</f>
        <v>0</v>
      </c>
      <c r="BD53" s="429" t="str">
        <f t="shared" si="46"/>
        <v/>
      </c>
      <c r="BE53" s="393">
        <f>IF(OR($AW53=BE$3,$AW53=BE$4),COUNTIF($AW$8:$AW53,BE$3)+COUNTIF($AW$8:$AW53,BE$4),0)</f>
        <v>0</v>
      </c>
      <c r="BF53" s="429" t="str">
        <f t="shared" si="47"/>
        <v/>
      </c>
      <c r="BG53" s="393">
        <f>IF($AW53=BG$3,COUNTIF($AW$8:$AW53,BG$3),0)</f>
        <v>0</v>
      </c>
      <c r="BH53" s="429" t="str">
        <f t="shared" si="48"/>
        <v/>
      </c>
      <c r="BI53" s="393">
        <f>IF($AW53&lt;&gt;BI$3,COUNTIF($AW$8:$AW53,"&lt;&gt;"&amp;BI$3),0)</f>
        <v>0</v>
      </c>
      <c r="BJ53" s="429" t="str">
        <f t="shared" si="49"/>
        <v/>
      </c>
      <c r="BK53" s="433"/>
      <c r="BL53" s="433"/>
    </row>
    <row r="54" spans="1:64" ht="15" customHeight="1">
      <c r="A54" s="1491"/>
      <c r="B54" s="1468"/>
      <c r="C54" s="1469"/>
      <c r="D54" s="1420" t="str">
        <f t="shared" si="64"/>
        <v>全職種</v>
      </c>
      <c r="E54" s="1470"/>
      <c r="F54" s="1424"/>
      <c r="G54" s="1504"/>
      <c r="H54" s="1637"/>
      <c r="I54" s="705" t="str">
        <f t="shared" si="50"/>
        <v/>
      </c>
      <c r="J54" s="687" t="str">
        <f t="shared" si="51"/>
        <v/>
      </c>
      <c r="K54" s="799"/>
      <c r="L54" s="489" t="str">
        <f t="shared" si="52"/>
        <v/>
      </c>
      <c r="M54" s="490">
        <f t="shared" si="53"/>
        <v>0</v>
      </c>
      <c r="N54" s="1640"/>
      <c r="O54" s="1641"/>
      <c r="P54" s="402"/>
      <c r="Q54" s="433"/>
      <c r="R54" s="433"/>
      <c r="S54" s="433"/>
      <c r="T54" s="768" t="str">
        <f t="shared" si="54"/>
        <v>全職種</v>
      </c>
      <c r="U54" s="763">
        <f t="shared" si="55"/>
        <v>0</v>
      </c>
      <c r="V54" s="768">
        <v>2</v>
      </c>
      <c r="W54" s="768" t="b">
        <f t="shared" si="65"/>
        <v>0</v>
      </c>
      <c r="X54" s="446" t="b">
        <f t="shared" ca="1" si="56"/>
        <v>0</v>
      </c>
      <c r="Y54" s="487" t="b">
        <f>COUNTIF($AC$17:AC53,AC54)+COUNTIF(AC55:$AC$65,AC54)-COUNTIF(Z54:AB54,AC54)=0</f>
        <v>0</v>
      </c>
      <c r="Z54" s="488" t="s">
        <v>536</v>
      </c>
      <c r="AA54" s="488" t="s">
        <v>536</v>
      </c>
      <c r="AB54" s="488" t="s">
        <v>536</v>
      </c>
      <c r="AC54" s="764">
        <f t="shared" si="57"/>
        <v>0</v>
      </c>
      <c r="AD54" s="446" t="b">
        <f t="shared" si="58"/>
        <v>0</v>
      </c>
      <c r="AE54" s="447" t="b">
        <f t="shared" si="59"/>
        <v>0</v>
      </c>
      <c r="AF54" s="768" t="str">
        <f t="shared" si="60"/>
        <v/>
      </c>
      <c r="AG54" s="488">
        <f t="shared" si="61"/>
        <v>0</v>
      </c>
      <c r="AH54" s="451">
        <v>2</v>
      </c>
      <c r="AI54" s="431">
        <f t="shared" si="62"/>
        <v>2</v>
      </c>
      <c r="AJ54" s="453">
        <f t="shared" si="63"/>
        <v>0</v>
      </c>
      <c r="AK54" s="383"/>
      <c r="AM54" s="383"/>
      <c r="AP54" s="466"/>
      <c r="AQ54" s="466"/>
      <c r="AR54" s="466"/>
      <c r="AS54" s="448"/>
      <c r="AT54" s="393">
        <f t="shared" si="43"/>
        <v>47</v>
      </c>
      <c r="AU54" s="823" t="str">
        <f>AT54&amp;" "&amp;IF(AW54&lt;&gt;"-",【様式2】職員名簿!B85&amp;"/"&amp;AV54&amp;"/"&amp;AW54,"")</f>
        <v xml:space="preserve">47 </v>
      </c>
      <c r="AV54" s="823">
        <f>【様式2】職員名簿!E85</f>
        <v>0</v>
      </c>
      <c r="AW54" s="823" t="str">
        <f>IF(【様式2】職員名簿!J85="エラー","-",【様式2】職員名簿!J85)</f>
        <v>-</v>
      </c>
      <c r="AX54" s="394">
        <f>IF($AV54="常勤",$AM$2,IF($AV54="非常勤",【様式2】職員名簿!G85,0))</f>
        <v>0</v>
      </c>
      <c r="AY54" s="428">
        <f>IF($AW54=AY$3,COUNTIF($AW$8:$AW54,AY$3),0)</f>
        <v>0</v>
      </c>
      <c r="AZ54" s="429" t="str">
        <f t="shared" si="44"/>
        <v/>
      </c>
      <c r="BA54" s="430">
        <f>IF($AW54=BA$3,COUNTIF($AW$8:$AW54,BA$3),0)</f>
        <v>0</v>
      </c>
      <c r="BB54" s="429" t="str">
        <f t="shared" si="45"/>
        <v/>
      </c>
      <c r="BC54" s="431">
        <f>IF($AW54=BC$3,COUNTIF($AW$8:$AW54,BC$3),0)</f>
        <v>0</v>
      </c>
      <c r="BD54" s="429" t="str">
        <f t="shared" si="46"/>
        <v/>
      </c>
      <c r="BE54" s="393">
        <f>IF(OR($AW54=BE$3,$AW54=BE$4),COUNTIF($AW$8:$AW54,BE$3)+COUNTIF($AW$8:$AW54,BE$4),0)</f>
        <v>0</v>
      </c>
      <c r="BF54" s="429" t="str">
        <f t="shared" si="47"/>
        <v/>
      </c>
      <c r="BG54" s="393">
        <f>IF($AW54=BG$3,COUNTIF($AW$8:$AW54,BG$3),0)</f>
        <v>0</v>
      </c>
      <c r="BH54" s="429" t="str">
        <f t="shared" si="48"/>
        <v/>
      </c>
      <c r="BI54" s="393">
        <f>IF($AW54&lt;&gt;BI$3,COUNTIF($AW$8:$AW54,"&lt;&gt;"&amp;BI$3),0)</f>
        <v>0</v>
      </c>
      <c r="BJ54" s="429" t="str">
        <f t="shared" si="49"/>
        <v/>
      </c>
      <c r="BK54" s="433"/>
      <c r="BL54" s="433"/>
    </row>
    <row r="55" spans="1:64" ht="15" customHeight="1">
      <c r="A55" s="1491"/>
      <c r="B55" s="1468"/>
      <c r="C55" s="1469"/>
      <c r="D55" s="1420" t="str">
        <f t="shared" si="64"/>
        <v>全職種</v>
      </c>
      <c r="E55" s="1470"/>
      <c r="F55" s="1424"/>
      <c r="G55" s="1504"/>
      <c r="H55" s="1637"/>
      <c r="I55" s="705" t="str">
        <f t="shared" si="50"/>
        <v/>
      </c>
      <c r="J55" s="687" t="str">
        <f t="shared" si="51"/>
        <v/>
      </c>
      <c r="K55" s="799"/>
      <c r="L55" s="489" t="str">
        <f t="shared" si="52"/>
        <v/>
      </c>
      <c r="M55" s="490">
        <f t="shared" si="53"/>
        <v>0</v>
      </c>
      <c r="N55" s="1640"/>
      <c r="O55" s="1641"/>
      <c r="P55" s="402"/>
      <c r="Q55" s="433"/>
      <c r="R55" s="433"/>
      <c r="S55" s="433"/>
      <c r="T55" s="768" t="str">
        <f t="shared" si="54"/>
        <v>全職種</v>
      </c>
      <c r="U55" s="763">
        <f t="shared" si="55"/>
        <v>0</v>
      </c>
      <c r="V55" s="768">
        <v>2</v>
      </c>
      <c r="W55" s="768" t="b">
        <f t="shared" si="65"/>
        <v>0</v>
      </c>
      <c r="X55" s="446" t="b">
        <f t="shared" ca="1" si="56"/>
        <v>0</v>
      </c>
      <c r="Y55" s="487" t="b">
        <f>COUNTIF($AC$17:AC54,AC55)+COUNTIF(AC56:$AC$65,AC55)-COUNTIF(Z55:AB55,AC55)=0</f>
        <v>0</v>
      </c>
      <c r="Z55" s="488" t="s">
        <v>536</v>
      </c>
      <c r="AA55" s="488" t="s">
        <v>536</v>
      </c>
      <c r="AB55" s="488" t="s">
        <v>536</v>
      </c>
      <c r="AC55" s="764">
        <f t="shared" si="57"/>
        <v>0</v>
      </c>
      <c r="AD55" s="446" t="b">
        <f t="shared" si="58"/>
        <v>0</v>
      </c>
      <c r="AE55" s="447" t="b">
        <f t="shared" si="59"/>
        <v>0</v>
      </c>
      <c r="AF55" s="768" t="str">
        <f t="shared" si="60"/>
        <v/>
      </c>
      <c r="AG55" s="488">
        <f t="shared" si="61"/>
        <v>0</v>
      </c>
      <c r="AH55" s="451">
        <v>2</v>
      </c>
      <c r="AI55" s="431">
        <f t="shared" si="62"/>
        <v>2</v>
      </c>
      <c r="AJ55" s="453">
        <f t="shared" si="63"/>
        <v>0</v>
      </c>
      <c r="AK55" s="383"/>
      <c r="AO55" s="466"/>
      <c r="AP55" s="466"/>
      <c r="AQ55" s="466"/>
      <c r="AR55" s="466"/>
      <c r="AS55" s="448"/>
      <c r="AT55" s="393">
        <f t="shared" si="43"/>
        <v>48</v>
      </c>
      <c r="AU55" s="823" t="str">
        <f>AT55&amp;" "&amp;IF(AW55&lt;&gt;"-",【様式2】職員名簿!B86&amp;"/"&amp;AV55&amp;"/"&amp;AW55,"")</f>
        <v xml:space="preserve">48 </v>
      </c>
      <c r="AV55" s="823">
        <f>【様式2】職員名簿!E86</f>
        <v>0</v>
      </c>
      <c r="AW55" s="823" t="str">
        <f>IF(【様式2】職員名簿!J86="エラー","-",【様式2】職員名簿!J86)</f>
        <v>-</v>
      </c>
      <c r="AX55" s="394">
        <f>IF($AV55="常勤",$AM$2,IF($AV55="非常勤",【様式2】職員名簿!G86,0))</f>
        <v>0</v>
      </c>
      <c r="AY55" s="428">
        <f>IF($AW55=AY$3,COUNTIF($AW$8:$AW55,AY$3),0)</f>
        <v>0</v>
      </c>
      <c r="AZ55" s="429" t="str">
        <f t="shared" si="44"/>
        <v/>
      </c>
      <c r="BA55" s="430">
        <f>IF($AW55=BA$3,COUNTIF($AW$8:$AW55,BA$3),0)</f>
        <v>0</v>
      </c>
      <c r="BB55" s="429" t="str">
        <f t="shared" si="45"/>
        <v/>
      </c>
      <c r="BC55" s="431">
        <f>IF($AW55=BC$3,COUNTIF($AW$8:$AW55,BC$3),0)</f>
        <v>0</v>
      </c>
      <c r="BD55" s="429" t="str">
        <f t="shared" si="46"/>
        <v/>
      </c>
      <c r="BE55" s="393">
        <f>IF(OR($AW55=BE$3,$AW55=BE$4),COUNTIF($AW$8:$AW55,BE$3)+COUNTIF($AW$8:$AW55,BE$4),0)</f>
        <v>0</v>
      </c>
      <c r="BF55" s="429" t="str">
        <f t="shared" si="47"/>
        <v/>
      </c>
      <c r="BG55" s="393">
        <f>IF($AW55=BG$3,COUNTIF($AW$8:$AW55,BG$3),0)</f>
        <v>0</v>
      </c>
      <c r="BH55" s="429" t="str">
        <f t="shared" si="48"/>
        <v/>
      </c>
      <c r="BI55" s="393">
        <f>IF($AW55&lt;&gt;BI$3,COUNTIF($AW$8:$AW55,"&lt;&gt;"&amp;BI$3),0)</f>
        <v>0</v>
      </c>
      <c r="BJ55" s="429" t="str">
        <f t="shared" si="49"/>
        <v/>
      </c>
      <c r="BK55" s="433"/>
      <c r="BL55" s="433"/>
    </row>
    <row r="56" spans="1:64" ht="15" customHeight="1">
      <c r="A56" s="1491"/>
      <c r="B56" s="1468"/>
      <c r="C56" s="1469"/>
      <c r="D56" s="1420" t="str">
        <f t="shared" si="64"/>
        <v>全職種</v>
      </c>
      <c r="E56" s="1470"/>
      <c r="F56" s="1424"/>
      <c r="G56" s="1504"/>
      <c r="H56" s="1637"/>
      <c r="I56" s="705" t="str">
        <f t="shared" si="50"/>
        <v/>
      </c>
      <c r="J56" s="687" t="str">
        <f t="shared" si="51"/>
        <v/>
      </c>
      <c r="K56" s="799"/>
      <c r="L56" s="489" t="str">
        <f t="shared" si="52"/>
        <v/>
      </c>
      <c r="M56" s="490">
        <f t="shared" si="53"/>
        <v>0</v>
      </c>
      <c r="N56" s="1640"/>
      <c r="O56" s="1641"/>
      <c r="P56" s="402"/>
      <c r="Q56" s="433"/>
      <c r="R56" s="433"/>
      <c r="S56" s="433"/>
      <c r="T56" s="768" t="str">
        <f t="shared" si="54"/>
        <v>全職種</v>
      </c>
      <c r="U56" s="763">
        <f t="shared" si="55"/>
        <v>0</v>
      </c>
      <c r="V56" s="768">
        <v>2</v>
      </c>
      <c r="W56" s="768" t="b">
        <f t="shared" si="65"/>
        <v>0</v>
      </c>
      <c r="X56" s="446" t="b">
        <f t="shared" ca="1" si="56"/>
        <v>0</v>
      </c>
      <c r="Y56" s="487" t="b">
        <f>COUNTIF($AC$17:AC55,AC56)+COUNTIF(AC57:$AC$65,AC56)-COUNTIF(Z56:AB56,AC56)=0</f>
        <v>0</v>
      </c>
      <c r="Z56" s="488" t="s">
        <v>536</v>
      </c>
      <c r="AA56" s="488" t="s">
        <v>536</v>
      </c>
      <c r="AB56" s="488" t="s">
        <v>536</v>
      </c>
      <c r="AC56" s="764">
        <f t="shared" si="57"/>
        <v>0</v>
      </c>
      <c r="AD56" s="446" t="b">
        <f t="shared" si="58"/>
        <v>0</v>
      </c>
      <c r="AE56" s="447" t="b">
        <f t="shared" si="59"/>
        <v>0</v>
      </c>
      <c r="AF56" s="768" t="str">
        <f t="shared" si="60"/>
        <v/>
      </c>
      <c r="AG56" s="488">
        <f t="shared" si="61"/>
        <v>0</v>
      </c>
      <c r="AH56" s="451">
        <v>2</v>
      </c>
      <c r="AI56" s="431">
        <f t="shared" si="62"/>
        <v>2</v>
      </c>
      <c r="AJ56" s="453">
        <f t="shared" si="63"/>
        <v>0</v>
      </c>
      <c r="AO56" s="466"/>
      <c r="AP56" s="466"/>
      <c r="AQ56" s="466"/>
      <c r="AR56" s="466"/>
      <c r="AS56" s="448"/>
      <c r="AT56" s="393">
        <f t="shared" si="43"/>
        <v>49</v>
      </c>
      <c r="AU56" s="823" t="str">
        <f>AT56&amp;" "&amp;IF(AW56&lt;&gt;"-",【様式2】職員名簿!B87&amp;"/"&amp;AV56&amp;"/"&amp;AW56,"")</f>
        <v xml:space="preserve">49 </v>
      </c>
      <c r="AV56" s="823">
        <f>【様式2】職員名簿!E87</f>
        <v>0</v>
      </c>
      <c r="AW56" s="823" t="str">
        <f>IF(【様式2】職員名簿!J87="エラー","-",【様式2】職員名簿!J87)</f>
        <v>-</v>
      </c>
      <c r="AX56" s="394">
        <f>IF($AV56="常勤",$AM$2,IF($AV56="非常勤",【様式2】職員名簿!G87,0))</f>
        <v>0</v>
      </c>
      <c r="AY56" s="428">
        <f>IF($AW56=AY$3,COUNTIF($AW$8:$AW56,AY$3),0)</f>
        <v>0</v>
      </c>
      <c r="AZ56" s="429" t="str">
        <f t="shared" si="44"/>
        <v/>
      </c>
      <c r="BA56" s="430">
        <f>IF($AW56=BA$3,COUNTIF($AW$8:$AW56,BA$3),0)</f>
        <v>0</v>
      </c>
      <c r="BB56" s="429" t="str">
        <f t="shared" si="45"/>
        <v/>
      </c>
      <c r="BC56" s="431">
        <f>IF($AW56=BC$3,COUNTIF($AW$8:$AW56,BC$3),0)</f>
        <v>0</v>
      </c>
      <c r="BD56" s="429" t="str">
        <f t="shared" si="46"/>
        <v/>
      </c>
      <c r="BE56" s="393">
        <f>IF(OR($AW56=BE$3,$AW56=BE$4),COUNTIF($AW$8:$AW56,BE$3)+COUNTIF($AW$8:$AW56,BE$4),0)</f>
        <v>0</v>
      </c>
      <c r="BF56" s="429" t="str">
        <f t="shared" si="47"/>
        <v/>
      </c>
      <c r="BG56" s="393">
        <f>IF($AW56=BG$3,COUNTIF($AW$8:$AW56,BG$3),0)</f>
        <v>0</v>
      </c>
      <c r="BH56" s="429" t="str">
        <f t="shared" si="48"/>
        <v/>
      </c>
      <c r="BI56" s="393">
        <f>IF($AW56&lt;&gt;BI$3,COUNTIF($AW$8:$AW56,"&lt;&gt;"&amp;BI$3),0)</f>
        <v>0</v>
      </c>
      <c r="BJ56" s="429" t="str">
        <f t="shared" si="49"/>
        <v/>
      </c>
      <c r="BK56" s="433"/>
      <c r="BL56" s="433"/>
    </row>
    <row r="57" spans="1:64" ht="15" customHeight="1">
      <c r="A57" s="1491"/>
      <c r="B57" s="1468"/>
      <c r="C57" s="1469"/>
      <c r="D57" s="1420" t="str">
        <f t="shared" si="64"/>
        <v>全職種</v>
      </c>
      <c r="E57" s="1470"/>
      <c r="F57" s="1424"/>
      <c r="G57" s="1504"/>
      <c r="H57" s="1637"/>
      <c r="I57" s="705" t="str">
        <f t="shared" si="50"/>
        <v/>
      </c>
      <c r="J57" s="687" t="str">
        <f t="shared" si="51"/>
        <v/>
      </c>
      <c r="K57" s="799"/>
      <c r="L57" s="489" t="str">
        <f t="shared" si="52"/>
        <v/>
      </c>
      <c r="M57" s="490">
        <f t="shared" si="53"/>
        <v>0</v>
      </c>
      <c r="N57" s="1640"/>
      <c r="O57" s="1641"/>
      <c r="P57" s="402"/>
      <c r="Q57" s="433"/>
      <c r="R57" s="433"/>
      <c r="S57" s="433"/>
      <c r="T57" s="768" t="str">
        <f t="shared" si="54"/>
        <v>全職種</v>
      </c>
      <c r="U57" s="763">
        <f t="shared" si="55"/>
        <v>0</v>
      </c>
      <c r="V57" s="768">
        <v>2</v>
      </c>
      <c r="W57" s="768" t="b">
        <f t="shared" si="65"/>
        <v>0</v>
      </c>
      <c r="X57" s="446" t="b">
        <f t="shared" ca="1" si="56"/>
        <v>0</v>
      </c>
      <c r="Y57" s="487" t="b">
        <f>COUNTIF($AC$17:AC56,AC57)+COUNTIF(AC58:$AC$65,AC57)-COUNTIF(Z57:AB57,AC57)=0</f>
        <v>0</v>
      </c>
      <c r="Z57" s="488" t="s">
        <v>536</v>
      </c>
      <c r="AA57" s="488" t="s">
        <v>536</v>
      </c>
      <c r="AB57" s="488" t="s">
        <v>536</v>
      </c>
      <c r="AC57" s="764">
        <f t="shared" si="57"/>
        <v>0</v>
      </c>
      <c r="AD57" s="446" t="b">
        <f t="shared" si="58"/>
        <v>0</v>
      </c>
      <c r="AE57" s="447" t="b">
        <f t="shared" si="59"/>
        <v>0</v>
      </c>
      <c r="AF57" s="768" t="str">
        <f t="shared" si="60"/>
        <v/>
      </c>
      <c r="AG57" s="488">
        <f t="shared" si="61"/>
        <v>0</v>
      </c>
      <c r="AH57" s="451">
        <v>2</v>
      </c>
      <c r="AI57" s="431">
        <f t="shared" si="62"/>
        <v>2</v>
      </c>
      <c r="AJ57" s="453">
        <f t="shared" si="63"/>
        <v>0</v>
      </c>
      <c r="AO57" s="466"/>
      <c r="AP57" s="466"/>
      <c r="AQ57" s="448"/>
      <c r="AR57" s="448"/>
      <c r="AS57" s="448"/>
      <c r="AT57" s="393">
        <f t="shared" si="43"/>
        <v>50</v>
      </c>
      <c r="AU57" s="823" t="str">
        <f>AT57&amp;" "&amp;IF(AW57&lt;&gt;"-",【様式2】職員名簿!B88&amp;"/"&amp;AV57&amp;"/"&amp;AW57,"")</f>
        <v xml:space="preserve">50 </v>
      </c>
      <c r="AV57" s="823">
        <f>【様式2】職員名簿!E88</f>
        <v>0</v>
      </c>
      <c r="AW57" s="823" t="str">
        <f>IF(【様式2】職員名簿!J88="エラー","-",【様式2】職員名簿!J88)</f>
        <v>-</v>
      </c>
      <c r="AX57" s="394">
        <f>IF($AV57="常勤",$AM$2,IF($AV57="非常勤",【様式2】職員名簿!G88,0))</f>
        <v>0</v>
      </c>
      <c r="AY57" s="428">
        <f>IF($AW57=AY$3,COUNTIF($AW$8:$AW57,AY$3),0)</f>
        <v>0</v>
      </c>
      <c r="AZ57" s="429" t="str">
        <f t="shared" si="44"/>
        <v/>
      </c>
      <c r="BA57" s="430">
        <f>IF($AW57=BA$3,COUNTIF($AW$8:$AW57,BA$3),0)</f>
        <v>0</v>
      </c>
      <c r="BB57" s="429" t="str">
        <f t="shared" si="45"/>
        <v/>
      </c>
      <c r="BC57" s="431">
        <f>IF($AW57=BC$3,COUNTIF($AW$8:$AW57,BC$3),0)</f>
        <v>0</v>
      </c>
      <c r="BD57" s="429" t="str">
        <f t="shared" si="46"/>
        <v/>
      </c>
      <c r="BE57" s="393">
        <f>IF(OR($AW57=BE$3,$AW57=BE$4),COUNTIF($AW$8:$AW57,BE$3)+COUNTIF($AW$8:$AW57,BE$4),0)</f>
        <v>0</v>
      </c>
      <c r="BF57" s="429" t="str">
        <f t="shared" si="47"/>
        <v/>
      </c>
      <c r="BG57" s="393">
        <f>IF($AW57=BG$3,COUNTIF($AW$8:$AW57,BG$3),0)</f>
        <v>0</v>
      </c>
      <c r="BH57" s="429" t="str">
        <f t="shared" si="48"/>
        <v/>
      </c>
      <c r="BI57" s="393">
        <f>IF($AW57&lt;&gt;BI$3,COUNTIF($AW$8:$AW57,"&lt;&gt;"&amp;BI$3),0)</f>
        <v>0</v>
      </c>
      <c r="BJ57" s="429" t="str">
        <f t="shared" si="49"/>
        <v/>
      </c>
      <c r="BK57" s="433"/>
      <c r="BL57" s="433"/>
    </row>
    <row r="58" spans="1:64" ht="15" customHeight="1">
      <c r="A58" s="1491"/>
      <c r="B58" s="1468"/>
      <c r="C58" s="1469"/>
      <c r="D58" s="1420" t="str">
        <f t="shared" si="64"/>
        <v>全職種</v>
      </c>
      <c r="E58" s="1470"/>
      <c r="F58" s="1424"/>
      <c r="G58" s="1504"/>
      <c r="H58" s="1637"/>
      <c r="I58" s="705" t="str">
        <f t="shared" si="50"/>
        <v/>
      </c>
      <c r="J58" s="687" t="str">
        <f t="shared" si="51"/>
        <v/>
      </c>
      <c r="K58" s="799"/>
      <c r="L58" s="489" t="str">
        <f t="shared" si="52"/>
        <v/>
      </c>
      <c r="M58" s="490">
        <f t="shared" si="53"/>
        <v>0</v>
      </c>
      <c r="N58" s="1640"/>
      <c r="O58" s="1641"/>
      <c r="P58" s="402"/>
      <c r="Q58" s="433"/>
      <c r="R58" s="433"/>
      <c r="S58" s="433"/>
      <c r="T58" s="768" t="str">
        <f t="shared" si="54"/>
        <v>全職種</v>
      </c>
      <c r="U58" s="763">
        <f t="shared" si="55"/>
        <v>0</v>
      </c>
      <c r="V58" s="768">
        <v>2</v>
      </c>
      <c r="W58" s="768" t="b">
        <f t="shared" si="65"/>
        <v>0</v>
      </c>
      <c r="X58" s="446" t="b">
        <f t="shared" ca="1" si="56"/>
        <v>0</v>
      </c>
      <c r="Y58" s="487" t="b">
        <f>COUNTIF($AC$17:AC57,AC58)+COUNTIF(AC59:$AC$65,AC58)-COUNTIF(Z58:AB58,AC58)=0</f>
        <v>0</v>
      </c>
      <c r="Z58" s="488" t="s">
        <v>536</v>
      </c>
      <c r="AA58" s="488" t="s">
        <v>536</v>
      </c>
      <c r="AB58" s="488" t="s">
        <v>536</v>
      </c>
      <c r="AC58" s="764">
        <f t="shared" si="57"/>
        <v>0</v>
      </c>
      <c r="AD58" s="446" t="b">
        <f t="shared" si="58"/>
        <v>0</v>
      </c>
      <c r="AE58" s="447" t="b">
        <f t="shared" si="59"/>
        <v>0</v>
      </c>
      <c r="AF58" s="768" t="str">
        <f t="shared" si="60"/>
        <v/>
      </c>
      <c r="AG58" s="488">
        <f t="shared" si="61"/>
        <v>0</v>
      </c>
      <c r="AH58" s="451">
        <v>2</v>
      </c>
      <c r="AI58" s="431">
        <f t="shared" si="62"/>
        <v>2</v>
      </c>
      <c r="AJ58" s="453">
        <f t="shared" si="63"/>
        <v>0</v>
      </c>
      <c r="AO58" s="466"/>
      <c r="AP58" s="466"/>
      <c r="AQ58" s="448"/>
      <c r="AR58" s="448"/>
      <c r="AS58" s="448"/>
      <c r="AT58" s="393">
        <f t="shared" si="43"/>
        <v>51</v>
      </c>
      <c r="AU58" s="823" t="str">
        <f>AT58&amp;" "&amp;IF(AW58&lt;&gt;"-",【様式2】職員名簿!B89&amp;"/"&amp;AV58&amp;"/"&amp;AW58,"")</f>
        <v xml:space="preserve">51 </v>
      </c>
      <c r="AV58" s="823">
        <f>【様式2】職員名簿!E89</f>
        <v>0</v>
      </c>
      <c r="AW58" s="823" t="str">
        <f>IF(【様式2】職員名簿!J89="エラー","-",【様式2】職員名簿!J89)</f>
        <v>-</v>
      </c>
      <c r="AX58" s="394">
        <f>IF($AV58="常勤",$AM$2,IF($AV58="非常勤",【様式2】職員名簿!G89,0))</f>
        <v>0</v>
      </c>
      <c r="AY58" s="428">
        <f>IF($AW58=AY$3,COUNTIF($AW$8:$AW58,AY$3),0)</f>
        <v>0</v>
      </c>
      <c r="AZ58" s="429" t="str">
        <f t="shared" si="44"/>
        <v/>
      </c>
      <c r="BA58" s="430">
        <f>IF($AW58=BA$3,COUNTIF($AW$8:$AW58,BA$3),0)</f>
        <v>0</v>
      </c>
      <c r="BB58" s="429" t="str">
        <f t="shared" si="45"/>
        <v/>
      </c>
      <c r="BC58" s="431">
        <f>IF($AW58=BC$3,COUNTIF($AW$8:$AW58,BC$3),0)</f>
        <v>0</v>
      </c>
      <c r="BD58" s="429" t="str">
        <f t="shared" si="46"/>
        <v/>
      </c>
      <c r="BE58" s="393">
        <f>IF(OR($AW58=BE$3,$AW58=BE$4),COUNTIF($AW$8:$AW58,BE$3)+COUNTIF($AW$8:$AW58,BE$4),0)</f>
        <v>0</v>
      </c>
      <c r="BF58" s="429" t="str">
        <f t="shared" si="47"/>
        <v/>
      </c>
      <c r="BG58" s="393">
        <f>IF($AW58=BG$3,COUNTIF($AW$8:$AW58,BG$3),0)</f>
        <v>0</v>
      </c>
      <c r="BH58" s="429" t="str">
        <f t="shared" si="48"/>
        <v/>
      </c>
      <c r="BI58" s="393">
        <f>IF($AW58&lt;&gt;BI$3,COUNTIF($AW$8:$AW58,"&lt;&gt;"&amp;BI$3),0)</f>
        <v>0</v>
      </c>
      <c r="BJ58" s="429" t="str">
        <f t="shared" si="49"/>
        <v/>
      </c>
      <c r="BK58" s="433"/>
      <c r="BL58" s="433"/>
    </row>
    <row r="59" spans="1:64" ht="15" customHeight="1">
      <c r="A59" s="1491"/>
      <c r="B59" s="1468"/>
      <c r="C59" s="1469"/>
      <c r="D59" s="1420" t="str">
        <f t="shared" si="64"/>
        <v>全職種</v>
      </c>
      <c r="E59" s="1470"/>
      <c r="F59" s="1424"/>
      <c r="G59" s="1504"/>
      <c r="H59" s="1637"/>
      <c r="I59" s="705" t="str">
        <f t="shared" si="50"/>
        <v/>
      </c>
      <c r="J59" s="687" t="str">
        <f t="shared" si="51"/>
        <v/>
      </c>
      <c r="K59" s="799"/>
      <c r="L59" s="489" t="str">
        <f t="shared" si="52"/>
        <v/>
      </c>
      <c r="M59" s="490">
        <f t="shared" si="53"/>
        <v>0</v>
      </c>
      <c r="N59" s="1640"/>
      <c r="O59" s="1641"/>
      <c r="P59" s="402"/>
      <c r="Q59" s="433"/>
      <c r="R59" s="433"/>
      <c r="S59" s="433"/>
      <c r="T59" s="768" t="str">
        <f t="shared" si="54"/>
        <v>全職種</v>
      </c>
      <c r="U59" s="763">
        <f t="shared" si="55"/>
        <v>0</v>
      </c>
      <c r="V59" s="768">
        <v>2</v>
      </c>
      <c r="W59" s="768" t="b">
        <f t="shared" si="65"/>
        <v>0</v>
      </c>
      <c r="X59" s="446" t="b">
        <f t="shared" ca="1" si="56"/>
        <v>0</v>
      </c>
      <c r="Y59" s="487" t="b">
        <f>COUNTIF($AC$17:AC58,AC59)+COUNTIF(AC60:$AC$65,AC59)-COUNTIF(Z59:AB59,AC59)=0</f>
        <v>0</v>
      </c>
      <c r="Z59" s="488" t="s">
        <v>536</v>
      </c>
      <c r="AA59" s="488" t="s">
        <v>536</v>
      </c>
      <c r="AB59" s="488" t="s">
        <v>536</v>
      </c>
      <c r="AC59" s="764">
        <f t="shared" si="57"/>
        <v>0</v>
      </c>
      <c r="AD59" s="446" t="b">
        <f t="shared" si="58"/>
        <v>0</v>
      </c>
      <c r="AE59" s="447" t="b">
        <f t="shared" si="59"/>
        <v>0</v>
      </c>
      <c r="AF59" s="768" t="str">
        <f t="shared" si="60"/>
        <v/>
      </c>
      <c r="AG59" s="488">
        <f t="shared" si="61"/>
        <v>0</v>
      </c>
      <c r="AH59" s="451">
        <v>2</v>
      </c>
      <c r="AI59" s="431">
        <f t="shared" si="62"/>
        <v>2</v>
      </c>
      <c r="AJ59" s="453">
        <f t="shared" si="63"/>
        <v>0</v>
      </c>
      <c r="AO59" s="466"/>
      <c r="AP59" s="466"/>
      <c r="AQ59" s="448"/>
      <c r="AR59" s="448"/>
      <c r="AS59" s="448"/>
      <c r="AT59" s="393">
        <f t="shared" si="43"/>
        <v>52</v>
      </c>
      <c r="AU59" s="823" t="str">
        <f>AT59&amp;" "&amp;IF(AW59&lt;&gt;"-",【様式2】職員名簿!B90&amp;"/"&amp;AV59&amp;"/"&amp;AW59,"")</f>
        <v xml:space="preserve">52 </v>
      </c>
      <c r="AV59" s="823">
        <f>【様式2】職員名簿!E90</f>
        <v>0</v>
      </c>
      <c r="AW59" s="823" t="str">
        <f>IF(【様式2】職員名簿!J90="エラー","-",【様式2】職員名簿!J90)</f>
        <v>-</v>
      </c>
      <c r="AX59" s="394">
        <f>IF($AV59="常勤",$AM$2,IF($AV59="非常勤",【様式2】職員名簿!G90,0))</f>
        <v>0</v>
      </c>
      <c r="AY59" s="428">
        <f>IF($AW59=AY$3,COUNTIF($AW$8:$AW59,AY$3),0)</f>
        <v>0</v>
      </c>
      <c r="AZ59" s="429" t="str">
        <f t="shared" si="44"/>
        <v/>
      </c>
      <c r="BA59" s="430">
        <f>IF($AW59=BA$3,COUNTIF($AW$8:$AW59,BA$3),0)</f>
        <v>0</v>
      </c>
      <c r="BB59" s="429" t="str">
        <f t="shared" si="45"/>
        <v/>
      </c>
      <c r="BC59" s="431">
        <f>IF($AW59=BC$3,COUNTIF($AW$8:$AW59,BC$3),0)</f>
        <v>0</v>
      </c>
      <c r="BD59" s="429" t="str">
        <f t="shared" si="46"/>
        <v/>
      </c>
      <c r="BE59" s="393">
        <f>IF(OR($AW59=BE$3,$AW59=BE$4),COUNTIF($AW$8:$AW59,BE$3)+COUNTIF($AW$8:$AW59,BE$4),0)</f>
        <v>0</v>
      </c>
      <c r="BF59" s="429" t="str">
        <f t="shared" si="47"/>
        <v/>
      </c>
      <c r="BG59" s="393">
        <f>IF($AW59=BG$3,COUNTIF($AW$8:$AW59,BG$3),0)</f>
        <v>0</v>
      </c>
      <c r="BH59" s="429" t="str">
        <f t="shared" si="48"/>
        <v/>
      </c>
      <c r="BI59" s="393">
        <f>IF($AW59&lt;&gt;BI$3,COUNTIF($AW$8:$AW59,"&lt;&gt;"&amp;BI$3),0)</f>
        <v>0</v>
      </c>
      <c r="BJ59" s="429" t="str">
        <f t="shared" si="49"/>
        <v/>
      </c>
      <c r="BK59" s="433"/>
      <c r="BL59" s="433"/>
    </row>
    <row r="60" spans="1:64" ht="15" customHeight="1">
      <c r="A60" s="1491"/>
      <c r="B60" s="1468"/>
      <c r="C60" s="1469"/>
      <c r="D60" s="1420" t="str">
        <f t="shared" si="64"/>
        <v>全職種</v>
      </c>
      <c r="E60" s="1470"/>
      <c r="F60" s="1424"/>
      <c r="G60" s="1504"/>
      <c r="H60" s="1637"/>
      <c r="I60" s="705" t="str">
        <f t="shared" si="50"/>
        <v/>
      </c>
      <c r="J60" s="687" t="str">
        <f t="shared" si="51"/>
        <v/>
      </c>
      <c r="K60" s="799"/>
      <c r="L60" s="489" t="str">
        <f t="shared" si="52"/>
        <v/>
      </c>
      <c r="M60" s="490">
        <f t="shared" si="53"/>
        <v>0</v>
      </c>
      <c r="N60" s="1640"/>
      <c r="O60" s="1641"/>
      <c r="P60" s="402"/>
      <c r="Q60" s="433"/>
      <c r="R60" s="433"/>
      <c r="S60" s="433"/>
      <c r="T60" s="768" t="str">
        <f t="shared" si="54"/>
        <v>全職種</v>
      </c>
      <c r="U60" s="763">
        <f t="shared" si="55"/>
        <v>0</v>
      </c>
      <c r="V60" s="768">
        <v>2</v>
      </c>
      <c r="W60" s="768" t="b">
        <f t="shared" si="65"/>
        <v>0</v>
      </c>
      <c r="X60" s="446" t="b">
        <f t="shared" ca="1" si="56"/>
        <v>0</v>
      </c>
      <c r="Y60" s="487" t="b">
        <f>COUNTIF($AC$17:AC59,AC60)+COUNTIF(AC61:$AC$65,AC60)-COUNTIF(Z60:AB60,AC60)=0</f>
        <v>0</v>
      </c>
      <c r="Z60" s="488" t="s">
        <v>536</v>
      </c>
      <c r="AA60" s="488" t="s">
        <v>536</v>
      </c>
      <c r="AB60" s="488" t="s">
        <v>536</v>
      </c>
      <c r="AC60" s="764">
        <f t="shared" si="57"/>
        <v>0</v>
      </c>
      <c r="AD60" s="446" t="b">
        <f t="shared" si="58"/>
        <v>0</v>
      </c>
      <c r="AE60" s="447" t="b">
        <f t="shared" si="59"/>
        <v>0</v>
      </c>
      <c r="AF60" s="768" t="str">
        <f t="shared" si="60"/>
        <v/>
      </c>
      <c r="AG60" s="488">
        <f t="shared" si="61"/>
        <v>0</v>
      </c>
      <c r="AH60" s="451">
        <v>2</v>
      </c>
      <c r="AI60" s="431">
        <f t="shared" si="62"/>
        <v>2</v>
      </c>
      <c r="AJ60" s="453">
        <f t="shared" si="63"/>
        <v>0</v>
      </c>
      <c r="AL60" s="383"/>
      <c r="AM60" s="383"/>
      <c r="AP60" s="466"/>
      <c r="AR60" s="448"/>
      <c r="AS60" s="448"/>
      <c r="AT60" s="393">
        <f t="shared" si="43"/>
        <v>53</v>
      </c>
      <c r="AU60" s="823" t="str">
        <f>AT60&amp;" "&amp;IF(AW60&lt;&gt;"-",【様式2】職員名簿!B91&amp;"/"&amp;AV60&amp;"/"&amp;AW60,"")</f>
        <v xml:space="preserve">53 </v>
      </c>
      <c r="AV60" s="823">
        <f>【様式2】職員名簿!E91</f>
        <v>0</v>
      </c>
      <c r="AW60" s="823" t="str">
        <f>IF(【様式2】職員名簿!J91="エラー","-",【様式2】職員名簿!J91)</f>
        <v>-</v>
      </c>
      <c r="AX60" s="394">
        <f>IF($AV60="常勤",$AM$2,IF($AV60="非常勤",【様式2】職員名簿!G91,0))</f>
        <v>0</v>
      </c>
      <c r="AY60" s="428">
        <f>IF($AW60=AY$3,COUNTIF($AW$8:$AW60,AY$3),0)</f>
        <v>0</v>
      </c>
      <c r="AZ60" s="429" t="str">
        <f t="shared" si="44"/>
        <v/>
      </c>
      <c r="BA60" s="430">
        <f>IF($AW60=BA$3,COUNTIF($AW$8:$AW60,BA$3),0)</f>
        <v>0</v>
      </c>
      <c r="BB60" s="429" t="str">
        <f t="shared" si="45"/>
        <v/>
      </c>
      <c r="BC60" s="431">
        <f>IF($AW60=BC$3,COUNTIF($AW$8:$AW60,BC$3),0)</f>
        <v>0</v>
      </c>
      <c r="BD60" s="429" t="str">
        <f t="shared" si="46"/>
        <v/>
      </c>
      <c r="BE60" s="393">
        <f>IF(OR($AW60=BE$3,$AW60=BE$4),COUNTIF($AW$8:$AW60,BE$3)+COUNTIF($AW$8:$AW60,BE$4),0)</f>
        <v>0</v>
      </c>
      <c r="BF60" s="429" t="str">
        <f t="shared" si="47"/>
        <v/>
      </c>
      <c r="BG60" s="393">
        <f>IF($AW60=BG$3,COUNTIF($AW$8:$AW60,BG$3),0)</f>
        <v>0</v>
      </c>
      <c r="BH60" s="429" t="str">
        <f t="shared" si="48"/>
        <v/>
      </c>
      <c r="BI60" s="393">
        <f>IF($AW60&lt;&gt;BI$3,COUNTIF($AW$8:$AW60,"&lt;&gt;"&amp;BI$3),0)</f>
        <v>0</v>
      </c>
      <c r="BJ60" s="429" t="str">
        <f t="shared" si="49"/>
        <v/>
      </c>
      <c r="BK60" s="433"/>
      <c r="BL60" s="433"/>
    </row>
    <row r="61" spans="1:64" ht="15" customHeight="1">
      <c r="A61" s="1491"/>
      <c r="B61" s="1468"/>
      <c r="C61" s="1469"/>
      <c r="D61" s="1420" t="str">
        <f t="shared" si="64"/>
        <v>全職種</v>
      </c>
      <c r="E61" s="1470"/>
      <c r="F61" s="1424"/>
      <c r="G61" s="1504"/>
      <c r="H61" s="1637"/>
      <c r="I61" s="705" t="str">
        <f t="shared" si="50"/>
        <v/>
      </c>
      <c r="J61" s="687" t="str">
        <f t="shared" si="51"/>
        <v/>
      </c>
      <c r="K61" s="799"/>
      <c r="L61" s="489" t="str">
        <f t="shared" si="52"/>
        <v/>
      </c>
      <c r="M61" s="490">
        <f t="shared" si="53"/>
        <v>0</v>
      </c>
      <c r="N61" s="1640"/>
      <c r="O61" s="1641"/>
      <c r="P61" s="402"/>
      <c r="Q61" s="433"/>
      <c r="R61" s="433"/>
      <c r="S61" s="433"/>
      <c r="T61" s="768" t="str">
        <f t="shared" si="54"/>
        <v>全職種</v>
      </c>
      <c r="U61" s="763">
        <f t="shared" si="55"/>
        <v>0</v>
      </c>
      <c r="V61" s="768">
        <v>2</v>
      </c>
      <c r="W61" s="768" t="b">
        <f t="shared" si="65"/>
        <v>0</v>
      </c>
      <c r="X61" s="446" t="b">
        <f t="shared" ca="1" si="56"/>
        <v>0</v>
      </c>
      <c r="Y61" s="487" t="b">
        <f>COUNTIF($AC$17:AC60,AC61)+COUNTIF(AC62:$AC$65,AC61)-COUNTIF(Z61:AB61,AC61)=0</f>
        <v>0</v>
      </c>
      <c r="Z61" s="488" t="s">
        <v>536</v>
      </c>
      <c r="AA61" s="488" t="s">
        <v>536</v>
      </c>
      <c r="AB61" s="488" t="s">
        <v>536</v>
      </c>
      <c r="AC61" s="764">
        <f t="shared" si="57"/>
        <v>0</v>
      </c>
      <c r="AD61" s="446" t="b">
        <f t="shared" si="58"/>
        <v>0</v>
      </c>
      <c r="AE61" s="447" t="b">
        <f t="shared" si="59"/>
        <v>0</v>
      </c>
      <c r="AF61" s="768" t="str">
        <f t="shared" si="60"/>
        <v/>
      </c>
      <c r="AG61" s="488">
        <f t="shared" si="61"/>
        <v>0</v>
      </c>
      <c r="AH61" s="451">
        <v>2</v>
      </c>
      <c r="AI61" s="431">
        <f t="shared" si="62"/>
        <v>2</v>
      </c>
      <c r="AJ61" s="453">
        <f t="shared" si="63"/>
        <v>0</v>
      </c>
      <c r="AL61" s="383"/>
      <c r="AM61" s="383"/>
      <c r="AP61" s="466"/>
      <c r="AR61" s="448"/>
      <c r="AS61" s="448"/>
      <c r="AT61" s="393">
        <f t="shared" si="43"/>
        <v>54</v>
      </c>
      <c r="AU61" s="823" t="str">
        <f>AT61&amp;" "&amp;IF(AW61&lt;&gt;"-",【様式2】職員名簿!B92&amp;"/"&amp;AV61&amp;"/"&amp;AW61,"")</f>
        <v xml:space="preserve">54 </v>
      </c>
      <c r="AV61" s="823">
        <f>【様式2】職員名簿!E92</f>
        <v>0</v>
      </c>
      <c r="AW61" s="823" t="str">
        <f>IF(【様式2】職員名簿!J92="エラー","-",【様式2】職員名簿!J92)</f>
        <v>-</v>
      </c>
      <c r="AX61" s="394">
        <f>IF($AV61="常勤",$AM$2,IF($AV61="非常勤",【様式2】職員名簿!G92,0))</f>
        <v>0</v>
      </c>
      <c r="AY61" s="428">
        <f>IF($AW61=AY$3,COUNTIF($AW$8:$AW61,AY$3),0)</f>
        <v>0</v>
      </c>
      <c r="AZ61" s="429" t="str">
        <f t="shared" si="44"/>
        <v/>
      </c>
      <c r="BA61" s="430">
        <f>IF($AW61=BA$3,COUNTIF($AW$8:$AW61,BA$3),0)</f>
        <v>0</v>
      </c>
      <c r="BB61" s="429" t="str">
        <f t="shared" si="45"/>
        <v/>
      </c>
      <c r="BC61" s="431">
        <f>IF($AW61=BC$3,COUNTIF($AW$8:$AW61,BC$3),0)</f>
        <v>0</v>
      </c>
      <c r="BD61" s="429" t="str">
        <f t="shared" si="46"/>
        <v/>
      </c>
      <c r="BE61" s="393">
        <f>IF(OR($AW61=BE$3,$AW61=BE$4),COUNTIF($AW$8:$AW61,BE$3)+COUNTIF($AW$8:$AW61,BE$4),0)</f>
        <v>0</v>
      </c>
      <c r="BF61" s="429" t="str">
        <f t="shared" si="47"/>
        <v/>
      </c>
      <c r="BG61" s="393">
        <f>IF($AW61=BG$3,COUNTIF($AW$8:$AW61,BG$3),0)</f>
        <v>0</v>
      </c>
      <c r="BH61" s="429" t="str">
        <f t="shared" si="48"/>
        <v/>
      </c>
      <c r="BI61" s="393">
        <f>IF($AW61&lt;&gt;BI$3,COUNTIF($AW$8:$AW61,"&lt;&gt;"&amp;BI$3),0)</f>
        <v>0</v>
      </c>
      <c r="BJ61" s="429" t="str">
        <f t="shared" si="49"/>
        <v/>
      </c>
      <c r="BK61" s="433"/>
      <c r="BL61" s="433"/>
    </row>
    <row r="62" spans="1:64" ht="15" customHeight="1">
      <c r="A62" s="1491"/>
      <c r="B62" s="1529"/>
      <c r="C62" s="1530"/>
      <c r="D62" s="1531" t="str">
        <f t="shared" si="64"/>
        <v>全職種</v>
      </c>
      <c r="E62" s="1532"/>
      <c r="F62" s="1533"/>
      <c r="G62" s="1534"/>
      <c r="H62" s="1535"/>
      <c r="I62" s="806" t="str">
        <f t="shared" si="50"/>
        <v/>
      </c>
      <c r="J62" s="459" t="str">
        <f t="shared" si="51"/>
        <v/>
      </c>
      <c r="K62" s="800"/>
      <c r="L62" s="471" t="str">
        <f t="shared" si="52"/>
        <v/>
      </c>
      <c r="M62" s="455">
        <f t="shared" si="53"/>
        <v>0</v>
      </c>
      <c r="N62" s="1640"/>
      <c r="O62" s="1641"/>
      <c r="P62" s="402"/>
      <c r="Q62" s="433"/>
      <c r="R62" s="433"/>
      <c r="S62" s="433"/>
      <c r="T62" s="768" t="str">
        <f t="shared" si="54"/>
        <v>全職種</v>
      </c>
      <c r="U62" s="763">
        <f t="shared" si="55"/>
        <v>0</v>
      </c>
      <c r="V62" s="768">
        <v>2</v>
      </c>
      <c r="W62" s="768" t="b">
        <f t="shared" si="65"/>
        <v>0</v>
      </c>
      <c r="X62" s="446" t="b">
        <f t="shared" ca="1" si="56"/>
        <v>0</v>
      </c>
      <c r="Y62" s="487" t="b">
        <f>COUNTIF($AC$17:AC61,AC62)+COUNTIF(AC63:$AC$65,AC62)-COUNTIF(Z62:AB62,AC62)=0</f>
        <v>0</v>
      </c>
      <c r="Z62" s="488" t="s">
        <v>536</v>
      </c>
      <c r="AA62" s="488" t="s">
        <v>536</v>
      </c>
      <c r="AB62" s="488" t="s">
        <v>536</v>
      </c>
      <c r="AC62" s="764">
        <f t="shared" si="57"/>
        <v>0</v>
      </c>
      <c r="AD62" s="446" t="b">
        <f t="shared" si="58"/>
        <v>0</v>
      </c>
      <c r="AE62" s="447" t="b">
        <f t="shared" si="59"/>
        <v>0</v>
      </c>
      <c r="AF62" s="768" t="str">
        <f t="shared" si="60"/>
        <v/>
      </c>
      <c r="AG62" s="488">
        <f t="shared" si="61"/>
        <v>0</v>
      </c>
      <c r="AH62" s="451">
        <v>2</v>
      </c>
      <c r="AI62" s="431">
        <f t="shared" si="62"/>
        <v>2</v>
      </c>
      <c r="AJ62" s="453">
        <f t="shared" si="63"/>
        <v>0</v>
      </c>
      <c r="AL62" s="383"/>
      <c r="AM62" s="491"/>
      <c r="AP62" s="466"/>
      <c r="AR62" s="448"/>
      <c r="AS62" s="448"/>
      <c r="AT62" s="393">
        <f t="shared" si="43"/>
        <v>55</v>
      </c>
      <c r="AU62" s="823" t="str">
        <f>AT62&amp;" "&amp;IF(AW62&lt;&gt;"-",【様式2】職員名簿!B93&amp;"/"&amp;AV62&amp;"/"&amp;AW62,"")</f>
        <v xml:space="preserve">55 </v>
      </c>
      <c r="AV62" s="823">
        <f>【様式2】職員名簿!E93</f>
        <v>0</v>
      </c>
      <c r="AW62" s="823" t="str">
        <f>IF(【様式2】職員名簿!J93="エラー","-",【様式2】職員名簿!J93)</f>
        <v>-</v>
      </c>
      <c r="AX62" s="394">
        <f>IF($AV62="常勤",$AM$2,IF($AV62="非常勤",【様式2】職員名簿!G93,0))</f>
        <v>0</v>
      </c>
      <c r="AY62" s="428">
        <f>IF($AW62=AY$3,COUNTIF($AW$8:$AW62,AY$3),0)</f>
        <v>0</v>
      </c>
      <c r="AZ62" s="429" t="str">
        <f t="shared" si="44"/>
        <v/>
      </c>
      <c r="BA62" s="430">
        <f>IF($AW62=BA$3,COUNTIF($AW$8:$AW62,BA$3),0)</f>
        <v>0</v>
      </c>
      <c r="BB62" s="429" t="str">
        <f t="shared" si="45"/>
        <v/>
      </c>
      <c r="BC62" s="431">
        <f>IF($AW62=BC$3,COUNTIF($AW$8:$AW62,BC$3),0)</f>
        <v>0</v>
      </c>
      <c r="BD62" s="429" t="str">
        <f t="shared" si="46"/>
        <v/>
      </c>
      <c r="BE62" s="393">
        <f>IF(OR($AW62=BE$3,$AW62=BE$4),COUNTIF($AW$8:$AW62,BE$3)+COUNTIF($AW$8:$AW62,BE$4),0)</f>
        <v>0</v>
      </c>
      <c r="BF62" s="429" t="str">
        <f t="shared" si="47"/>
        <v/>
      </c>
      <c r="BG62" s="393">
        <f>IF($AW62=BG$3,COUNTIF($AW$8:$AW62,BG$3),0)</f>
        <v>0</v>
      </c>
      <c r="BH62" s="429" t="str">
        <f t="shared" si="48"/>
        <v/>
      </c>
      <c r="BI62" s="393">
        <f>IF($AW62&lt;&gt;BI$3,COUNTIF($AW$8:$AW62,"&lt;&gt;"&amp;BI$3),0)</f>
        <v>0</v>
      </c>
      <c r="BJ62" s="429" t="str">
        <f t="shared" si="49"/>
        <v/>
      </c>
      <c r="BK62" s="433"/>
      <c r="BL62" s="433"/>
    </row>
    <row r="63" spans="1:64" ht="15" customHeight="1">
      <c r="A63" s="1502" t="s">
        <v>567</v>
      </c>
      <c r="B63" s="1416"/>
      <c r="C63" s="1417"/>
      <c r="D63" s="1542" t="str">
        <f>AF63</f>
        <v>家庭的保育者</v>
      </c>
      <c r="E63" s="1543"/>
      <c r="F63" s="1544" t="str">
        <f>IF(ISTEXT(B63),【様式2】職員名簿!B28,"")</f>
        <v/>
      </c>
      <c r="G63" s="1545"/>
      <c r="H63" s="1545"/>
      <c r="I63" s="704" t="str">
        <f t="shared" si="50"/>
        <v/>
      </c>
      <c r="J63" s="770" t="str">
        <f>IF(OR(F63=0,F63=""),"",IF(W63,IF(X63,IF(OR(Y63,V63=3),IF(AD63,IF(OR(AE63,V63=2,V63=3),"○","要常勤"),"時間無"),"重複"),"名簿無"),"対象外"))</f>
        <v/>
      </c>
      <c r="K63" s="805"/>
      <c r="L63" s="646" t="str">
        <f t="shared" si="52"/>
        <v/>
      </c>
      <c r="M63" s="449">
        <f t="shared" si="53"/>
        <v>0</v>
      </c>
      <c r="N63" s="1418">
        <f>SUM(M63:M63)</f>
        <v>0</v>
      </c>
      <c r="O63" s="1419"/>
      <c r="P63" s="402"/>
      <c r="Q63" s="433"/>
      <c r="R63" s="433"/>
      <c r="S63" s="433"/>
      <c r="T63" s="451" t="s">
        <v>568</v>
      </c>
      <c r="U63" s="462">
        <f>BM7</f>
        <v>0</v>
      </c>
      <c r="V63" s="463">
        <v>3</v>
      </c>
      <c r="W63" s="463" t="b">
        <f>AND(ISTEXT(B63),ISTEXT(F63))</f>
        <v>0</v>
      </c>
      <c r="X63" s="464" t="b">
        <f t="shared" ca="1" si="56"/>
        <v>0</v>
      </c>
      <c r="Y63" s="495" t="b">
        <f>COUNTIF($AC$17:AC62,AC63)+COUNTIF(AC64:$AC$65,AC63)-COUNTIF(Z63:AB63,AC63)=0</f>
        <v>0</v>
      </c>
      <c r="Z63" s="458" t="s">
        <v>536</v>
      </c>
      <c r="AA63" s="458" t="s">
        <v>536</v>
      </c>
      <c r="AB63" s="458" t="s">
        <v>536</v>
      </c>
      <c r="AC63" s="457" t="str">
        <f>IF(V63=3,"-",IFERROR(INDEX($AT$8:$AT$107,MATCH($F63,AU$8:AU$107,0),1),0))</f>
        <v>-</v>
      </c>
      <c r="AD63" s="462" t="b">
        <f t="shared" ref="AD63" si="67">U63&gt;0</f>
        <v>0</v>
      </c>
      <c r="AE63" s="465" t="s">
        <v>522</v>
      </c>
      <c r="AF63" s="451" t="str">
        <f>BK7</f>
        <v>家庭的保育者</v>
      </c>
      <c r="AG63" s="458">
        <f>M63</f>
        <v>0</v>
      </c>
      <c r="AH63" s="451">
        <v>2</v>
      </c>
      <c r="AI63" s="431">
        <f t="shared" si="62"/>
        <v>2</v>
      </c>
      <c r="AJ63" s="453">
        <f t="shared" si="63"/>
        <v>0</v>
      </c>
      <c r="AL63" s="383"/>
      <c r="AM63" s="491"/>
      <c r="AP63" s="466"/>
      <c r="AR63" s="448"/>
      <c r="AS63" s="448"/>
      <c r="AT63" s="393">
        <f t="shared" si="43"/>
        <v>56</v>
      </c>
      <c r="AU63" s="823" t="str">
        <f>AT63&amp;" "&amp;IF(AW63&lt;&gt;"-",【様式2】職員名簿!B94&amp;"/"&amp;AV63&amp;"/"&amp;AW63,"")</f>
        <v xml:space="preserve">56 </v>
      </c>
      <c r="AV63" s="823">
        <f>【様式2】職員名簿!E94</f>
        <v>0</v>
      </c>
      <c r="AW63" s="823" t="str">
        <f>IF(【様式2】職員名簿!J94="エラー","-",【様式2】職員名簿!J94)</f>
        <v>-</v>
      </c>
      <c r="AX63" s="394">
        <f>IF($AV63="常勤",$AM$2,IF($AV63="非常勤",【様式2】職員名簿!G94,0))</f>
        <v>0</v>
      </c>
      <c r="AY63" s="428">
        <f>IF($AW63=AY$3,COUNTIF($AW$8:$AW63,AY$3),0)</f>
        <v>0</v>
      </c>
      <c r="AZ63" s="429" t="str">
        <f t="shared" si="44"/>
        <v/>
      </c>
      <c r="BA63" s="430">
        <f>IF($AW63=BA$3,COUNTIF($AW$8:$AW63,BA$3),0)</f>
        <v>0</v>
      </c>
      <c r="BB63" s="429" t="str">
        <f t="shared" si="45"/>
        <v/>
      </c>
      <c r="BC63" s="431">
        <f>IF($AW63=BC$3,COUNTIF($AW$8:$AW63,BC$3),0)</f>
        <v>0</v>
      </c>
      <c r="BD63" s="429" t="str">
        <f t="shared" si="46"/>
        <v/>
      </c>
      <c r="BE63" s="393">
        <f>IF(OR($AW63=BE$3,$AW63=BE$4),COUNTIF($AW$8:$AW63,BE$3)+COUNTIF($AW$8:$AW63,BE$4),0)</f>
        <v>0</v>
      </c>
      <c r="BF63" s="429" t="str">
        <f t="shared" si="47"/>
        <v/>
      </c>
      <c r="BG63" s="393">
        <f>IF($AW63=BG$3,COUNTIF($AW$8:$AW63,BG$3),0)</f>
        <v>0</v>
      </c>
      <c r="BH63" s="429" t="str">
        <f t="shared" si="48"/>
        <v/>
      </c>
      <c r="BI63" s="393">
        <f>IF($AW63&lt;&gt;BI$3,COUNTIF($AW$8:$AW63,"&lt;&gt;"&amp;BI$3),0)</f>
        <v>0</v>
      </c>
      <c r="BJ63" s="429" t="str">
        <f t="shared" si="49"/>
        <v/>
      </c>
      <c r="BK63" s="433"/>
      <c r="BL63" s="433"/>
    </row>
    <row r="64" spans="1:64" ht="15" customHeight="1">
      <c r="A64" s="1503"/>
      <c r="B64" s="1536"/>
      <c r="C64" s="1537"/>
      <c r="D64" s="1538" t="str">
        <f t="shared" ref="D64" si="68">AF64</f>
        <v>家庭的保育補助者</v>
      </c>
      <c r="E64" s="1539"/>
      <c r="F64" s="1540" t="str">
        <f>IF(ISTEXT(B64),【様式2】職員名簿!B29,"")</f>
        <v/>
      </c>
      <c r="G64" s="1541"/>
      <c r="H64" s="1541"/>
      <c r="I64" s="709" t="str">
        <f t="shared" si="50"/>
        <v/>
      </c>
      <c r="J64" s="769" t="str">
        <f>IF(OR(F64=0,F64=""),"",IF(W64,IF(X64,IF(OR(Y64,V64=3),IF(AD64,IF(OR(AE64,V64=2,V64=3),"○","要常勤"),"時間無"),"重複"),"名簿無"),"対象外"))</f>
        <v/>
      </c>
      <c r="K64" s="804"/>
      <c r="L64" s="468" t="str">
        <f t="shared" si="52"/>
        <v/>
      </c>
      <c r="M64" s="469">
        <f t="shared" si="53"/>
        <v>0</v>
      </c>
      <c r="N64" s="1517">
        <f>SUM(M64:M64)</f>
        <v>0</v>
      </c>
      <c r="O64" s="1518"/>
      <c r="P64" s="402"/>
      <c r="Q64" s="433"/>
      <c r="R64" s="433"/>
      <c r="S64" s="433"/>
      <c r="T64" s="451" t="s">
        <v>568</v>
      </c>
      <c r="U64" s="462">
        <f>BM8</f>
        <v>0</v>
      </c>
      <c r="V64" s="463">
        <v>3</v>
      </c>
      <c r="W64" s="463" t="b">
        <f>AND(ISTEXT(B64),ISTEXT(F64))</f>
        <v>0</v>
      </c>
      <c r="X64" s="464" t="b">
        <f t="shared" ref="X64" ca="1" si="69">COUNTIF(INDIRECT(T64),F64)&gt;0</f>
        <v>0</v>
      </c>
      <c r="Y64" s="495" t="b">
        <f>COUNTIF($AC$17:AC63,AC64)+COUNTIF(AC65:$AC$65,AC64)-COUNTIF(Z64:AB64,AC64)=0</f>
        <v>0</v>
      </c>
      <c r="Z64" s="458" t="s">
        <v>536</v>
      </c>
      <c r="AA64" s="458" t="s">
        <v>536</v>
      </c>
      <c r="AB64" s="458" t="s">
        <v>536</v>
      </c>
      <c r="AC64" s="457" t="str">
        <f>IF(V64=3,"-",IFERROR(INDEX($AT$8:$AT$107,MATCH($F64,AU$8:AU$107,0),1),0))</f>
        <v>-</v>
      </c>
      <c r="AD64" s="462" t="b">
        <f t="shared" si="58"/>
        <v>0</v>
      </c>
      <c r="AE64" s="465" t="s">
        <v>522</v>
      </c>
      <c r="AF64" s="451" t="str">
        <f>BK8</f>
        <v>家庭的保育補助者</v>
      </c>
      <c r="AG64" s="458">
        <f t="shared" si="61"/>
        <v>0</v>
      </c>
      <c r="AH64" s="451">
        <v>2</v>
      </c>
      <c r="AI64" s="431">
        <f t="shared" si="62"/>
        <v>2</v>
      </c>
      <c r="AJ64" s="453">
        <f t="shared" si="63"/>
        <v>0</v>
      </c>
      <c r="AL64" s="383"/>
      <c r="AM64" s="491"/>
      <c r="AN64" s="383"/>
      <c r="AP64" s="466"/>
      <c r="AR64" s="448"/>
      <c r="AS64" s="448"/>
      <c r="AT64" s="393">
        <f t="shared" si="43"/>
        <v>57</v>
      </c>
      <c r="AU64" s="823" t="str">
        <f>AT64&amp;" "&amp;IF(AW64&lt;&gt;"-",【様式2】職員名簿!B95&amp;"/"&amp;AV64&amp;"/"&amp;AW64,"")</f>
        <v xml:space="preserve">57 </v>
      </c>
      <c r="AV64" s="823">
        <f>【様式2】職員名簿!E95</f>
        <v>0</v>
      </c>
      <c r="AW64" s="823" t="str">
        <f>IF(【様式2】職員名簿!J95="エラー","-",【様式2】職員名簿!J95)</f>
        <v>-</v>
      </c>
      <c r="AX64" s="394">
        <f>IF($AV64="常勤",$AM$2,IF($AV64="非常勤",【様式2】職員名簿!G95,0))</f>
        <v>0</v>
      </c>
      <c r="AY64" s="428">
        <f>IF($AW64=AY$3,COUNTIF($AW$8:$AW64,AY$3),0)</f>
        <v>0</v>
      </c>
      <c r="AZ64" s="429" t="str">
        <f t="shared" si="44"/>
        <v/>
      </c>
      <c r="BA64" s="430">
        <f>IF($AW64=BA$3,COUNTIF($AW$8:$AW64,BA$3),0)</f>
        <v>0</v>
      </c>
      <c r="BB64" s="429" t="str">
        <f t="shared" si="45"/>
        <v/>
      </c>
      <c r="BC64" s="431">
        <f>IF($AW64=BC$3,COUNTIF($AW$8:$AW64,BC$3),0)</f>
        <v>0</v>
      </c>
      <c r="BD64" s="429" t="str">
        <f t="shared" si="46"/>
        <v/>
      </c>
      <c r="BE64" s="393">
        <f>IF(OR($AW64=BE$3,$AW64=BE$4),COUNTIF($AW$8:$AW64,BE$3)+COUNTIF($AW$8:$AW64,BE$4),0)</f>
        <v>0</v>
      </c>
      <c r="BF64" s="429" t="str">
        <f t="shared" si="47"/>
        <v/>
      </c>
      <c r="BG64" s="393">
        <f>IF($AW64=BG$3,COUNTIF($AW$8:$AW64,BG$3),0)</f>
        <v>0</v>
      </c>
      <c r="BH64" s="429" t="str">
        <f t="shared" si="48"/>
        <v/>
      </c>
      <c r="BI64" s="393">
        <f>IF($AW64&lt;&gt;BI$3,COUNTIF($AW$8:$AW64,"&lt;&gt;"&amp;BI$3),0)</f>
        <v>0</v>
      </c>
      <c r="BJ64" s="429" t="str">
        <f t="shared" si="49"/>
        <v/>
      </c>
      <c r="BK64" s="433"/>
      <c r="BL64" s="433"/>
    </row>
    <row r="65" spans="1:64" ht="15" customHeight="1" thickBot="1">
      <c r="A65" s="168"/>
      <c r="B65" s="496"/>
      <c r="C65" s="748"/>
      <c r="D65" s="748"/>
      <c r="E65" s="748"/>
      <c r="F65" s="748"/>
      <c r="G65" s="748"/>
      <c r="H65" s="212"/>
      <c r="I65" s="212"/>
      <c r="J65" s="212"/>
      <c r="K65" s="748"/>
      <c r="L65" s="748"/>
      <c r="M65" s="748"/>
      <c r="N65" s="748"/>
      <c r="O65" s="748"/>
      <c r="P65" s="402"/>
      <c r="Q65" s="402"/>
      <c r="R65" s="383"/>
      <c r="S65" s="383"/>
      <c r="T65" s="383"/>
      <c r="Y65" s="466"/>
      <c r="Z65" s="466"/>
      <c r="AA65" s="466"/>
      <c r="AB65" s="466"/>
      <c r="AC65" s="497">
        <v>0</v>
      </c>
      <c r="AF65" s="466"/>
      <c r="AG65" s="466"/>
      <c r="AH65" s="466"/>
      <c r="AI65" s="466"/>
      <c r="AJ65" s="466"/>
      <c r="AM65" s="383"/>
      <c r="AN65" s="383"/>
      <c r="AO65" s="383"/>
      <c r="AR65" s="448"/>
      <c r="AS65" s="448"/>
      <c r="AT65" s="393">
        <f t="shared" si="43"/>
        <v>58</v>
      </c>
      <c r="AU65" s="823" t="str">
        <f>AT65&amp;" "&amp;IF(AW65&lt;&gt;"-",【様式2】職員名簿!B96&amp;"/"&amp;AV65&amp;"/"&amp;AW65,"")</f>
        <v xml:space="preserve">58 </v>
      </c>
      <c r="AV65" s="823">
        <f>【様式2】職員名簿!E96</f>
        <v>0</v>
      </c>
      <c r="AW65" s="823" t="str">
        <f>IF(【様式2】職員名簿!J96="エラー","-",【様式2】職員名簿!J96)</f>
        <v>-</v>
      </c>
      <c r="AX65" s="394">
        <f>IF($AV65="常勤",$AM$2,IF($AV65="非常勤",【様式2】職員名簿!G96,0))</f>
        <v>0</v>
      </c>
      <c r="AY65" s="428">
        <f>IF($AW65=AY$3,COUNTIF($AW$8:$AW65,AY$3),0)</f>
        <v>0</v>
      </c>
      <c r="AZ65" s="429" t="str">
        <f t="shared" si="44"/>
        <v/>
      </c>
      <c r="BA65" s="430">
        <f>IF($AW65=BA$3,COUNTIF($AW$8:$AW65,BA$3),0)</f>
        <v>0</v>
      </c>
      <c r="BB65" s="429" t="str">
        <f t="shared" si="45"/>
        <v/>
      </c>
      <c r="BC65" s="431">
        <f>IF($AW65=BC$3,COUNTIF($AW$8:$AW65,BC$3),0)</f>
        <v>0</v>
      </c>
      <c r="BD65" s="429" t="str">
        <f t="shared" si="46"/>
        <v/>
      </c>
      <c r="BE65" s="393">
        <f>IF(OR($AW65=BE$3,$AW65=BE$4),COUNTIF($AW$8:$AW65,BE$3)+COUNTIF($AW$8:$AW65,BE$4),0)</f>
        <v>0</v>
      </c>
      <c r="BF65" s="429" t="str">
        <f t="shared" si="47"/>
        <v/>
      </c>
      <c r="BG65" s="393">
        <f>IF($AW65=BG$3,COUNTIF($AW$8:$AW65,BG$3),0)</f>
        <v>0</v>
      </c>
      <c r="BH65" s="429" t="str">
        <f t="shared" si="48"/>
        <v/>
      </c>
      <c r="BI65" s="393">
        <f>IF($AW65&lt;&gt;BI$3,COUNTIF($AW$8:$AW65,"&lt;&gt;"&amp;BI$3),0)</f>
        <v>0</v>
      </c>
      <c r="BJ65" s="429" t="str">
        <f t="shared" si="49"/>
        <v/>
      </c>
      <c r="BK65" s="433"/>
      <c r="BL65" s="433"/>
    </row>
    <row r="66" spans="1:64" ht="15" hidden="1" customHeight="1" outlineLevel="1" thickBot="1">
      <c r="A66" s="381" t="s">
        <v>569</v>
      </c>
      <c r="B66" s="748"/>
      <c r="C66" s="748"/>
      <c r="D66" s="748"/>
      <c r="E66" s="748"/>
      <c r="F66" s="748"/>
      <c r="G66" s="748" t="s">
        <v>570</v>
      </c>
      <c r="H66" s="168"/>
      <c r="I66" s="168"/>
      <c r="J66" s="168"/>
      <c r="K66" s="748"/>
      <c r="L66" s="168"/>
      <c r="M66" s="748"/>
      <c r="N66" s="748"/>
      <c r="O66" s="168"/>
      <c r="P66" s="402"/>
      <c r="Q66" s="402"/>
      <c r="R66" s="383"/>
      <c r="S66" s="383"/>
      <c r="T66" s="383"/>
      <c r="AM66" s="383"/>
      <c r="AN66" s="383"/>
      <c r="AO66" s="383"/>
      <c r="AQ66" s="448"/>
      <c r="AR66" s="448"/>
      <c r="AS66" s="448"/>
      <c r="AT66" s="393">
        <f t="shared" si="43"/>
        <v>59</v>
      </c>
      <c r="AU66" s="823" t="str">
        <f>AT66&amp;" "&amp;IF(AW66&lt;&gt;"-",【様式2】職員名簿!B97&amp;"/"&amp;AV66&amp;"/"&amp;AW66,"")</f>
        <v xml:space="preserve">59 </v>
      </c>
      <c r="AV66" s="823">
        <f>【様式2】職員名簿!E97</f>
        <v>0</v>
      </c>
      <c r="AW66" s="823" t="str">
        <f>IF(【様式2】職員名簿!J97="エラー","-",【様式2】職員名簿!J97)</f>
        <v>-</v>
      </c>
      <c r="AX66" s="394">
        <f>IF($AV66="常勤",$AM$2,IF($AV66="非常勤",【様式2】職員名簿!G97,0))</f>
        <v>0</v>
      </c>
      <c r="AY66" s="428">
        <f>IF($AW66=AY$3,COUNTIF($AW$8:$AW66,AY$3),0)</f>
        <v>0</v>
      </c>
      <c r="AZ66" s="429" t="str">
        <f t="shared" si="44"/>
        <v/>
      </c>
      <c r="BA66" s="430">
        <f>IF($AW66=BA$3,COUNTIF($AW$8:$AW66,BA$3),0)</f>
        <v>0</v>
      </c>
      <c r="BB66" s="429" t="str">
        <f t="shared" si="45"/>
        <v/>
      </c>
      <c r="BC66" s="431">
        <f>IF($AW66=BC$3,COUNTIF($AW$8:$AW66,BC$3),0)</f>
        <v>0</v>
      </c>
      <c r="BD66" s="429" t="str">
        <f t="shared" si="46"/>
        <v/>
      </c>
      <c r="BE66" s="393">
        <f>IF(OR($AW66=BE$3,$AW66=BE$4),COUNTIF($AW$8:$AW66,BE$3)+COUNTIF($AW$8:$AW66,BE$4),0)</f>
        <v>0</v>
      </c>
      <c r="BF66" s="429" t="str">
        <f t="shared" si="47"/>
        <v/>
      </c>
      <c r="BG66" s="393">
        <f>IF($AW66=BG$3,COUNTIF($AW$8:$AW66,BG$3),0)</f>
        <v>0</v>
      </c>
      <c r="BH66" s="429" t="str">
        <f t="shared" si="48"/>
        <v/>
      </c>
      <c r="BI66" s="393">
        <f>IF($AW66&lt;&gt;BI$3,COUNTIF($AW$8:$AW66,"&lt;&gt;"&amp;BI$3),0)</f>
        <v>0</v>
      </c>
      <c r="BJ66" s="429" t="str">
        <f t="shared" si="49"/>
        <v/>
      </c>
      <c r="BK66" s="433"/>
      <c r="BL66" s="433"/>
    </row>
    <row r="67" spans="1:64" ht="15" hidden="1" customHeight="1" outlineLevel="1">
      <c r="A67" s="1519" t="s">
        <v>101</v>
      </c>
      <c r="B67" s="1483" t="s">
        <v>571</v>
      </c>
      <c r="C67" s="1484"/>
      <c r="D67" s="1484"/>
      <c r="E67" s="1484"/>
      <c r="F67" s="1484"/>
      <c r="G67" s="1484"/>
      <c r="H67" s="1484"/>
      <c r="I67" s="498"/>
      <c r="J67" s="437"/>
      <c r="K67" s="168"/>
      <c r="L67" s="168"/>
      <c r="M67" s="168"/>
      <c r="N67" s="168"/>
      <c r="O67" s="168"/>
      <c r="P67" s="402"/>
      <c r="Q67" s="402"/>
      <c r="R67" s="383"/>
      <c r="S67" s="383"/>
      <c r="T67" s="434"/>
      <c r="AK67" s="383"/>
      <c r="AN67" s="383"/>
      <c r="AO67" s="383"/>
      <c r="AQ67" s="448"/>
      <c r="AR67" s="448"/>
      <c r="AT67" s="393">
        <f t="shared" si="43"/>
        <v>60</v>
      </c>
      <c r="AU67" s="823" t="str">
        <f>AT67&amp;" "&amp;IF(AW67&lt;&gt;"-",【様式2】職員名簿!B98&amp;"/"&amp;AV67&amp;"/"&amp;AW67,"")</f>
        <v xml:space="preserve">60 </v>
      </c>
      <c r="AV67" s="823">
        <f>【様式2】職員名簿!E98</f>
        <v>0</v>
      </c>
      <c r="AW67" s="823" t="str">
        <f>IF(【様式2】職員名簿!J98="エラー","-",【様式2】職員名簿!J98)</f>
        <v>-</v>
      </c>
      <c r="AX67" s="394">
        <f>IF($AV67="常勤",$AM$2,IF($AV67="非常勤",【様式2】職員名簿!G98,0))</f>
        <v>0</v>
      </c>
      <c r="AY67" s="428">
        <f>IF($AW67=AY$3,COUNTIF($AW$8:$AW67,AY$3),0)</f>
        <v>0</v>
      </c>
      <c r="AZ67" s="429" t="str">
        <f t="shared" si="44"/>
        <v/>
      </c>
      <c r="BA67" s="430">
        <f>IF($AW67=BA$3,COUNTIF($AW$8:$AW67,BA$3),0)</f>
        <v>0</v>
      </c>
      <c r="BB67" s="429" t="str">
        <f t="shared" si="45"/>
        <v/>
      </c>
      <c r="BC67" s="431">
        <f>IF($AW67=BC$3,COUNTIF($AW$8:$AW67,BC$3),0)</f>
        <v>0</v>
      </c>
      <c r="BD67" s="429" t="str">
        <f t="shared" si="46"/>
        <v/>
      </c>
      <c r="BE67" s="393">
        <f>IF(OR($AW67=BE$3,$AW67=BE$4),COUNTIF($AW$8:$AW67,BE$3)+COUNTIF($AW$8:$AW67,BE$4),0)</f>
        <v>0</v>
      </c>
      <c r="BF67" s="429" t="str">
        <f t="shared" si="47"/>
        <v/>
      </c>
      <c r="BG67" s="393">
        <f>IF($AW67=BG$3,COUNTIF($AW$8:$AW67,BG$3),0)</f>
        <v>0</v>
      </c>
      <c r="BH67" s="429" t="str">
        <f t="shared" si="48"/>
        <v/>
      </c>
      <c r="BI67" s="393">
        <f>IF($AW67&lt;&gt;BI$3,COUNTIF($AW$8:$AW67,"&lt;&gt;"&amp;BI$3),0)</f>
        <v>0</v>
      </c>
      <c r="BJ67" s="429" t="str">
        <f t="shared" si="49"/>
        <v/>
      </c>
      <c r="BK67" s="433"/>
      <c r="BL67" s="433"/>
    </row>
    <row r="68" spans="1:64" ht="15" hidden="1" customHeight="1" outlineLevel="1" thickBot="1">
      <c r="A68" s="1520"/>
      <c r="B68" s="1522" t="s">
        <v>572</v>
      </c>
      <c r="C68" s="1475" t="s">
        <v>573</v>
      </c>
      <c r="D68" s="1476"/>
      <c r="E68" s="1480" t="s">
        <v>576</v>
      </c>
      <c r="F68" s="1481"/>
      <c r="G68" s="1481"/>
      <c r="H68" s="1482"/>
      <c r="I68" s="1525" t="s">
        <v>574</v>
      </c>
      <c r="J68" s="499"/>
      <c r="K68" s="168"/>
      <c r="L68" s="168"/>
      <c r="M68" s="168"/>
      <c r="N68" s="168"/>
      <c r="O68" s="168"/>
      <c r="P68" s="402"/>
      <c r="Q68" s="402"/>
      <c r="R68" s="383"/>
      <c r="S68" s="383"/>
      <c r="T68" s="434"/>
      <c r="AK68" s="434"/>
      <c r="AN68" s="491"/>
      <c r="AO68" s="383"/>
      <c r="AQ68" s="448"/>
      <c r="AR68" s="448"/>
      <c r="AS68" s="448"/>
      <c r="AT68" s="393">
        <f t="shared" si="43"/>
        <v>61</v>
      </c>
      <c r="AU68" s="823" t="str">
        <f>AT68&amp;" "&amp;IF(AW68&lt;&gt;"-",【様式2】職員名簿!B99&amp;"/"&amp;AV68&amp;"/"&amp;AW68,"")</f>
        <v xml:space="preserve">61 </v>
      </c>
      <c r="AV68" s="823">
        <f>【様式2】職員名簿!E99</f>
        <v>0</v>
      </c>
      <c r="AW68" s="823" t="str">
        <f>IF(【様式2】職員名簿!J99="エラー","-",【様式2】職員名簿!J99)</f>
        <v>-</v>
      </c>
      <c r="AX68" s="394">
        <f>IF($AV68="常勤",$AM$2,IF($AV68="非常勤",【様式2】職員名簿!G99,0))</f>
        <v>0</v>
      </c>
      <c r="AY68" s="428">
        <f>IF($AW68=AY$3,COUNTIF($AW$8:$AW68,AY$3),0)</f>
        <v>0</v>
      </c>
      <c r="AZ68" s="429" t="str">
        <f t="shared" si="44"/>
        <v/>
      </c>
      <c r="BA68" s="430">
        <f>IF($AW68=BA$3,COUNTIF($AW$8:$AW68,BA$3),0)</f>
        <v>0</v>
      </c>
      <c r="BB68" s="429" t="str">
        <f t="shared" si="45"/>
        <v/>
      </c>
      <c r="BC68" s="431">
        <f>IF($AW68=BC$3,COUNTIF($AW$8:$AW68,BC$3),0)</f>
        <v>0</v>
      </c>
      <c r="BD68" s="429" t="str">
        <f t="shared" si="46"/>
        <v/>
      </c>
      <c r="BE68" s="393">
        <f>IF(OR($AW68=BE$3,$AW68=BE$4),COUNTIF($AW$8:$AW68,BE$3)+COUNTIF($AW$8:$AW68,BE$4),0)</f>
        <v>0</v>
      </c>
      <c r="BF68" s="429" t="str">
        <f t="shared" si="47"/>
        <v/>
      </c>
      <c r="BG68" s="393">
        <f>IF($AW68=BG$3,COUNTIF($AW$8:$AW68,BG$3),0)</f>
        <v>0</v>
      </c>
      <c r="BH68" s="429" t="str">
        <f t="shared" si="48"/>
        <v/>
      </c>
      <c r="BI68" s="393">
        <f>IF($AW68&lt;&gt;BI$3,COUNTIF($AW$8:$AW68,"&lt;&gt;"&amp;BI$3),0)</f>
        <v>0</v>
      </c>
      <c r="BJ68" s="429" t="str">
        <f t="shared" si="49"/>
        <v/>
      </c>
      <c r="BK68" s="433"/>
      <c r="BL68" s="433"/>
    </row>
    <row r="69" spans="1:64" ht="15" hidden="1" customHeight="1" outlineLevel="1" thickBot="1">
      <c r="A69" s="1520"/>
      <c r="B69" s="1523"/>
      <c r="C69" s="1527" t="s">
        <v>408</v>
      </c>
      <c r="D69" s="1527" t="s">
        <v>575</v>
      </c>
      <c r="E69" s="1475" t="s">
        <v>658</v>
      </c>
      <c r="F69" s="1476"/>
      <c r="G69" s="1477"/>
      <c r="H69" s="1478" t="s">
        <v>659</v>
      </c>
      <c r="I69" s="1525"/>
      <c r="J69" s="499"/>
      <c r="K69" s="168"/>
      <c r="L69" s="168"/>
      <c r="M69" s="168"/>
      <c r="N69" s="168"/>
      <c r="O69" s="168"/>
      <c r="P69" s="402"/>
      <c r="Q69" s="1440" t="s">
        <v>386</v>
      </c>
      <c r="R69" s="1441"/>
      <c r="S69" s="1441"/>
      <c r="T69" s="1441"/>
      <c r="U69" s="1441"/>
      <c r="V69" s="1441"/>
      <c r="W69" s="1441"/>
      <c r="X69" s="1441"/>
      <c r="Y69" s="1441"/>
      <c r="Z69" s="1441"/>
      <c r="AA69" s="1441"/>
      <c r="AB69" s="1441"/>
      <c r="AC69" s="1441"/>
      <c r="AD69" s="1441"/>
      <c r="AE69" s="1441"/>
      <c r="AF69" s="1441"/>
      <c r="AG69" s="1441"/>
      <c r="AH69" s="1441"/>
      <c r="AI69" s="1441"/>
      <c r="AJ69" s="1442"/>
      <c r="AK69" s="434"/>
      <c r="AN69" s="491"/>
      <c r="AO69" s="383"/>
      <c r="AQ69" s="448"/>
      <c r="AS69" s="448"/>
      <c r="AT69" s="393">
        <f t="shared" si="43"/>
        <v>62</v>
      </c>
      <c r="AU69" s="823" t="str">
        <f>AT69&amp;" "&amp;IF(AW69&lt;&gt;"-",【様式2】職員名簿!B100&amp;"/"&amp;AV69&amp;"/"&amp;AW69,"")</f>
        <v xml:space="preserve">62 </v>
      </c>
      <c r="AV69" s="823">
        <f>【様式2】職員名簿!E100</f>
        <v>0</v>
      </c>
      <c r="AW69" s="823" t="str">
        <f>IF(【様式2】職員名簿!J100="エラー","-",【様式2】職員名簿!J100)</f>
        <v>-</v>
      </c>
      <c r="AX69" s="394">
        <f>IF($AV69="常勤",$AM$2,IF($AV69="非常勤",【様式2】職員名簿!G100,0))</f>
        <v>0</v>
      </c>
      <c r="AY69" s="428">
        <f>IF($AW69=AY$3,COUNTIF($AW$8:$AW69,AY$3),0)</f>
        <v>0</v>
      </c>
      <c r="AZ69" s="429" t="str">
        <f t="shared" si="44"/>
        <v/>
      </c>
      <c r="BA69" s="430">
        <f>IF($AW69=BA$3,COUNTIF($AW$8:$AW69,BA$3),0)</f>
        <v>0</v>
      </c>
      <c r="BB69" s="429" t="str">
        <f t="shared" si="45"/>
        <v/>
      </c>
      <c r="BC69" s="431">
        <f>IF($AW69=BC$3,COUNTIF($AW$8:$AW69,BC$3),0)</f>
        <v>0</v>
      </c>
      <c r="BD69" s="429" t="str">
        <f t="shared" si="46"/>
        <v/>
      </c>
      <c r="BE69" s="393">
        <f>IF(OR($AW69=BE$3,$AW69=BE$4),COUNTIF($AW$8:$AW69,BE$3)+COUNTIF($AW$8:$AW69,BE$4),0)</f>
        <v>0</v>
      </c>
      <c r="BF69" s="429" t="str">
        <f t="shared" si="47"/>
        <v/>
      </c>
      <c r="BG69" s="393">
        <f>IF($AW69=BG$3,COUNTIF($AW$8:$AW69,BG$3),0)</f>
        <v>0</v>
      </c>
      <c r="BH69" s="429" t="str">
        <f t="shared" si="48"/>
        <v/>
      </c>
      <c r="BI69" s="393">
        <f>IF($AW69&lt;&gt;BI$3,COUNTIF($AW$8:$AW69,"&lt;&gt;"&amp;BI$3),0)</f>
        <v>0</v>
      </c>
      <c r="BJ69" s="429" t="str">
        <f t="shared" si="49"/>
        <v/>
      </c>
      <c r="BK69" s="433"/>
      <c r="BL69" s="433"/>
    </row>
    <row r="70" spans="1:64" ht="15" hidden="1" customHeight="1" outlineLevel="1" thickBot="1">
      <c r="A70" s="1521"/>
      <c r="B70" s="1524"/>
      <c r="C70" s="1528"/>
      <c r="D70" s="1528"/>
      <c r="E70" s="500" t="s">
        <v>577</v>
      </c>
      <c r="F70" s="501" t="s">
        <v>578</v>
      </c>
      <c r="G70" s="501" t="s">
        <v>615</v>
      </c>
      <c r="H70" s="1479"/>
      <c r="I70" s="1526"/>
      <c r="J70" s="499"/>
      <c r="K70" s="168"/>
      <c r="L70" s="168"/>
      <c r="M70" s="168"/>
      <c r="N70" s="168"/>
      <c r="O70" s="168"/>
      <c r="P70" s="402"/>
      <c r="Q70" s="502" t="s">
        <v>579</v>
      </c>
      <c r="R70" s="503"/>
      <c r="S70" s="503"/>
      <c r="T70" s="503"/>
      <c r="U70" s="504"/>
      <c r="V70" s="504"/>
      <c r="W70" s="504"/>
      <c r="X70" s="504"/>
      <c r="Y70" s="504"/>
      <c r="Z70" s="504"/>
      <c r="AA70" s="504"/>
      <c r="AB70" s="504"/>
      <c r="AC70" s="504"/>
      <c r="AD70" s="504"/>
      <c r="AE70" s="504"/>
      <c r="AF70" s="503"/>
      <c r="AG70" s="503"/>
      <c r="AH70" s="503"/>
      <c r="AI70" s="503"/>
      <c r="AJ70" s="505"/>
      <c r="AK70" s="383"/>
      <c r="AO70" s="383"/>
      <c r="AP70" s="383"/>
      <c r="AQ70" s="448"/>
      <c r="AR70" s="448"/>
      <c r="AS70" s="448"/>
      <c r="AT70" s="393">
        <f t="shared" si="43"/>
        <v>63</v>
      </c>
      <c r="AU70" s="823" t="str">
        <f>AT70&amp;" "&amp;IF(AW70&lt;&gt;"-",【様式2】職員名簿!B101&amp;"/"&amp;AV70&amp;"/"&amp;AW70,"")</f>
        <v xml:space="preserve">63 </v>
      </c>
      <c r="AV70" s="823">
        <f>【様式2】職員名簿!E101</f>
        <v>0</v>
      </c>
      <c r="AW70" s="823" t="str">
        <f>IF(【様式2】職員名簿!J101="エラー","-",【様式2】職員名簿!J101)</f>
        <v>-</v>
      </c>
      <c r="AX70" s="394">
        <f>IF($AV70="常勤",$AM$2,IF($AV70="非常勤",【様式2】職員名簿!G101,0))</f>
        <v>0</v>
      </c>
      <c r="AY70" s="428">
        <f>IF($AW70=AY$3,COUNTIF($AW$8:$AW70,AY$3),0)</f>
        <v>0</v>
      </c>
      <c r="AZ70" s="429" t="str">
        <f t="shared" si="44"/>
        <v/>
      </c>
      <c r="BA70" s="430">
        <f>IF($AW70=BA$3,COUNTIF($AW$8:$AW70,BA$3),0)</f>
        <v>0</v>
      </c>
      <c r="BB70" s="429" t="str">
        <f t="shared" si="45"/>
        <v/>
      </c>
      <c r="BC70" s="431">
        <f>IF($AW70=BC$3,COUNTIF($AW$8:$AW70,BC$3),0)</f>
        <v>0</v>
      </c>
      <c r="BD70" s="429" t="str">
        <f t="shared" si="46"/>
        <v/>
      </c>
      <c r="BE70" s="393">
        <f>IF(OR($AW70=BE$3,$AW70=BE$4),COUNTIF($AW$8:$AW70,BE$3)+COUNTIF($AW$8:$AW70,BE$4),0)</f>
        <v>0</v>
      </c>
      <c r="BF70" s="429" t="str">
        <f t="shared" si="47"/>
        <v/>
      </c>
      <c r="BG70" s="393">
        <f>IF($AW70=BG$3,COUNTIF($AW$8:$AW70,BG$3),0)</f>
        <v>0</v>
      </c>
      <c r="BH70" s="429" t="str">
        <f t="shared" si="48"/>
        <v/>
      </c>
      <c r="BI70" s="393">
        <f>IF($AW70&lt;&gt;BI$3,COUNTIF($AW$8:$AW70,"&lt;&gt;"&amp;BI$3),0)</f>
        <v>0</v>
      </c>
      <c r="BJ70" s="429" t="str">
        <f t="shared" si="49"/>
        <v/>
      </c>
      <c r="BK70" s="433"/>
      <c r="BL70" s="433"/>
    </row>
    <row r="71" spans="1:64" ht="15" hidden="1" customHeight="1" outlineLevel="1" thickBot="1">
      <c r="A71" s="506" t="str">
        <f t="shared" ref="A71:A74" si="70">AS2</f>
        <v>家庭的保育者</v>
      </c>
      <c r="B71" s="507">
        <f>【様式2】職員名簿!J11</f>
        <v>0</v>
      </c>
      <c r="C71" s="515">
        <f t="shared" ref="C71:C76" si="71">SUMIF($AF$32:$AF$38,$A71,$AG$32:$AG$38)</f>
        <v>0</v>
      </c>
      <c r="D71" s="516">
        <f t="shared" ref="D71:D76" si="72">SUMIF($AF$42:$AF$64,$A71,$AG$42:$AG$64)</f>
        <v>0</v>
      </c>
      <c r="E71" s="807"/>
      <c r="F71" s="808"/>
      <c r="G71" s="637">
        <f>N18</f>
        <v>0</v>
      </c>
      <c r="H71" s="824"/>
      <c r="I71" s="508">
        <f>B71-SUM($C71:$H71)</f>
        <v>0</v>
      </c>
      <c r="J71" s="509"/>
      <c r="K71" s="168"/>
      <c r="L71" s="168"/>
      <c r="M71" s="168"/>
      <c r="N71" s="168"/>
      <c r="O71" s="168"/>
      <c r="P71" s="402"/>
      <c r="Q71" s="510" t="s">
        <v>580</v>
      </c>
      <c r="R71" s="439"/>
      <c r="S71" s="439"/>
      <c r="T71" s="439"/>
      <c r="U71" s="439"/>
      <c r="V71" s="439"/>
      <c r="W71" s="439"/>
      <c r="X71" s="439"/>
      <c r="Y71" s="511"/>
      <c r="Z71" s="511"/>
      <c r="AA71" s="511"/>
      <c r="AB71" s="511"/>
      <c r="AC71" s="511"/>
      <c r="AD71" s="439"/>
      <c r="AE71" s="439"/>
      <c r="AF71" s="511"/>
      <c r="AG71" s="511"/>
      <c r="AH71" s="511"/>
      <c r="AI71" s="511"/>
      <c r="AJ71" s="512"/>
      <c r="AK71" s="383"/>
      <c r="AO71" s="383"/>
      <c r="AP71" s="383"/>
      <c r="AQ71" s="448"/>
      <c r="AR71" s="448"/>
      <c r="AS71" s="448"/>
      <c r="AT71" s="393">
        <f t="shared" si="43"/>
        <v>64</v>
      </c>
      <c r="AU71" s="823" t="str">
        <f>AT71&amp;" "&amp;IF(AW71&lt;&gt;"-",【様式2】職員名簿!B102&amp;"/"&amp;AV71&amp;"/"&amp;AW71,"")</f>
        <v xml:space="preserve">64 </v>
      </c>
      <c r="AV71" s="823">
        <f>【様式2】職員名簿!E102</f>
        <v>0</v>
      </c>
      <c r="AW71" s="823" t="str">
        <f>IF(【様式2】職員名簿!J102="エラー","-",【様式2】職員名簿!J102)</f>
        <v>-</v>
      </c>
      <c r="AX71" s="394">
        <f>IF($AV71="常勤",$AM$2,IF($AV71="非常勤",【様式2】職員名簿!G102,0))</f>
        <v>0</v>
      </c>
      <c r="AY71" s="428">
        <f>IF($AW71=AY$3,COUNTIF($AW$8:$AW71,AY$3),0)</f>
        <v>0</v>
      </c>
      <c r="AZ71" s="429" t="str">
        <f t="shared" si="44"/>
        <v/>
      </c>
      <c r="BA71" s="430">
        <f>IF($AW71=BA$3,COUNTIF($AW$8:$AW71,BA$3),0)</f>
        <v>0</v>
      </c>
      <c r="BB71" s="429" t="str">
        <f t="shared" si="45"/>
        <v/>
      </c>
      <c r="BC71" s="431">
        <f>IF($AW71=BC$3,COUNTIF($AW$8:$AW71,BC$3),0)</f>
        <v>0</v>
      </c>
      <c r="BD71" s="429" t="str">
        <f t="shared" si="46"/>
        <v/>
      </c>
      <c r="BE71" s="393">
        <f>IF(OR($AW71=BE$3,$AW71=BE$4),COUNTIF($AW$8:$AW71,BE$3)+COUNTIF($AW$8:$AW71,BE$4),0)</f>
        <v>0</v>
      </c>
      <c r="BF71" s="429" t="str">
        <f t="shared" si="47"/>
        <v/>
      </c>
      <c r="BG71" s="393">
        <f>IF($AW71=BG$3,COUNTIF($AW$8:$AW71,BG$3),0)</f>
        <v>0</v>
      </c>
      <c r="BH71" s="429" t="str">
        <f t="shared" si="48"/>
        <v/>
      </c>
      <c r="BI71" s="393">
        <f>IF($AW71&lt;&gt;BI$3,COUNTIF($AW$8:$AW71,"&lt;&gt;"&amp;BI$3),0)</f>
        <v>0</v>
      </c>
      <c r="BJ71" s="429" t="str">
        <f t="shared" si="49"/>
        <v/>
      </c>
      <c r="BK71" s="433"/>
      <c r="BL71" s="433"/>
    </row>
    <row r="72" spans="1:64" ht="15" hidden="1" customHeight="1" outlineLevel="1">
      <c r="A72" s="513" t="str">
        <f t="shared" si="70"/>
        <v>家庭的保育補助者</v>
      </c>
      <c r="B72" s="514">
        <f>【様式2】職員名簿!J12</f>
        <v>0</v>
      </c>
      <c r="C72" s="515">
        <f t="shared" si="71"/>
        <v>0</v>
      </c>
      <c r="D72" s="516">
        <f t="shared" si="72"/>
        <v>0</v>
      </c>
      <c r="E72" s="809"/>
      <c r="F72" s="810"/>
      <c r="G72" s="644"/>
      <c r="H72" s="644"/>
      <c r="I72" s="524">
        <f>SUM(B72,G71:G76)-SUM($C72:$G72)</f>
        <v>0</v>
      </c>
      <c r="J72" s="509"/>
      <c r="K72" s="168"/>
      <c r="L72" s="168"/>
      <c r="M72" s="168"/>
      <c r="N72" s="168"/>
      <c r="O72" s="168"/>
      <c r="P72" s="402"/>
      <c r="Q72" s="1443" t="s">
        <v>540</v>
      </c>
      <c r="R72" s="1444"/>
      <c r="S72" s="517"/>
      <c r="T72" s="1447" t="s">
        <v>541</v>
      </c>
      <c r="U72" s="1450"/>
      <c r="V72" s="1443" t="s">
        <v>543</v>
      </c>
      <c r="W72" s="1453"/>
      <c r="X72" s="1453"/>
      <c r="Y72" s="1453"/>
      <c r="Z72" s="1453"/>
      <c r="AA72" s="1453"/>
      <c r="AB72" s="1453"/>
      <c r="AC72" s="1453"/>
      <c r="AD72" s="1453"/>
      <c r="AE72" s="1444"/>
      <c r="AF72" s="1443" t="s">
        <v>544</v>
      </c>
      <c r="AG72" s="1444"/>
      <c r="AH72" s="1594" t="s">
        <v>545</v>
      </c>
      <c r="AI72" s="1595"/>
      <c r="AJ72" s="1596"/>
      <c r="AK72" s="383"/>
      <c r="AO72" s="383"/>
      <c r="AQ72" s="448"/>
      <c r="AR72" s="448"/>
      <c r="AS72" s="448"/>
      <c r="AT72" s="393">
        <f t="shared" ref="AT72:AT107" si="73">ROW()-ROW($AT$7)</f>
        <v>65</v>
      </c>
      <c r="AU72" s="823" t="str">
        <f>AT72&amp;" "&amp;IF(AW72&lt;&gt;"-",【様式2】職員名簿!B103&amp;"/"&amp;AV72&amp;"/"&amp;AW72,"")</f>
        <v xml:space="preserve">65 </v>
      </c>
      <c r="AV72" s="823">
        <f>【様式2】職員名簿!E103</f>
        <v>0</v>
      </c>
      <c r="AW72" s="823" t="str">
        <f>IF(【様式2】職員名簿!J103="エラー","-",【様式2】職員名簿!J103)</f>
        <v>-</v>
      </c>
      <c r="AX72" s="394">
        <f>IF($AV72="常勤",$AM$2,IF($AV72="非常勤",【様式2】職員名簿!G103,0))</f>
        <v>0</v>
      </c>
      <c r="AY72" s="428">
        <f>IF($AW72=AY$3,COUNTIF($AW$8:$AW72,AY$3),0)</f>
        <v>0</v>
      </c>
      <c r="AZ72" s="429" t="str">
        <f t="shared" ref="AZ72:AZ103" si="74">IFERROR(INDEX($AU$8:$AU$107,MATCH($AT72,AY$8:AY$107,0),1),"")</f>
        <v/>
      </c>
      <c r="BA72" s="430">
        <f>IF($AW72=BA$3,COUNTIF($AW$8:$AW72,BA$3),0)</f>
        <v>0</v>
      </c>
      <c r="BB72" s="429" t="str">
        <f t="shared" ref="BB72:BB103" si="75">IFERROR(INDEX($AU$8:$AU$107,MATCH($AT72,BA$8:BA$107,0),1),"")</f>
        <v/>
      </c>
      <c r="BC72" s="431">
        <f>IF($AW72=BC$3,COUNTIF($AW$8:$AW72,BC$3),0)</f>
        <v>0</v>
      </c>
      <c r="BD72" s="429" t="str">
        <f t="shared" ref="BD72:BD103" si="76">IFERROR(INDEX($AU$8:$AU$107,MATCH($AT72,BC$8:BC$107,0),1),"")</f>
        <v/>
      </c>
      <c r="BE72" s="393">
        <f>IF(OR($AW72=BE$3,$AW72=BE$4),COUNTIF($AW$8:$AW72,BE$3)+COUNTIF($AW$8:$AW72,BE$4),0)</f>
        <v>0</v>
      </c>
      <c r="BF72" s="429" t="str">
        <f t="shared" ref="BF72:BF103" si="77">IFERROR(INDEX($AU$8:$AU$107,MATCH($AT72,BE$8:BE$107,0),1),"")</f>
        <v/>
      </c>
      <c r="BG72" s="393">
        <f>IF($AW72=BG$3,COUNTIF($AW$8:$AW72,BG$3),0)</f>
        <v>0</v>
      </c>
      <c r="BH72" s="429" t="str">
        <f t="shared" ref="BH72:BH103" si="78">IFERROR(INDEX($AU$8:$AU$107,MATCH($AT72,BG$8:BG$107,0),1),"")</f>
        <v/>
      </c>
      <c r="BI72" s="393">
        <f>IF($AW72&lt;&gt;BI$3,COUNTIF($AW$8:$AW72,"&lt;&gt;"&amp;BI$3),0)</f>
        <v>0</v>
      </c>
      <c r="BJ72" s="429" t="str">
        <f t="shared" ref="BJ72:BJ103" si="79">IFERROR(INDEX($AU$8:$AU$107,MATCH($AT72,BI$8:BI$107,0),1),"")</f>
        <v/>
      </c>
      <c r="BK72" s="433"/>
      <c r="BL72" s="433"/>
    </row>
    <row r="73" spans="1:64" ht="15" hidden="1" customHeight="1" outlineLevel="1" thickBot="1">
      <c r="A73" s="518" t="str">
        <f t="shared" si="70"/>
        <v>栄養士</v>
      </c>
      <c r="B73" s="519">
        <f>【様式2】職員名簿!J13</f>
        <v>0</v>
      </c>
      <c r="C73" s="520">
        <f t="shared" si="71"/>
        <v>0</v>
      </c>
      <c r="D73" s="521">
        <f t="shared" si="72"/>
        <v>0</v>
      </c>
      <c r="E73" s="811"/>
      <c r="F73" s="812"/>
      <c r="G73" s="527"/>
      <c r="H73" s="527"/>
      <c r="I73" s="831">
        <f>B73-SUM($C73:$H73)</f>
        <v>0</v>
      </c>
      <c r="J73" s="509"/>
      <c r="K73" s="168"/>
      <c r="L73" s="168"/>
      <c r="M73" s="168"/>
      <c r="N73" s="168"/>
      <c r="O73" s="168"/>
      <c r="P73" s="402"/>
      <c r="Q73" s="1445"/>
      <c r="R73" s="1446"/>
      <c r="S73" s="522"/>
      <c r="T73" s="1448"/>
      <c r="U73" s="1451"/>
      <c r="V73" s="1597" t="s">
        <v>549</v>
      </c>
      <c r="W73" s="1599" t="s">
        <v>551</v>
      </c>
      <c r="X73" s="1601" t="s">
        <v>552</v>
      </c>
      <c r="Y73" s="1603" t="s">
        <v>553</v>
      </c>
      <c r="Z73" s="1603"/>
      <c r="AA73" s="1603"/>
      <c r="AB73" s="1603"/>
      <c r="AC73" s="1604"/>
      <c r="AD73" s="1599" t="s">
        <v>131</v>
      </c>
      <c r="AE73" s="1446" t="s">
        <v>8</v>
      </c>
      <c r="AF73" s="1445"/>
      <c r="AG73" s="1446"/>
      <c r="AH73" s="1607" t="s">
        <v>549</v>
      </c>
      <c r="AI73" s="1609" t="s">
        <v>56</v>
      </c>
      <c r="AJ73" s="1611"/>
      <c r="AK73" s="383"/>
      <c r="AO73" s="383"/>
      <c r="AQ73" s="448"/>
      <c r="AR73" s="448"/>
      <c r="AS73" s="448"/>
      <c r="AT73" s="393">
        <f t="shared" si="73"/>
        <v>66</v>
      </c>
      <c r="AU73" s="823" t="str">
        <f>AT73&amp;" "&amp;IF(AW73&lt;&gt;"-",【様式2】職員名簿!B104&amp;"/"&amp;AV73&amp;"/"&amp;AW73,"")</f>
        <v xml:space="preserve">66 </v>
      </c>
      <c r="AV73" s="823">
        <f>【様式2】職員名簿!E104</f>
        <v>0</v>
      </c>
      <c r="AW73" s="823" t="str">
        <f>IF(【様式2】職員名簿!J104="エラー","-",【様式2】職員名簿!J104)</f>
        <v>-</v>
      </c>
      <c r="AX73" s="394">
        <f>IF($AV73="常勤",$AM$2,IF($AV73="非常勤",【様式2】職員名簿!G104,0))</f>
        <v>0</v>
      </c>
      <c r="AY73" s="428">
        <f>IF($AW73=AY$3,COUNTIF($AW$8:$AW73,AY$3),0)</f>
        <v>0</v>
      </c>
      <c r="AZ73" s="429" t="str">
        <f t="shared" si="74"/>
        <v/>
      </c>
      <c r="BA73" s="430">
        <f>IF($AW73=BA$3,COUNTIF($AW$8:$AW73,BA$3),0)</f>
        <v>0</v>
      </c>
      <c r="BB73" s="429" t="str">
        <f t="shared" si="75"/>
        <v/>
      </c>
      <c r="BC73" s="431">
        <f>IF($AW73=BC$3,COUNTIF($AW$8:$AW73,BC$3),0)</f>
        <v>0</v>
      </c>
      <c r="BD73" s="429" t="str">
        <f t="shared" si="76"/>
        <v/>
      </c>
      <c r="BE73" s="393">
        <f>IF(OR($AW73=BE$3,$AW73=BE$4),COUNTIF($AW$8:$AW73,BE$3)+COUNTIF($AW$8:$AW73,BE$4),0)</f>
        <v>0</v>
      </c>
      <c r="BF73" s="429" t="str">
        <f t="shared" si="77"/>
        <v/>
      </c>
      <c r="BG73" s="393">
        <f>IF($AW73=BG$3,COUNTIF($AW$8:$AW73,BG$3),0)</f>
        <v>0</v>
      </c>
      <c r="BH73" s="429" t="str">
        <f t="shared" si="78"/>
        <v/>
      </c>
      <c r="BI73" s="393">
        <f>IF($AW73&lt;&gt;BI$3,COUNTIF($AW$8:$AW73,"&lt;&gt;"&amp;BI$3),0)</f>
        <v>0</v>
      </c>
      <c r="BJ73" s="429" t="str">
        <f t="shared" si="79"/>
        <v/>
      </c>
      <c r="BK73" s="433"/>
      <c r="BL73" s="433"/>
    </row>
    <row r="74" spans="1:64" ht="15" hidden="1" customHeight="1" outlineLevel="1" thickBot="1">
      <c r="A74" s="518" t="str">
        <f t="shared" si="70"/>
        <v>調理員</v>
      </c>
      <c r="B74" s="519">
        <f>【様式2】職員名簿!J14</f>
        <v>0</v>
      </c>
      <c r="C74" s="520">
        <f t="shared" si="71"/>
        <v>0</v>
      </c>
      <c r="D74" s="521">
        <f t="shared" si="72"/>
        <v>0</v>
      </c>
      <c r="E74" s="523"/>
      <c r="F74" s="812"/>
      <c r="G74" s="527"/>
      <c r="H74" s="527"/>
      <c r="I74" s="524">
        <f>SUM(B74,E71:E76)-SUM($C74:$G74)</f>
        <v>0</v>
      </c>
      <c r="J74" s="509"/>
      <c r="K74" s="168"/>
      <c r="L74" s="168"/>
      <c r="M74" s="168"/>
      <c r="N74" s="168"/>
      <c r="O74" s="168"/>
      <c r="P74" s="402"/>
      <c r="Q74" s="525" t="s">
        <v>193</v>
      </c>
      <c r="R74" s="772" t="s">
        <v>556</v>
      </c>
      <c r="S74" s="526"/>
      <c r="T74" s="1449"/>
      <c r="U74" s="1452"/>
      <c r="V74" s="1598"/>
      <c r="W74" s="1600"/>
      <c r="X74" s="1602"/>
      <c r="Y74" s="771" t="s">
        <v>56</v>
      </c>
      <c r="Z74" s="1613" t="s">
        <v>581</v>
      </c>
      <c r="AA74" s="1613"/>
      <c r="AB74" s="1614"/>
      <c r="AC74" s="1615" t="s">
        <v>582</v>
      </c>
      <c r="AD74" s="1605"/>
      <c r="AE74" s="1606"/>
      <c r="AF74" s="525" t="s">
        <v>61</v>
      </c>
      <c r="AG74" s="772" t="s">
        <v>560</v>
      </c>
      <c r="AH74" s="1608"/>
      <c r="AI74" s="1610"/>
      <c r="AJ74" s="1612"/>
      <c r="AK74" s="383"/>
      <c r="AQ74" s="448"/>
      <c r="AR74" s="448"/>
      <c r="AS74" s="448"/>
      <c r="AT74" s="393">
        <f t="shared" si="73"/>
        <v>67</v>
      </c>
      <c r="AU74" s="823" t="str">
        <f>AT74&amp;" "&amp;IF(AW74&lt;&gt;"-",【様式2】職員名簿!B105&amp;"/"&amp;AV74&amp;"/"&amp;AW74,"")</f>
        <v xml:space="preserve">67 </v>
      </c>
      <c r="AV74" s="823">
        <f>【様式2】職員名簿!E105</f>
        <v>0</v>
      </c>
      <c r="AW74" s="823" t="str">
        <f>IF(【様式2】職員名簿!J105="エラー","-",【様式2】職員名簿!J105)</f>
        <v>-</v>
      </c>
      <c r="AX74" s="394">
        <f>IF($AV74="常勤",$AM$2,IF($AV74="非常勤",【様式2】職員名簿!G105,0))</f>
        <v>0</v>
      </c>
      <c r="AY74" s="428">
        <f>IF($AW74=AY$3,COUNTIF($AW$8:$AW74,AY$3),0)</f>
        <v>0</v>
      </c>
      <c r="AZ74" s="429" t="str">
        <f t="shared" si="74"/>
        <v/>
      </c>
      <c r="BA74" s="430">
        <f>IF($AW74=BA$3,COUNTIF($AW$8:$AW74,BA$3),0)</f>
        <v>0</v>
      </c>
      <c r="BB74" s="429" t="str">
        <f t="shared" si="75"/>
        <v/>
      </c>
      <c r="BC74" s="431">
        <f>IF($AW74=BC$3,COUNTIF($AW$8:$AW74,BC$3),0)</f>
        <v>0</v>
      </c>
      <c r="BD74" s="429" t="str">
        <f t="shared" si="76"/>
        <v/>
      </c>
      <c r="BE74" s="393">
        <f>IF(OR($AW74=BE$3,$AW74=BE$4),COUNTIF($AW$8:$AW74,BE$3)+COUNTIF($AW$8:$AW74,BE$4),0)</f>
        <v>0</v>
      </c>
      <c r="BF74" s="429" t="str">
        <f t="shared" si="77"/>
        <v/>
      </c>
      <c r="BG74" s="393">
        <f>IF($AW74=BG$3,COUNTIF($AW$8:$AW74,BG$3),0)</f>
        <v>0</v>
      </c>
      <c r="BH74" s="429" t="str">
        <f t="shared" si="78"/>
        <v/>
      </c>
      <c r="BI74" s="393">
        <f>IF($AW74&lt;&gt;BI$3,COUNTIF($AW$8:$AW74,"&lt;&gt;"&amp;BI$3),0)</f>
        <v>0</v>
      </c>
      <c r="BJ74" s="429" t="str">
        <f t="shared" si="79"/>
        <v/>
      </c>
      <c r="BK74" s="433"/>
      <c r="BL74" s="433"/>
    </row>
    <row r="75" spans="1:64" ht="15" hidden="1" customHeight="1" outlineLevel="1">
      <c r="A75" s="518" t="str">
        <f>AS6</f>
        <v>事務員</v>
      </c>
      <c r="B75" s="519">
        <f>【様式2】職員名簿!J15</f>
        <v>0</v>
      </c>
      <c r="C75" s="520">
        <f t="shared" si="71"/>
        <v>0</v>
      </c>
      <c r="D75" s="521">
        <f t="shared" si="72"/>
        <v>0</v>
      </c>
      <c r="E75" s="811"/>
      <c r="F75" s="527"/>
      <c r="G75" s="527"/>
      <c r="H75" s="825">
        <f>SUM(M33)</f>
        <v>0</v>
      </c>
      <c r="I75" s="524">
        <f>SUM(B75,F71:F76,H75)-SUM($C75:$G75)</f>
        <v>0</v>
      </c>
      <c r="J75" s="509"/>
      <c r="K75" s="168"/>
      <c r="L75" s="168"/>
      <c r="M75" s="168"/>
      <c r="N75" s="168"/>
      <c r="O75" s="168"/>
      <c r="P75" s="402"/>
      <c r="Q75" s="1585" t="s">
        <v>583</v>
      </c>
      <c r="R75" s="1588" t="s">
        <v>584</v>
      </c>
      <c r="S75" s="528"/>
      <c r="T75" s="1591" t="s">
        <v>585</v>
      </c>
      <c r="U75" s="1622"/>
      <c r="V75" s="529">
        <v>1</v>
      </c>
      <c r="W75" s="530" t="s">
        <v>586</v>
      </c>
      <c r="X75" s="530" t="s">
        <v>35</v>
      </c>
      <c r="Y75" s="530" t="s">
        <v>586</v>
      </c>
      <c r="Z75" s="1625" t="s">
        <v>587</v>
      </c>
      <c r="AA75" s="1626"/>
      <c r="AB75" s="1626"/>
      <c r="AC75" s="1616"/>
      <c r="AD75" s="529" t="s">
        <v>586</v>
      </c>
      <c r="AE75" s="531" t="s">
        <v>35</v>
      </c>
      <c r="AF75" s="1631" t="s">
        <v>588</v>
      </c>
      <c r="AG75" s="1632"/>
      <c r="AH75" s="532">
        <v>1</v>
      </c>
      <c r="AI75" s="1618" t="s">
        <v>589</v>
      </c>
      <c r="AJ75" s="1619"/>
      <c r="AK75" s="383"/>
      <c r="AM75" s="383"/>
      <c r="AQ75" s="448"/>
      <c r="AR75" s="448"/>
      <c r="AS75" s="448"/>
      <c r="AT75" s="393">
        <f t="shared" si="73"/>
        <v>68</v>
      </c>
      <c r="AU75" s="823" t="str">
        <f>AT75&amp;" "&amp;IF(AW75&lt;&gt;"-",【様式2】職員名簿!B106&amp;"/"&amp;AV75&amp;"/"&amp;AW75,"")</f>
        <v xml:space="preserve">68 </v>
      </c>
      <c r="AV75" s="823">
        <f>【様式2】職員名簿!E106</f>
        <v>0</v>
      </c>
      <c r="AW75" s="823" t="str">
        <f>IF(【様式2】職員名簿!J106="エラー","-",【様式2】職員名簿!J106)</f>
        <v>-</v>
      </c>
      <c r="AX75" s="394">
        <f>IF($AV75="常勤",$AM$2,IF($AV75="非常勤",【様式2】職員名簿!G106,0))</f>
        <v>0</v>
      </c>
      <c r="AY75" s="428">
        <f>IF($AW75=AY$3,COUNTIF($AW$8:$AW75,AY$3),0)</f>
        <v>0</v>
      </c>
      <c r="AZ75" s="429" t="str">
        <f t="shared" si="74"/>
        <v/>
      </c>
      <c r="BA75" s="430">
        <f>IF($AW75=BA$3,COUNTIF($AW$8:$AW75,BA$3),0)</f>
        <v>0</v>
      </c>
      <c r="BB75" s="429" t="str">
        <f t="shared" si="75"/>
        <v/>
      </c>
      <c r="BC75" s="431">
        <f>IF($AW75=BC$3,COUNTIF($AW$8:$AW75,BC$3),0)</f>
        <v>0</v>
      </c>
      <c r="BD75" s="429" t="str">
        <f t="shared" si="76"/>
        <v/>
      </c>
      <c r="BE75" s="393">
        <f>IF(OR($AW75=BE$3,$AW75=BE$4),COUNTIF($AW$8:$AW75,BE$3)+COUNTIF($AW$8:$AW75,BE$4),0)</f>
        <v>0</v>
      </c>
      <c r="BF75" s="429" t="str">
        <f t="shared" si="77"/>
        <v/>
      </c>
      <c r="BG75" s="393">
        <f>IF($AW75=BG$3,COUNTIF($AW$8:$AW75,BG$3),0)</f>
        <v>0</v>
      </c>
      <c r="BH75" s="429" t="str">
        <f t="shared" si="78"/>
        <v/>
      </c>
      <c r="BI75" s="393">
        <f>IF($AW75&lt;&gt;BI$3,COUNTIF($AW$8:$AW75,"&lt;&gt;"&amp;BI$3),0)</f>
        <v>0</v>
      </c>
      <c r="BJ75" s="429" t="str">
        <f t="shared" si="79"/>
        <v/>
      </c>
      <c r="BK75" s="433"/>
      <c r="BL75" s="433"/>
    </row>
    <row r="76" spans="1:64" ht="15" hidden="1" customHeight="1" outlineLevel="1">
      <c r="A76" s="533" t="str">
        <f>AS7</f>
        <v>その他</v>
      </c>
      <c r="B76" s="534">
        <f>【様式2】職員名簿!J16</f>
        <v>0</v>
      </c>
      <c r="C76" s="535">
        <f t="shared" si="71"/>
        <v>0</v>
      </c>
      <c r="D76" s="536">
        <f t="shared" si="72"/>
        <v>0</v>
      </c>
      <c r="E76" s="813"/>
      <c r="F76" s="814"/>
      <c r="G76" s="645"/>
      <c r="H76" s="645"/>
      <c r="I76" s="537">
        <f>B76-SUM($C76:$H76)</f>
        <v>0</v>
      </c>
      <c r="J76" s="509"/>
      <c r="K76" s="168"/>
      <c r="L76" s="168"/>
      <c r="M76" s="168"/>
      <c r="N76" s="168"/>
      <c r="O76" s="168"/>
      <c r="P76" s="402"/>
      <c r="Q76" s="1586"/>
      <c r="R76" s="1589"/>
      <c r="S76" s="538"/>
      <c r="T76" s="1592"/>
      <c r="U76" s="1623"/>
      <c r="V76" s="539">
        <v>2</v>
      </c>
      <c r="W76" s="159" t="s">
        <v>35</v>
      </c>
      <c r="X76" s="159" t="s">
        <v>35</v>
      </c>
      <c r="Y76" s="159" t="s">
        <v>35</v>
      </c>
      <c r="Z76" s="1627"/>
      <c r="AA76" s="1628"/>
      <c r="AB76" s="1628"/>
      <c r="AC76" s="1616"/>
      <c r="AD76" s="160" t="s">
        <v>35</v>
      </c>
      <c r="AE76" s="540"/>
      <c r="AF76" s="1633"/>
      <c r="AG76" s="1634"/>
      <c r="AH76" s="541">
        <v>2</v>
      </c>
      <c r="AI76" s="1618" t="s">
        <v>590</v>
      </c>
      <c r="AJ76" s="1619"/>
      <c r="AK76" s="383"/>
      <c r="AQ76" s="448"/>
      <c r="AR76" s="448"/>
      <c r="AS76" s="448"/>
      <c r="AT76" s="393">
        <f t="shared" si="73"/>
        <v>69</v>
      </c>
      <c r="AU76" s="823" t="str">
        <f>AT76&amp;" "&amp;IF(AW76&lt;&gt;"-",【様式2】職員名簿!B107&amp;"/"&amp;AV76&amp;"/"&amp;AW76,"")</f>
        <v xml:space="preserve">69 </v>
      </c>
      <c r="AV76" s="823">
        <f>【様式2】職員名簿!E107</f>
        <v>0</v>
      </c>
      <c r="AW76" s="823" t="str">
        <f>IF(【様式2】職員名簿!J107="エラー","-",【様式2】職員名簿!J107)</f>
        <v>-</v>
      </c>
      <c r="AX76" s="394">
        <f>IF($AV76="常勤",$AM$2,IF($AV76="非常勤",【様式2】職員名簿!G107,0))</f>
        <v>0</v>
      </c>
      <c r="AY76" s="428">
        <f>IF($AW76=AY$3,COUNTIF($AW$8:$AW76,AY$3),0)</f>
        <v>0</v>
      </c>
      <c r="AZ76" s="429" t="str">
        <f t="shared" si="74"/>
        <v/>
      </c>
      <c r="BA76" s="430">
        <f>IF($AW76=BA$3,COUNTIF($AW$8:$AW76,BA$3),0)</f>
        <v>0</v>
      </c>
      <c r="BB76" s="429" t="str">
        <f t="shared" si="75"/>
        <v/>
      </c>
      <c r="BC76" s="431">
        <f>IF($AW76=BC$3,COUNTIF($AW$8:$AW76,BC$3),0)</f>
        <v>0</v>
      </c>
      <c r="BD76" s="429" t="str">
        <f t="shared" si="76"/>
        <v/>
      </c>
      <c r="BE76" s="393">
        <f>IF(OR($AW76=BE$3,$AW76=BE$4),COUNTIF($AW$8:$AW76,BE$3)+COUNTIF($AW$8:$AW76,BE$4),0)</f>
        <v>0</v>
      </c>
      <c r="BF76" s="429" t="str">
        <f t="shared" si="77"/>
        <v/>
      </c>
      <c r="BG76" s="393">
        <f>IF($AW76=BG$3,COUNTIF($AW$8:$AW76,BG$3),0)</f>
        <v>0</v>
      </c>
      <c r="BH76" s="429" t="str">
        <f t="shared" si="78"/>
        <v/>
      </c>
      <c r="BI76" s="393">
        <f>IF($AW76&lt;&gt;BI$3,COUNTIF($AW$8:$AW76,"&lt;&gt;"&amp;BI$3),0)</f>
        <v>0</v>
      </c>
      <c r="BJ76" s="429" t="str">
        <f t="shared" si="79"/>
        <v/>
      </c>
      <c r="BK76" s="433"/>
      <c r="BL76" s="433"/>
    </row>
    <row r="77" spans="1:64" ht="15" customHeight="1" collapsed="1">
      <c r="A77" s="168"/>
      <c r="B77" s="168"/>
      <c r="C77" s="317"/>
      <c r="D77" s="317"/>
      <c r="E77" s="542"/>
      <c r="F77" s="509"/>
      <c r="G77" s="509"/>
      <c r="H77" s="509"/>
      <c r="I77" s="509"/>
      <c r="J77" s="509"/>
      <c r="K77" s="509"/>
      <c r="L77" s="509"/>
      <c r="M77" s="509"/>
      <c r="N77" s="748"/>
      <c r="O77" s="748"/>
      <c r="P77" s="402"/>
      <c r="Q77" s="1586"/>
      <c r="R77" s="1589"/>
      <c r="S77" s="538"/>
      <c r="T77" s="1592"/>
      <c r="U77" s="1623"/>
      <c r="V77" s="539">
        <v>3</v>
      </c>
      <c r="W77" s="159" t="s">
        <v>35</v>
      </c>
      <c r="X77" s="159" t="s">
        <v>35</v>
      </c>
      <c r="Y77" s="159"/>
      <c r="Z77" s="1627"/>
      <c r="AA77" s="1628"/>
      <c r="AB77" s="1628"/>
      <c r="AC77" s="1616"/>
      <c r="AD77" s="160" t="s">
        <v>35</v>
      </c>
      <c r="AE77" s="540"/>
      <c r="AF77" s="1633"/>
      <c r="AG77" s="1634"/>
      <c r="AH77" s="543">
        <v>3</v>
      </c>
      <c r="AI77" s="1620" t="s">
        <v>591</v>
      </c>
      <c r="AJ77" s="1621"/>
      <c r="AK77" s="383"/>
      <c r="AP77" s="448"/>
      <c r="AQ77" s="448"/>
      <c r="AR77" s="448"/>
      <c r="AS77" s="448"/>
      <c r="AT77" s="393">
        <f t="shared" si="73"/>
        <v>70</v>
      </c>
      <c r="AU77" s="823" t="str">
        <f>AT77&amp;" "&amp;IF(AW77&lt;&gt;"-",【様式2】職員名簿!B108&amp;"/"&amp;AV77&amp;"/"&amp;AW77,"")</f>
        <v xml:space="preserve">70 </v>
      </c>
      <c r="AV77" s="823">
        <f>【様式2】職員名簿!E108</f>
        <v>0</v>
      </c>
      <c r="AW77" s="823" t="str">
        <f>IF(【様式2】職員名簿!J108="エラー","-",【様式2】職員名簿!J108)</f>
        <v>-</v>
      </c>
      <c r="AX77" s="394">
        <f>IF($AV77="常勤",$AM$2,IF($AV77="非常勤",【様式2】職員名簿!G108,0))</f>
        <v>0</v>
      </c>
      <c r="AY77" s="428">
        <f>IF($AW77=AY$3,COUNTIF($AW$8:$AW77,AY$3),0)</f>
        <v>0</v>
      </c>
      <c r="AZ77" s="429" t="str">
        <f t="shared" si="74"/>
        <v/>
      </c>
      <c r="BA77" s="430">
        <f>IF($AW77=BA$3,COUNTIF($AW$8:$AW77,BA$3),0)</f>
        <v>0</v>
      </c>
      <c r="BB77" s="429" t="str">
        <f t="shared" si="75"/>
        <v/>
      </c>
      <c r="BC77" s="431">
        <f>IF($AW77=BC$3,COUNTIF($AW$8:$AW77,BC$3),0)</f>
        <v>0</v>
      </c>
      <c r="BD77" s="429" t="str">
        <f t="shared" si="76"/>
        <v/>
      </c>
      <c r="BE77" s="393">
        <f>IF(OR($AW77=BE$3,$AW77=BE$4),COUNTIF($AW$8:$AW77,BE$3)+COUNTIF($AW$8:$AW77,BE$4),0)</f>
        <v>0</v>
      </c>
      <c r="BF77" s="429" t="str">
        <f t="shared" si="77"/>
        <v/>
      </c>
      <c r="BG77" s="393">
        <f>IF($AW77=BG$3,COUNTIF($AW$8:$AW77,BG$3),0)</f>
        <v>0</v>
      </c>
      <c r="BH77" s="429" t="str">
        <f t="shared" si="78"/>
        <v/>
      </c>
      <c r="BI77" s="393">
        <f>IF($AW77&lt;&gt;BI$3,COUNTIF($AW$8:$AW77,"&lt;&gt;"&amp;BI$3),0)</f>
        <v>0</v>
      </c>
      <c r="BJ77" s="429" t="str">
        <f t="shared" si="79"/>
        <v/>
      </c>
      <c r="BK77" s="433"/>
      <c r="BL77" s="433"/>
    </row>
    <row r="78" spans="1:64" ht="15" customHeight="1" thickBot="1">
      <c r="A78" s="381" t="s">
        <v>592</v>
      </c>
      <c r="B78" s="168"/>
      <c r="C78" s="312"/>
      <c r="D78" s="312"/>
      <c r="E78" s="312"/>
      <c r="F78" s="312"/>
      <c r="G78" s="312"/>
      <c r="H78" s="312"/>
      <c r="I78" s="312"/>
      <c r="J78" s="312"/>
      <c r="K78" s="312"/>
      <c r="L78" s="312"/>
      <c r="M78" s="748"/>
      <c r="N78" s="317"/>
      <c r="O78" s="748" t="s">
        <v>570</v>
      </c>
      <c r="P78" s="402"/>
      <c r="Q78" s="1586"/>
      <c r="R78" s="1589"/>
      <c r="S78" s="538"/>
      <c r="T78" s="1592"/>
      <c r="U78" s="1623"/>
      <c r="V78" s="539"/>
      <c r="W78" s="159"/>
      <c r="X78" s="159"/>
      <c r="Y78" s="89"/>
      <c r="Z78" s="1627"/>
      <c r="AA78" s="1628"/>
      <c r="AB78" s="1628"/>
      <c r="AC78" s="1616"/>
      <c r="AD78" s="544"/>
      <c r="AE78" s="540"/>
      <c r="AF78" s="1633"/>
      <c r="AG78" s="1634"/>
      <c r="AH78" s="543">
        <v>4</v>
      </c>
      <c r="AI78" s="1620" t="s">
        <v>126</v>
      </c>
      <c r="AJ78" s="1621"/>
      <c r="AK78" s="383"/>
      <c r="AP78" s="448"/>
      <c r="AQ78" s="448"/>
      <c r="AR78" s="448"/>
      <c r="AS78" s="448"/>
      <c r="AT78" s="393">
        <f t="shared" si="73"/>
        <v>71</v>
      </c>
      <c r="AU78" s="823" t="str">
        <f>AT78&amp;" "&amp;IF(AW78&lt;&gt;"-",【様式2】職員名簿!B109&amp;"/"&amp;AV78&amp;"/"&amp;AW78,"")</f>
        <v xml:space="preserve">71 </v>
      </c>
      <c r="AV78" s="823">
        <f>【様式2】職員名簿!E109</f>
        <v>0</v>
      </c>
      <c r="AW78" s="823" t="str">
        <f>IF(【様式2】職員名簿!J109="エラー","-",【様式2】職員名簿!J109)</f>
        <v>-</v>
      </c>
      <c r="AX78" s="394">
        <f>IF($AV78="常勤",$AM$2,IF($AV78="非常勤",【様式2】職員名簿!G109,0))</f>
        <v>0</v>
      </c>
      <c r="AY78" s="428">
        <f>IF($AW78=AY$3,COUNTIF($AW$8:$AW78,AY$3),0)</f>
        <v>0</v>
      </c>
      <c r="AZ78" s="429" t="str">
        <f t="shared" si="74"/>
        <v/>
      </c>
      <c r="BA78" s="430">
        <f>IF($AW78=BA$3,COUNTIF($AW$8:$AW78,BA$3),0)</f>
        <v>0</v>
      </c>
      <c r="BB78" s="429" t="str">
        <f t="shared" si="75"/>
        <v/>
      </c>
      <c r="BC78" s="431">
        <f>IF($AW78=BC$3,COUNTIF($AW$8:$AW78,BC$3),0)</f>
        <v>0</v>
      </c>
      <c r="BD78" s="429" t="str">
        <f t="shared" si="76"/>
        <v/>
      </c>
      <c r="BE78" s="393">
        <f>IF(OR($AW78=BE$3,$AW78=BE$4),COUNTIF($AW$8:$AW78,BE$3)+COUNTIF($AW$8:$AW78,BE$4),0)</f>
        <v>0</v>
      </c>
      <c r="BF78" s="429" t="str">
        <f t="shared" si="77"/>
        <v/>
      </c>
      <c r="BG78" s="393">
        <f>IF($AW78=BG$3,COUNTIF($AW$8:$AW78,BG$3),0)</f>
        <v>0</v>
      </c>
      <c r="BH78" s="429" t="str">
        <f t="shared" si="78"/>
        <v/>
      </c>
      <c r="BI78" s="393">
        <f>IF($AW78&lt;&gt;BI$3,COUNTIF($AW$8:$AW78,"&lt;&gt;"&amp;BI$3),0)</f>
        <v>0</v>
      </c>
      <c r="BJ78" s="429" t="str">
        <f t="shared" si="79"/>
        <v/>
      </c>
      <c r="BK78" s="433"/>
      <c r="BL78" s="433"/>
    </row>
    <row r="79" spans="1:64" ht="15" customHeight="1" thickBot="1">
      <c r="A79" s="1485" t="s">
        <v>61</v>
      </c>
      <c r="B79" s="1486"/>
      <c r="C79" s="1487"/>
      <c r="D79" s="1488" t="s">
        <v>593</v>
      </c>
      <c r="E79" s="1488"/>
      <c r="F79" s="1488"/>
      <c r="G79" s="1488"/>
      <c r="H79" s="1488"/>
      <c r="I79" s="1488"/>
      <c r="J79" s="1488"/>
      <c r="K79" s="1488"/>
      <c r="L79" s="1488"/>
      <c r="M79" s="1489"/>
      <c r="N79" s="1489" t="s">
        <v>594</v>
      </c>
      <c r="O79" s="1498" t="s">
        <v>595</v>
      </c>
      <c r="P79" s="545"/>
      <c r="Q79" s="1587"/>
      <c r="R79" s="1590"/>
      <c r="S79" s="546"/>
      <c r="T79" s="1593"/>
      <c r="U79" s="1624"/>
      <c r="V79" s="547" t="s">
        <v>596</v>
      </c>
      <c r="W79" s="548" t="s">
        <v>597</v>
      </c>
      <c r="X79" s="549"/>
      <c r="Y79" s="549"/>
      <c r="Z79" s="1629"/>
      <c r="AA79" s="1630"/>
      <c r="AB79" s="1630"/>
      <c r="AC79" s="1617"/>
      <c r="AD79" s="550"/>
      <c r="AE79" s="551"/>
      <c r="AF79" s="1635"/>
      <c r="AG79" s="1636"/>
      <c r="AH79" s="552"/>
      <c r="AI79" s="549"/>
      <c r="AJ79" s="551"/>
      <c r="AP79" s="448"/>
      <c r="AQ79" s="448"/>
      <c r="AR79" s="448"/>
      <c r="AS79" s="448"/>
      <c r="AT79" s="393">
        <f t="shared" si="73"/>
        <v>72</v>
      </c>
      <c r="AU79" s="823" t="str">
        <f>AT79&amp;" "&amp;IF(AW79&lt;&gt;"-",【様式2】職員名簿!B110&amp;"/"&amp;AV79&amp;"/"&amp;AW79,"")</f>
        <v xml:space="preserve">72 </v>
      </c>
      <c r="AV79" s="823">
        <f>【様式2】職員名簿!E110</f>
        <v>0</v>
      </c>
      <c r="AW79" s="823" t="str">
        <f>IF(【様式2】職員名簿!J110="エラー","-",【様式2】職員名簿!J110)</f>
        <v>-</v>
      </c>
      <c r="AX79" s="394">
        <f>IF($AV79="常勤",$AM$2,IF($AV79="非常勤",【様式2】職員名簿!G110,0))</f>
        <v>0</v>
      </c>
      <c r="AY79" s="428">
        <f>IF($AW79=AY$3,COUNTIF($AW$8:$AW79,AY$3),0)</f>
        <v>0</v>
      </c>
      <c r="AZ79" s="429" t="str">
        <f t="shared" si="74"/>
        <v/>
      </c>
      <c r="BA79" s="430">
        <f>IF($AW79=BA$3,COUNTIF($AW$8:$AW79,BA$3),0)</f>
        <v>0</v>
      </c>
      <c r="BB79" s="429" t="str">
        <f t="shared" si="75"/>
        <v/>
      </c>
      <c r="BC79" s="431">
        <f>IF($AW79=BC$3,COUNTIF($AW$8:$AW79,BC$3),0)</f>
        <v>0</v>
      </c>
      <c r="BD79" s="429" t="str">
        <f t="shared" si="76"/>
        <v/>
      </c>
      <c r="BE79" s="393">
        <f>IF(OR($AW79=BE$3,$AW79=BE$4),COUNTIF($AW$8:$AW79,BE$3)+COUNTIF($AW$8:$AW79,BE$4),0)</f>
        <v>0</v>
      </c>
      <c r="BF79" s="429" t="str">
        <f t="shared" si="77"/>
        <v/>
      </c>
      <c r="BG79" s="393">
        <f>IF($AW79=BG$3,COUNTIF($AW$8:$AW79,BG$3),0)</f>
        <v>0</v>
      </c>
      <c r="BH79" s="429" t="str">
        <f t="shared" si="78"/>
        <v/>
      </c>
      <c r="BI79" s="393">
        <f>IF($AW79&lt;&gt;BI$3,COUNTIF($AW$8:$AW79,"&lt;&gt;"&amp;BI$3),0)</f>
        <v>0</v>
      </c>
      <c r="BJ79" s="429" t="str">
        <f t="shared" si="79"/>
        <v/>
      </c>
      <c r="BK79" s="433"/>
      <c r="BL79" s="433"/>
    </row>
    <row r="80" spans="1:64" ht="15" customHeight="1" thickBot="1">
      <c r="A80" s="553" t="s">
        <v>101</v>
      </c>
      <c r="B80" s="1500" t="s">
        <v>546</v>
      </c>
      <c r="C80" s="1501"/>
      <c r="D80" s="1515" t="s">
        <v>598</v>
      </c>
      <c r="E80" s="1515"/>
      <c r="F80" s="1515"/>
      <c r="G80" s="1515"/>
      <c r="H80" s="1515"/>
      <c r="I80" s="1516"/>
      <c r="J80" s="1516"/>
      <c r="K80" s="1516"/>
      <c r="L80" s="554" t="s">
        <v>599</v>
      </c>
      <c r="M80" s="773"/>
      <c r="N80" s="1497"/>
      <c r="O80" s="1499"/>
      <c r="P80" s="545"/>
      <c r="Q80" s="545"/>
      <c r="AK80" s="383"/>
      <c r="AP80" s="448"/>
      <c r="AQ80" s="448"/>
      <c r="AR80" s="448"/>
      <c r="AS80" s="448"/>
      <c r="AT80" s="393">
        <f t="shared" si="73"/>
        <v>73</v>
      </c>
      <c r="AU80" s="823" t="str">
        <f>AT80&amp;" "&amp;IF(AW80&lt;&gt;"-",【様式2】職員名簿!B111&amp;"/"&amp;AV80&amp;"/"&amp;AW80,"")</f>
        <v xml:space="preserve">73 </v>
      </c>
      <c r="AV80" s="823">
        <f>【様式2】職員名簿!E111</f>
        <v>0</v>
      </c>
      <c r="AW80" s="823" t="str">
        <f>IF(【様式2】職員名簿!J111="エラー","-",【様式2】職員名簿!J111)</f>
        <v>-</v>
      </c>
      <c r="AX80" s="394">
        <f>IF($AV80="常勤",$AM$2,IF($AV80="非常勤",【様式2】職員名簿!G111,0))</f>
        <v>0</v>
      </c>
      <c r="AY80" s="428">
        <f>IF($AW80=AY$3,COUNTIF($AW$8:$AW80,AY$3),0)</f>
        <v>0</v>
      </c>
      <c r="AZ80" s="429" t="str">
        <f t="shared" si="74"/>
        <v/>
      </c>
      <c r="BA80" s="430">
        <f>IF($AW80=BA$3,COUNTIF($AW$8:$AW80,BA$3),0)</f>
        <v>0</v>
      </c>
      <c r="BB80" s="429" t="str">
        <f t="shared" si="75"/>
        <v/>
      </c>
      <c r="BC80" s="431">
        <f>IF($AW80=BC$3,COUNTIF($AW$8:$AW80,BC$3),0)</f>
        <v>0</v>
      </c>
      <c r="BD80" s="429" t="str">
        <f t="shared" si="76"/>
        <v/>
      </c>
      <c r="BE80" s="393">
        <f>IF(OR($AW80=BE$3,$AW80=BE$4),COUNTIF($AW$8:$AW80,BE$3)+COUNTIF($AW$8:$AW80,BE$4),0)</f>
        <v>0</v>
      </c>
      <c r="BF80" s="429" t="str">
        <f t="shared" si="77"/>
        <v/>
      </c>
      <c r="BG80" s="393">
        <f>IF($AW80=BG$3,COUNTIF($AW$8:$AW80,BG$3),0)</f>
        <v>0</v>
      </c>
      <c r="BH80" s="429" t="str">
        <f t="shared" si="78"/>
        <v/>
      </c>
      <c r="BI80" s="393">
        <f>IF($AW80&lt;&gt;BI$3,COUNTIF($AW$8:$AW80,"&lt;&gt;"&amp;BI$3),0)</f>
        <v>0</v>
      </c>
      <c r="BJ80" s="429" t="str">
        <f t="shared" si="79"/>
        <v/>
      </c>
      <c r="BK80" s="433"/>
      <c r="BL80" s="433"/>
    </row>
    <row r="81" spans="1:64" ht="15" customHeight="1">
      <c r="A81" s="1436" t="s">
        <v>603</v>
      </c>
      <c r="B81" s="1567" t="s">
        <v>613</v>
      </c>
      <c r="C81" s="1568"/>
      <c r="D81" s="1577" t="str">
        <f>"家庭的保育補助者加算："&amp;N36</f>
        <v>家庭的保育補助者加算：×</v>
      </c>
      <c r="E81" s="1578"/>
      <c r="F81" s="1571" t="str">
        <f>IF(Q37,"障がい児を除く児童","全児童")</f>
        <v>全児童</v>
      </c>
      <c r="G81" s="1572"/>
      <c r="H81" s="1575">
        <f>IF(Q36,5,3)</f>
        <v>3</v>
      </c>
      <c r="I81" s="639" t="s">
        <v>600</v>
      </c>
      <c r="J81" s="1579">
        <f>ROUNDDOWN(IF(Q37,M8,M12)/H81,1)</f>
        <v>0</v>
      </c>
      <c r="K81" s="640" t="s">
        <v>600</v>
      </c>
      <c r="L81" s="1438">
        <f>ROUNDUP(J81,0)</f>
        <v>0</v>
      </c>
      <c r="M81" s="1505">
        <f>L81</f>
        <v>0</v>
      </c>
      <c r="N81" s="1457">
        <f>I71</f>
        <v>0</v>
      </c>
      <c r="O81" s="1434">
        <f>N81-M81</f>
        <v>0</v>
      </c>
      <c r="P81" s="557"/>
      <c r="Q81" s="555"/>
      <c r="AK81" s="383"/>
      <c r="AP81" s="448"/>
      <c r="AQ81" s="448"/>
      <c r="AR81" s="448"/>
      <c r="AS81" s="448"/>
      <c r="AT81" s="393">
        <f t="shared" si="73"/>
        <v>74</v>
      </c>
      <c r="AU81" s="823" t="str">
        <f>AT81&amp;" "&amp;IF(AW81&lt;&gt;"-",【様式2】職員名簿!B112&amp;"/"&amp;AV81&amp;"/"&amp;AW81,"")</f>
        <v xml:space="preserve">74 </v>
      </c>
      <c r="AV81" s="823">
        <f>【様式2】職員名簿!E112</f>
        <v>0</v>
      </c>
      <c r="AW81" s="823" t="str">
        <f>IF(【様式2】職員名簿!J112="エラー","-",【様式2】職員名簿!J112)</f>
        <v>-</v>
      </c>
      <c r="AX81" s="394">
        <f>IF($AV81="常勤",$AM$2,IF($AV81="非常勤",【様式2】職員名簿!G112,0))</f>
        <v>0</v>
      </c>
      <c r="AY81" s="428">
        <f>IF($AW81=AY$3,COUNTIF($AW$8:$AW81,AY$3),0)</f>
        <v>0</v>
      </c>
      <c r="AZ81" s="429" t="str">
        <f t="shared" si="74"/>
        <v/>
      </c>
      <c r="BA81" s="430">
        <f>IF($AW81=BA$3,COUNTIF($AW$8:$AW81,BA$3),0)</f>
        <v>0</v>
      </c>
      <c r="BB81" s="429" t="str">
        <f t="shared" si="75"/>
        <v/>
      </c>
      <c r="BC81" s="431">
        <f>IF($AW81=BC$3,COUNTIF($AW$8:$AW81,BC$3),0)</f>
        <v>0</v>
      </c>
      <c r="BD81" s="429" t="str">
        <f t="shared" si="76"/>
        <v/>
      </c>
      <c r="BE81" s="393">
        <f>IF(OR($AW81=BE$3,$AW81=BE$4),COUNTIF($AW$8:$AW81,BE$3)+COUNTIF($AW$8:$AW81,BE$4),0)</f>
        <v>0</v>
      </c>
      <c r="BF81" s="429" t="str">
        <f t="shared" si="77"/>
        <v/>
      </c>
      <c r="BG81" s="393">
        <f>IF($AW81=BG$3,COUNTIF($AW$8:$AW81,BG$3),0)</f>
        <v>0</v>
      </c>
      <c r="BH81" s="429" t="str">
        <f t="shared" si="78"/>
        <v/>
      </c>
      <c r="BI81" s="393">
        <f>IF($AW81&lt;&gt;BI$3,COUNTIF($AW$8:$AW81,"&lt;&gt;"&amp;BI$3),0)</f>
        <v>0</v>
      </c>
      <c r="BJ81" s="429" t="str">
        <f t="shared" si="79"/>
        <v/>
      </c>
      <c r="BK81" s="433"/>
      <c r="BL81" s="433"/>
    </row>
    <row r="82" spans="1:64" ht="15" customHeight="1">
      <c r="A82" s="1437"/>
      <c r="B82" s="1569"/>
      <c r="C82" s="1570"/>
      <c r="D82" s="1558"/>
      <c r="E82" s="1559"/>
      <c r="F82" s="1573"/>
      <c r="G82" s="1574"/>
      <c r="H82" s="1576"/>
      <c r="I82" s="1562" t="s">
        <v>601</v>
      </c>
      <c r="J82" s="1580"/>
      <c r="K82" s="1562" t="s">
        <v>614</v>
      </c>
      <c r="L82" s="1439"/>
      <c r="M82" s="1506"/>
      <c r="N82" s="1409"/>
      <c r="O82" s="1435"/>
      <c r="P82" s="557"/>
      <c r="Q82" s="557"/>
      <c r="AK82" s="383"/>
      <c r="AP82" s="448"/>
      <c r="AQ82" s="448"/>
      <c r="AR82" s="448"/>
      <c r="AS82" s="448"/>
      <c r="AT82" s="393">
        <f t="shared" si="73"/>
        <v>75</v>
      </c>
      <c r="AU82" s="823" t="str">
        <f>AT82&amp;" "&amp;IF(AW82&lt;&gt;"-",【様式2】職員名簿!B113&amp;"/"&amp;AV82&amp;"/"&amp;AW82,"")</f>
        <v xml:space="preserve">75 </v>
      </c>
      <c r="AV82" s="823">
        <f>【様式2】職員名簿!E113</f>
        <v>0</v>
      </c>
      <c r="AW82" s="823" t="str">
        <f>IF(【様式2】職員名簿!J113="エラー","-",【様式2】職員名簿!J113)</f>
        <v>-</v>
      </c>
      <c r="AX82" s="394">
        <f>IF($AV82="常勤",$AM$2,IF($AV82="非常勤",【様式2】職員名簿!G113,0))</f>
        <v>0</v>
      </c>
      <c r="AY82" s="428">
        <f>IF($AW82=AY$3,COUNTIF($AW$8:$AW82,AY$3),0)</f>
        <v>0</v>
      </c>
      <c r="AZ82" s="429" t="str">
        <f t="shared" si="74"/>
        <v/>
      </c>
      <c r="BA82" s="430">
        <f>IF($AW82=BA$3,COUNTIF($AW$8:$AW82,BA$3),0)</f>
        <v>0</v>
      </c>
      <c r="BB82" s="429" t="str">
        <f t="shared" si="75"/>
        <v/>
      </c>
      <c r="BC82" s="431">
        <f>IF($AW82=BC$3,COUNTIF($AW$8:$AW82,BC$3),0)</f>
        <v>0</v>
      </c>
      <c r="BD82" s="429" t="str">
        <f t="shared" si="76"/>
        <v/>
      </c>
      <c r="BE82" s="393">
        <f>IF(OR($AW82=BE$3,$AW82=BE$4),COUNTIF($AW$8:$AW82,BE$3)+COUNTIF($AW$8:$AW82,BE$4),0)</f>
        <v>0</v>
      </c>
      <c r="BF82" s="429" t="str">
        <f t="shared" si="77"/>
        <v/>
      </c>
      <c r="BG82" s="393">
        <f>IF($AW82=BG$3,COUNTIF($AW$8:$AW82,BG$3),0)</f>
        <v>0</v>
      </c>
      <c r="BH82" s="429" t="str">
        <f t="shared" si="78"/>
        <v/>
      </c>
      <c r="BI82" s="393">
        <f>IF($AW82&lt;&gt;BI$3,COUNTIF($AW$8:$AW82,"&lt;&gt;"&amp;BI$3),0)</f>
        <v>0</v>
      </c>
      <c r="BJ82" s="429" t="str">
        <f t="shared" si="79"/>
        <v/>
      </c>
      <c r="BK82" s="433"/>
      <c r="BL82" s="433"/>
    </row>
    <row r="83" spans="1:64" ht="15" customHeight="1">
      <c r="A83" s="1460" t="s">
        <v>604</v>
      </c>
      <c r="B83" s="1581" t="s">
        <v>613</v>
      </c>
      <c r="C83" s="1582"/>
      <c r="D83" s="1558" t="str">
        <f>"障がい児保育加算："&amp;N37</f>
        <v>障がい児保育加算：×</v>
      </c>
      <c r="E83" s="1559"/>
      <c r="F83" s="1554" t="str">
        <f>IF(Q37,IF(Q36,"障がい児を除く児童","エラー"),IF(Q36,"全児童",""))</f>
        <v/>
      </c>
      <c r="G83" s="1555"/>
      <c r="H83" s="556" t="str">
        <f>IF(Q36,5,"")</f>
        <v/>
      </c>
      <c r="I83" s="1562"/>
      <c r="J83" s="643">
        <f>IF(Q36,ROUNDDOWN(IF(Q37,M8,M12)/H83,1),0)</f>
        <v>0</v>
      </c>
      <c r="K83" s="1562"/>
      <c r="L83" s="1454">
        <f>ROUNDUP(SUM(J83:J84),0)</f>
        <v>0</v>
      </c>
      <c r="M83" s="1455">
        <f>L83</f>
        <v>0</v>
      </c>
      <c r="N83" s="1408">
        <f>I72</f>
        <v>0</v>
      </c>
      <c r="O83" s="1458">
        <f>N83-M83</f>
        <v>0</v>
      </c>
      <c r="P83" s="557"/>
      <c r="Q83" s="557"/>
      <c r="AK83" s="383"/>
      <c r="AO83" s="448"/>
      <c r="AP83" s="448"/>
      <c r="AQ83" s="448"/>
      <c r="AR83" s="448"/>
      <c r="AS83" s="448"/>
      <c r="AT83" s="393">
        <f t="shared" si="73"/>
        <v>76</v>
      </c>
      <c r="AU83" s="823" t="str">
        <f>AT83&amp;" "&amp;IF(AW83&lt;&gt;"-",【様式2】職員名簿!B114&amp;"/"&amp;AV83&amp;"/"&amp;AW83,"")</f>
        <v xml:space="preserve">76 </v>
      </c>
      <c r="AV83" s="823">
        <f>【様式2】職員名簿!E114</f>
        <v>0</v>
      </c>
      <c r="AW83" s="823" t="str">
        <f>IF(【様式2】職員名簿!J114="エラー","-",【様式2】職員名簿!J114)</f>
        <v>-</v>
      </c>
      <c r="AX83" s="394">
        <f>IF($AV83="常勤",$AM$2,IF($AV83="非常勤",【様式2】職員名簿!G114,0))</f>
        <v>0</v>
      </c>
      <c r="AY83" s="428">
        <f>IF($AW83=AY$3,COUNTIF($AW$8:$AW83,AY$3),0)</f>
        <v>0</v>
      </c>
      <c r="AZ83" s="429" t="str">
        <f t="shared" si="74"/>
        <v/>
      </c>
      <c r="BA83" s="430">
        <f>IF($AW83=BA$3,COUNTIF($AW$8:$AW83,BA$3),0)</f>
        <v>0</v>
      </c>
      <c r="BB83" s="429" t="str">
        <f t="shared" si="75"/>
        <v/>
      </c>
      <c r="BC83" s="431">
        <f>IF($AW83=BC$3,COUNTIF($AW$8:$AW83,BC$3),0)</f>
        <v>0</v>
      </c>
      <c r="BD83" s="429" t="str">
        <f t="shared" si="76"/>
        <v/>
      </c>
      <c r="BE83" s="393">
        <f>IF(OR($AW83=BE$3,$AW83=BE$4),COUNTIF($AW$8:$AW83,BE$3)+COUNTIF($AW$8:$AW83,BE$4),0)</f>
        <v>0</v>
      </c>
      <c r="BF83" s="429" t="str">
        <f t="shared" si="77"/>
        <v/>
      </c>
      <c r="BG83" s="393">
        <f>IF($AW83=BG$3,COUNTIF($AW$8:$AW83,BG$3),0)</f>
        <v>0</v>
      </c>
      <c r="BH83" s="429" t="str">
        <f t="shared" si="78"/>
        <v/>
      </c>
      <c r="BI83" s="393">
        <f>IF($AW83&lt;&gt;BI$3,COUNTIF($AW$8:$AW83,"&lt;&gt;"&amp;BI$3),0)</f>
        <v>0</v>
      </c>
      <c r="BJ83" s="429" t="str">
        <f t="shared" si="79"/>
        <v/>
      </c>
      <c r="BK83" s="433"/>
      <c r="BL83" s="433"/>
    </row>
    <row r="84" spans="1:64" ht="15" customHeight="1">
      <c r="A84" s="1461"/>
      <c r="B84" s="1583"/>
      <c r="C84" s="1584"/>
      <c r="D84" s="1560"/>
      <c r="E84" s="1561"/>
      <c r="F84" s="1556" t="str">
        <f>IF(Q37,IF(Q36,"障がい児","エラー"),"")</f>
        <v/>
      </c>
      <c r="G84" s="1557"/>
      <c r="H84" s="641" t="str">
        <f>IF(AND(Q36,Q37),2,"")</f>
        <v/>
      </c>
      <c r="I84" s="1563"/>
      <c r="J84" s="642">
        <f>IF(AND(Q36,Q37),ROUNDDOWN(M9/H84,1),0)</f>
        <v>0</v>
      </c>
      <c r="K84" s="1563"/>
      <c r="L84" s="1439"/>
      <c r="M84" s="1456"/>
      <c r="N84" s="1409"/>
      <c r="O84" s="1459"/>
      <c r="P84" s="557"/>
      <c r="Q84" s="557"/>
      <c r="AK84" s="383"/>
      <c r="AO84" s="448"/>
      <c r="AP84" s="448"/>
      <c r="AQ84" s="448"/>
      <c r="AR84" s="448"/>
      <c r="AS84" s="448"/>
      <c r="AT84" s="393">
        <f t="shared" si="73"/>
        <v>77</v>
      </c>
      <c r="AU84" s="823" t="str">
        <f>AT84&amp;" "&amp;IF(AW84&lt;&gt;"-",【様式2】職員名簿!B115&amp;"/"&amp;AV84&amp;"/"&amp;AW84,"")</f>
        <v xml:space="preserve">77 </v>
      </c>
      <c r="AV84" s="823">
        <f>【様式2】職員名簿!E115</f>
        <v>0</v>
      </c>
      <c r="AW84" s="823" t="str">
        <f>IF(【様式2】職員名簿!J115="エラー","-",【様式2】職員名簿!J115)</f>
        <v>-</v>
      </c>
      <c r="AX84" s="394">
        <f>IF($AV84="常勤",$AM$2,IF($AV84="非常勤",【様式2】職員名簿!G115,0))</f>
        <v>0</v>
      </c>
      <c r="AY84" s="428">
        <f>IF($AW84=AY$3,COUNTIF($AW$8:$AW84,AY$3),0)</f>
        <v>0</v>
      </c>
      <c r="AZ84" s="429" t="str">
        <f t="shared" si="74"/>
        <v/>
      </c>
      <c r="BA84" s="430">
        <f>IF($AW84=BA$3,COUNTIF($AW$8:$AW84,BA$3),0)</f>
        <v>0</v>
      </c>
      <c r="BB84" s="429" t="str">
        <f t="shared" si="75"/>
        <v/>
      </c>
      <c r="BC84" s="431">
        <f>IF($AW84=BC$3,COUNTIF($AW$8:$AW84,BC$3),0)</f>
        <v>0</v>
      </c>
      <c r="BD84" s="429" t="str">
        <f t="shared" si="76"/>
        <v/>
      </c>
      <c r="BE84" s="393">
        <f>IF(OR($AW84=BE$3,$AW84=BE$4),COUNTIF($AW$8:$AW84,BE$3)+COUNTIF($AW$8:$AW84,BE$4),0)</f>
        <v>0</v>
      </c>
      <c r="BF84" s="429" t="str">
        <f t="shared" si="77"/>
        <v/>
      </c>
      <c r="BG84" s="393">
        <f>IF($AW84=BG$3,COUNTIF($AW$8:$AW84,BG$3),0)</f>
        <v>0</v>
      </c>
      <c r="BH84" s="429" t="str">
        <f t="shared" si="78"/>
        <v/>
      </c>
      <c r="BI84" s="393">
        <f>IF($AW84&lt;&gt;BI$3,COUNTIF($AW$8:$AW84,"&lt;&gt;"&amp;BI$3),0)</f>
        <v>0</v>
      </c>
      <c r="BJ84" s="429" t="str">
        <f t="shared" si="79"/>
        <v/>
      </c>
      <c r="BK84" s="433"/>
      <c r="BL84" s="433"/>
    </row>
    <row r="85" spans="1:64" ht="15" customHeight="1">
      <c r="A85" s="745" t="s">
        <v>6</v>
      </c>
      <c r="B85" s="1552" t="s">
        <v>602</v>
      </c>
      <c r="C85" s="1553"/>
      <c r="D85" s="1044" t="str">
        <f>IF(R38=1,"栄養管理加算（配置）の場合は専任栄養士",IF(OR(R38=2,R38=3),"栄養管理加算（兼務又は嘱託）の場合は専任栄養士の配置不要",""))</f>
        <v/>
      </c>
      <c r="E85" s="1044"/>
      <c r="F85" s="1044"/>
      <c r="G85" s="1044"/>
      <c r="H85" s="1044"/>
      <c r="I85" s="1131"/>
      <c r="J85" s="1131"/>
      <c r="K85" s="1131"/>
      <c r="L85" s="559">
        <f>IF(AND(Q38,R38=1),M38,0)</f>
        <v>0</v>
      </c>
      <c r="M85" s="1406">
        <f>SUM(L85:L86)</f>
        <v>0</v>
      </c>
      <c r="N85" s="1408">
        <f>SUM(I73:I74)</f>
        <v>0</v>
      </c>
      <c r="O85" s="1404">
        <f>N85-M85</f>
        <v>0</v>
      </c>
      <c r="P85" s="561"/>
      <c r="Q85" s="557"/>
      <c r="AK85" s="383"/>
      <c r="AO85" s="448"/>
      <c r="AP85" s="448"/>
      <c r="AR85" s="448"/>
      <c r="AS85" s="448"/>
      <c r="AT85" s="393">
        <f t="shared" si="73"/>
        <v>78</v>
      </c>
      <c r="AU85" s="823" t="str">
        <f>AT85&amp;" "&amp;IF(AW85&lt;&gt;"-",【様式2】職員名簿!B116&amp;"/"&amp;AV85&amp;"/"&amp;AW85,"")</f>
        <v xml:space="preserve">78 </v>
      </c>
      <c r="AV85" s="823">
        <f>【様式2】職員名簿!E116</f>
        <v>0</v>
      </c>
      <c r="AW85" s="823" t="str">
        <f>IF(【様式2】職員名簿!J116="エラー","-",【様式2】職員名簿!J116)</f>
        <v>-</v>
      </c>
      <c r="AX85" s="394">
        <f>IF($AV85="常勤",$AM$2,IF($AV85="非常勤",【様式2】職員名簿!G116,0))</f>
        <v>0</v>
      </c>
      <c r="AY85" s="428">
        <f>IF($AW85=AY$3,COUNTIF($AW$8:$AW85,AY$3),0)</f>
        <v>0</v>
      </c>
      <c r="AZ85" s="429" t="str">
        <f t="shared" si="74"/>
        <v/>
      </c>
      <c r="BA85" s="430">
        <f>IF($AW85=BA$3,COUNTIF($AW$8:$AW85,BA$3),0)</f>
        <v>0</v>
      </c>
      <c r="BB85" s="429" t="str">
        <f t="shared" si="75"/>
        <v/>
      </c>
      <c r="BC85" s="431">
        <f>IF($AW85=BC$3,COUNTIF($AW$8:$AW85,BC$3),0)</f>
        <v>0</v>
      </c>
      <c r="BD85" s="429" t="str">
        <f t="shared" si="76"/>
        <v/>
      </c>
      <c r="BE85" s="393">
        <f>IF(OR($AW85=BE$3,$AW85=BE$4),COUNTIF($AW$8:$AW85,BE$3)+COUNTIF($AW$8:$AW85,BE$4),0)</f>
        <v>0</v>
      </c>
      <c r="BF85" s="429" t="str">
        <f t="shared" si="77"/>
        <v/>
      </c>
      <c r="BG85" s="393">
        <f>IF($AW85=BG$3,COUNTIF($AW$8:$AW85,BG$3),0)</f>
        <v>0</v>
      </c>
      <c r="BH85" s="429" t="str">
        <f t="shared" si="78"/>
        <v/>
      </c>
      <c r="BI85" s="393">
        <f>IF($AW85&lt;&gt;BI$3,COUNTIF($AW$8:$AW85,"&lt;&gt;"&amp;BI$3),0)</f>
        <v>0</v>
      </c>
      <c r="BJ85" s="429" t="str">
        <f t="shared" si="79"/>
        <v/>
      </c>
      <c r="BK85" s="433"/>
      <c r="BL85" s="433"/>
    </row>
    <row r="86" spans="1:64" ht="15" customHeight="1">
      <c r="A86" s="731" t="s">
        <v>98</v>
      </c>
      <c r="B86" s="1546" t="s">
        <v>619</v>
      </c>
      <c r="C86" s="1547"/>
      <c r="D86" s="1548" t="str">
        <f>F28&amp;IF(R28=1,"（下限："&amp;IF(AL2,AL3&amp;"時間","なし")&amp;"）","")</f>
        <v>エラー：個票0を見直すこと</v>
      </c>
      <c r="E86" s="1548"/>
      <c r="F86" s="1548"/>
      <c r="G86" s="1548"/>
      <c r="H86" s="1548"/>
      <c r="I86" s="1549"/>
      <c r="J86" s="1549"/>
      <c r="K86" s="1549"/>
      <c r="L86" s="559">
        <f>IF(R28=1,M29,0)</f>
        <v>0</v>
      </c>
      <c r="M86" s="1407"/>
      <c r="N86" s="1409"/>
      <c r="O86" s="1405"/>
      <c r="P86" s="561"/>
      <c r="Q86" s="557"/>
      <c r="AK86" s="383"/>
      <c r="AO86" s="448"/>
      <c r="AP86" s="448"/>
      <c r="AQ86" s="448"/>
      <c r="AR86" s="448"/>
      <c r="AS86" s="448"/>
      <c r="AT86" s="393">
        <f t="shared" si="73"/>
        <v>79</v>
      </c>
      <c r="AU86" s="823" t="str">
        <f>AT86&amp;" "&amp;IF(AW86&lt;&gt;"-",【様式2】職員名簿!B117&amp;"/"&amp;AV86&amp;"/"&amp;AW86,"")</f>
        <v xml:space="preserve">79 </v>
      </c>
      <c r="AV86" s="823">
        <f>【様式2】職員名簿!E117</f>
        <v>0</v>
      </c>
      <c r="AW86" s="823" t="str">
        <f>IF(【様式2】職員名簿!J117="エラー","-",【様式2】職員名簿!J117)</f>
        <v>-</v>
      </c>
      <c r="AX86" s="394">
        <f>IF($AV86="常勤",$AM$2,IF($AV86="非常勤",【様式2】職員名簿!G117,0))</f>
        <v>0</v>
      </c>
      <c r="AY86" s="428">
        <f>IF($AW86=AY$3,COUNTIF($AW$8:$AW86,AY$3),0)</f>
        <v>0</v>
      </c>
      <c r="AZ86" s="429" t="str">
        <f t="shared" si="74"/>
        <v/>
      </c>
      <c r="BA86" s="430">
        <f>IF($AW86=BA$3,COUNTIF($AW$8:$AW86,BA$3),0)</f>
        <v>0</v>
      </c>
      <c r="BB86" s="429" t="str">
        <f t="shared" si="75"/>
        <v/>
      </c>
      <c r="BC86" s="431">
        <f>IF($AW86=BC$3,COUNTIF($AW$8:$AW86,BC$3),0)</f>
        <v>0</v>
      </c>
      <c r="BD86" s="429" t="str">
        <f t="shared" si="76"/>
        <v/>
      </c>
      <c r="BE86" s="393">
        <f>IF(OR($AW86=BE$3,$AW86=BE$4),COUNTIF($AW$8:$AW86,BE$3)+COUNTIF($AW$8:$AW86,BE$4),0)</f>
        <v>0</v>
      </c>
      <c r="BF86" s="429" t="str">
        <f t="shared" si="77"/>
        <v/>
      </c>
      <c r="BG86" s="393">
        <f>IF($AW86=BG$3,COUNTIF($AW$8:$AW86,BG$3),0)</f>
        <v>0</v>
      </c>
      <c r="BH86" s="429" t="str">
        <f t="shared" si="78"/>
        <v/>
      </c>
      <c r="BI86" s="393">
        <f>IF($AW86&lt;&gt;BI$3,COUNTIF($AW$8:$AW86,"&lt;&gt;"&amp;BI$3),0)</f>
        <v>0</v>
      </c>
      <c r="BJ86" s="429" t="str">
        <f t="shared" si="79"/>
        <v/>
      </c>
      <c r="BK86" s="433"/>
      <c r="BL86" s="433"/>
    </row>
    <row r="87" spans="1:64" ht="15" customHeight="1">
      <c r="A87" s="731" t="s">
        <v>464</v>
      </c>
      <c r="B87" s="1550" t="s">
        <v>561</v>
      </c>
      <c r="C87" s="1551"/>
      <c r="D87" s="1564" t="str">
        <f>F31&amp;IF(OR(R31=1,R31=2),"（下限："&amp;IF(AL2,AL3&amp;"時間","なし")&amp;"）","")</f>
        <v>エラー：個票0を見直すこと</v>
      </c>
      <c r="E87" s="1565"/>
      <c r="F87" s="1565"/>
      <c r="G87" s="1565"/>
      <c r="H87" s="1565"/>
      <c r="I87" s="1565"/>
      <c r="J87" s="1565"/>
      <c r="K87" s="1566"/>
      <c r="L87" s="562">
        <f>IF(R31=1,M32,IF(R31=2,M33,0))</f>
        <v>0</v>
      </c>
      <c r="M87" s="634">
        <f>SUM(L87:L87)</f>
        <v>0</v>
      </c>
      <c r="N87" s="635">
        <f>I75</f>
        <v>0</v>
      </c>
      <c r="O87" s="638">
        <f>N87-M87</f>
        <v>0</v>
      </c>
      <c r="P87" s="561"/>
      <c r="Q87" s="557"/>
      <c r="R87" s="558"/>
      <c r="S87" s="558"/>
      <c r="T87" s="558"/>
      <c r="AK87" s="383"/>
      <c r="AO87" s="448"/>
      <c r="AP87" s="448"/>
      <c r="AQ87" s="448"/>
      <c r="AR87" s="448"/>
      <c r="AT87" s="393">
        <f t="shared" si="73"/>
        <v>80</v>
      </c>
      <c r="AU87" s="823" t="str">
        <f>AT87&amp;" "&amp;IF(AW87&lt;&gt;"-",【様式2】職員名簿!B118&amp;"/"&amp;AV87&amp;"/"&amp;AW87,"")</f>
        <v xml:space="preserve">80 </v>
      </c>
      <c r="AV87" s="823">
        <f>【様式2】職員名簿!E118</f>
        <v>0</v>
      </c>
      <c r="AW87" s="823" t="str">
        <f>IF(【様式2】職員名簿!J118="エラー","-",【様式2】職員名簿!J118)</f>
        <v>-</v>
      </c>
      <c r="AX87" s="394">
        <f>IF($AV87="常勤",$AM$2,IF($AV87="非常勤",【様式2】職員名簿!G118,0))</f>
        <v>0</v>
      </c>
      <c r="AY87" s="428">
        <f>IF($AW87=AY$3,COUNTIF($AW$8:$AW87,AY$3),0)</f>
        <v>0</v>
      </c>
      <c r="AZ87" s="429" t="str">
        <f t="shared" si="74"/>
        <v/>
      </c>
      <c r="BA87" s="430">
        <f>IF($AW87=BA$3,COUNTIF($AW$8:$AW87,BA$3),0)</f>
        <v>0</v>
      </c>
      <c r="BB87" s="429" t="str">
        <f t="shared" si="75"/>
        <v/>
      </c>
      <c r="BC87" s="431">
        <f>IF($AW87=BC$3,COUNTIF($AW$8:$AW87,BC$3),0)</f>
        <v>0</v>
      </c>
      <c r="BD87" s="429" t="str">
        <f t="shared" si="76"/>
        <v/>
      </c>
      <c r="BE87" s="393">
        <f>IF(OR($AW87=BE$3,$AW87=BE$4),COUNTIF($AW$8:$AW87,BE$3)+COUNTIF($AW$8:$AW87,BE$4),0)</f>
        <v>0</v>
      </c>
      <c r="BF87" s="429" t="str">
        <f t="shared" si="77"/>
        <v/>
      </c>
      <c r="BG87" s="393">
        <f>IF($AW87=BG$3,COUNTIF($AW$8:$AW87,BG$3),0)</f>
        <v>0</v>
      </c>
      <c r="BH87" s="429" t="str">
        <f t="shared" si="78"/>
        <v/>
      </c>
      <c r="BI87" s="393">
        <f>IF($AW87&lt;&gt;BI$3,COUNTIF($AW$8:$AW87,"&lt;&gt;"&amp;BI$3),0)</f>
        <v>0</v>
      </c>
      <c r="BJ87" s="429" t="str">
        <f t="shared" si="79"/>
        <v/>
      </c>
      <c r="BK87" s="433"/>
      <c r="BL87" s="433"/>
    </row>
    <row r="88" spans="1:64" ht="15" customHeight="1">
      <c r="A88" s="745" t="s">
        <v>7</v>
      </c>
      <c r="B88" s="1546" t="s">
        <v>7</v>
      </c>
      <c r="C88" s="1547"/>
      <c r="D88" s="1131" t="s">
        <v>7</v>
      </c>
      <c r="E88" s="1132"/>
      <c r="F88" s="1132"/>
      <c r="G88" s="1132"/>
      <c r="H88" s="1132"/>
      <c r="I88" s="1132"/>
      <c r="J88" s="1132"/>
      <c r="K88" s="1132"/>
      <c r="L88" s="564" t="s">
        <v>522</v>
      </c>
      <c r="M88" s="565" t="s">
        <v>522</v>
      </c>
      <c r="N88" s="566">
        <f>I76</f>
        <v>0</v>
      </c>
      <c r="O88" s="560">
        <f>N88</f>
        <v>0</v>
      </c>
      <c r="P88" s="561"/>
      <c r="Q88" s="557"/>
      <c r="R88" s="558"/>
      <c r="S88" s="558"/>
      <c r="T88" s="558"/>
      <c r="AK88" s="383"/>
      <c r="AO88" s="448"/>
      <c r="AP88" s="448"/>
      <c r="AQ88" s="448"/>
      <c r="AR88" s="448"/>
      <c r="AS88" s="448"/>
      <c r="AT88" s="393">
        <f t="shared" si="73"/>
        <v>81</v>
      </c>
      <c r="AU88" s="823" t="str">
        <f>AT88&amp;" "&amp;IF(AW88&lt;&gt;"-",【様式2】職員名簿!B119&amp;"/"&amp;AV88&amp;"/"&amp;AW88,"")</f>
        <v xml:space="preserve">81 </v>
      </c>
      <c r="AV88" s="823">
        <f>【様式2】職員名簿!E119</f>
        <v>0</v>
      </c>
      <c r="AW88" s="823" t="str">
        <f>IF(【様式2】職員名簿!J119="エラー","-",【様式2】職員名簿!J119)</f>
        <v>-</v>
      </c>
      <c r="AX88" s="394">
        <f>IF($AV88="常勤",$AM$2,IF($AV88="非常勤",【様式2】職員名簿!G119,0))</f>
        <v>0</v>
      </c>
      <c r="AY88" s="428">
        <f>IF($AW88=AY$3,COUNTIF($AW$8:$AW88,AY$3),0)</f>
        <v>0</v>
      </c>
      <c r="AZ88" s="429" t="str">
        <f t="shared" si="74"/>
        <v/>
      </c>
      <c r="BA88" s="430">
        <f>IF($AW88=BA$3,COUNTIF($AW$8:$AW88,BA$3),0)</f>
        <v>0</v>
      </c>
      <c r="BB88" s="429" t="str">
        <f t="shared" si="75"/>
        <v/>
      </c>
      <c r="BC88" s="431">
        <f>IF($AW88=BC$3,COUNTIF($AW$8:$AW88,BC$3),0)</f>
        <v>0</v>
      </c>
      <c r="BD88" s="429" t="str">
        <f t="shared" si="76"/>
        <v/>
      </c>
      <c r="BE88" s="393">
        <f>IF(OR($AW88=BE$3,$AW88=BE$4),COUNTIF($AW$8:$AW88,BE$3)+COUNTIF($AW$8:$AW88,BE$4),0)</f>
        <v>0</v>
      </c>
      <c r="BF88" s="429" t="str">
        <f t="shared" si="77"/>
        <v/>
      </c>
      <c r="BG88" s="393">
        <f>IF($AW88=BG$3,COUNTIF($AW$8:$AW88,BG$3),0)</f>
        <v>0</v>
      </c>
      <c r="BH88" s="429" t="str">
        <f t="shared" si="78"/>
        <v/>
      </c>
      <c r="BI88" s="393">
        <f>IF($AW88&lt;&gt;BI$3,COUNTIF($AW$8:$AW88,"&lt;&gt;"&amp;BI$3),0)</f>
        <v>0</v>
      </c>
      <c r="BJ88" s="429" t="str">
        <f t="shared" si="79"/>
        <v/>
      </c>
      <c r="BK88" s="433"/>
      <c r="BL88" s="433"/>
    </row>
    <row r="89" spans="1:64">
      <c r="B89" s="161"/>
      <c r="C89" s="313"/>
      <c r="D89" s="164"/>
      <c r="E89" s="164"/>
      <c r="F89" s="164"/>
      <c r="G89" s="164"/>
      <c r="H89" s="164"/>
      <c r="I89" s="164"/>
      <c r="J89" s="164"/>
      <c r="K89" s="164"/>
      <c r="L89" s="567"/>
      <c r="M89" s="568"/>
      <c r="N89" s="568"/>
      <c r="O89" s="569"/>
      <c r="Q89" s="557"/>
      <c r="R89" s="558"/>
      <c r="S89" s="558"/>
      <c r="T89" s="558"/>
      <c r="U89" s="558"/>
      <c r="V89" s="558"/>
      <c r="W89" s="558"/>
      <c r="X89" s="558"/>
      <c r="Y89" s="558"/>
      <c r="Z89" s="558"/>
      <c r="AA89" s="558"/>
      <c r="AB89" s="558"/>
      <c r="AC89" s="558"/>
      <c r="AD89" s="558"/>
      <c r="AE89" s="558"/>
      <c r="AF89" s="558"/>
      <c r="AK89" s="383"/>
      <c r="AO89" s="448"/>
      <c r="AP89" s="448"/>
      <c r="AQ89" s="466"/>
      <c r="AR89" s="448"/>
      <c r="AS89" s="448"/>
      <c r="AT89" s="393">
        <f t="shared" si="73"/>
        <v>82</v>
      </c>
      <c r="AU89" s="823" t="str">
        <f>AT89&amp;" "&amp;IF(AW89&lt;&gt;"-",【様式2】職員名簿!B120&amp;"/"&amp;AV89&amp;"/"&amp;AW89,"")</f>
        <v xml:space="preserve">82 </v>
      </c>
      <c r="AV89" s="823">
        <f>【様式2】職員名簿!E120</f>
        <v>0</v>
      </c>
      <c r="AW89" s="823" t="str">
        <f>IF(【様式2】職員名簿!J120="エラー","-",【様式2】職員名簿!J120)</f>
        <v>-</v>
      </c>
      <c r="AX89" s="394">
        <f>IF($AV89="常勤",$AM$2,IF($AV89="非常勤",【様式2】職員名簿!G120,0))</f>
        <v>0</v>
      </c>
      <c r="AY89" s="428">
        <f>IF($AW89=AY$3,COUNTIF($AW$8:$AW89,AY$3),0)</f>
        <v>0</v>
      </c>
      <c r="AZ89" s="429" t="str">
        <f t="shared" si="74"/>
        <v/>
      </c>
      <c r="BA89" s="430">
        <f>IF($AW89=BA$3,COUNTIF($AW$8:$AW89,BA$3),0)</f>
        <v>0</v>
      </c>
      <c r="BB89" s="429" t="str">
        <f t="shared" si="75"/>
        <v/>
      </c>
      <c r="BC89" s="431">
        <f>IF($AW89=BC$3,COUNTIF($AW$8:$AW89,BC$3),0)</f>
        <v>0</v>
      </c>
      <c r="BD89" s="429" t="str">
        <f t="shared" si="76"/>
        <v/>
      </c>
      <c r="BE89" s="393">
        <f>IF(OR($AW89=BE$3,$AW89=BE$4),COUNTIF($AW$8:$AW89,BE$3)+COUNTIF($AW$8:$AW89,BE$4),0)</f>
        <v>0</v>
      </c>
      <c r="BF89" s="429" t="str">
        <f t="shared" si="77"/>
        <v/>
      </c>
      <c r="BG89" s="393">
        <f>IF($AW89=BG$3,COUNTIF($AW$8:$AW89,BG$3),0)</f>
        <v>0</v>
      </c>
      <c r="BH89" s="429" t="str">
        <f t="shared" si="78"/>
        <v/>
      </c>
      <c r="BI89" s="393">
        <f>IF($AW89&lt;&gt;BI$3,COUNTIF($AW$8:$AW89,"&lt;&gt;"&amp;BI$3),0)</f>
        <v>0</v>
      </c>
      <c r="BJ89" s="429" t="str">
        <f t="shared" si="79"/>
        <v/>
      </c>
      <c r="BK89" s="433"/>
      <c r="BL89" s="433"/>
    </row>
    <row r="90" spans="1:64" ht="15" customHeight="1">
      <c r="A90" s="362"/>
      <c r="B90" s="570"/>
      <c r="C90" s="362"/>
      <c r="D90" s="362"/>
      <c r="E90" s="362"/>
      <c r="F90" s="362"/>
      <c r="G90" s="362"/>
      <c r="H90" s="362"/>
      <c r="I90" s="362"/>
      <c r="J90" s="362"/>
      <c r="K90" s="362"/>
      <c r="L90" s="362"/>
      <c r="M90" s="362"/>
      <c r="N90" s="362"/>
      <c r="O90" s="362"/>
      <c r="Q90" s="557"/>
      <c r="R90" s="558"/>
      <c r="S90" s="558"/>
      <c r="T90" s="558"/>
      <c r="U90" s="558"/>
      <c r="V90" s="558"/>
      <c r="W90" s="558"/>
      <c r="X90" s="558"/>
      <c r="Y90" s="558"/>
      <c r="Z90" s="558"/>
      <c r="AA90" s="558"/>
      <c r="AB90" s="558"/>
      <c r="AC90" s="558"/>
      <c r="AD90" s="558"/>
      <c r="AE90" s="558"/>
      <c r="AF90" s="558"/>
      <c r="AK90" s="383"/>
      <c r="AO90" s="448"/>
      <c r="AP90" s="448"/>
      <c r="AQ90" s="466"/>
      <c r="AS90" s="466"/>
      <c r="AT90" s="393">
        <f t="shared" si="73"/>
        <v>83</v>
      </c>
      <c r="AU90" s="823" t="str">
        <f>AT90&amp;" "&amp;IF(AW90&lt;&gt;"-",【様式2】職員名簿!B121&amp;"/"&amp;AV90&amp;"/"&amp;AW90,"")</f>
        <v xml:space="preserve">83 </v>
      </c>
      <c r="AV90" s="823">
        <f>【様式2】職員名簿!E121</f>
        <v>0</v>
      </c>
      <c r="AW90" s="823" t="str">
        <f>IF(【様式2】職員名簿!J121="エラー","-",【様式2】職員名簿!J121)</f>
        <v>-</v>
      </c>
      <c r="AX90" s="394">
        <f>IF($AV90="常勤",$AM$2,IF($AV90="非常勤",【様式2】職員名簿!G121,0))</f>
        <v>0</v>
      </c>
      <c r="AY90" s="428">
        <f>IF($AW90=AY$3,COUNTIF($AW$8:$AW90,AY$3),0)</f>
        <v>0</v>
      </c>
      <c r="AZ90" s="429" t="str">
        <f t="shared" si="74"/>
        <v/>
      </c>
      <c r="BA90" s="430">
        <f>IF($AW90=BA$3,COUNTIF($AW$8:$AW90,BA$3),0)</f>
        <v>0</v>
      </c>
      <c r="BB90" s="429" t="str">
        <f t="shared" si="75"/>
        <v/>
      </c>
      <c r="BC90" s="431">
        <f>IF($AW90=BC$3,COUNTIF($AW$8:$AW90,BC$3),0)</f>
        <v>0</v>
      </c>
      <c r="BD90" s="429" t="str">
        <f t="shared" si="76"/>
        <v/>
      </c>
      <c r="BE90" s="393">
        <f>IF(OR($AW90=BE$3,$AW90=BE$4),COUNTIF($AW$8:$AW90,BE$3)+COUNTIF($AW$8:$AW90,BE$4),0)</f>
        <v>0</v>
      </c>
      <c r="BF90" s="429" t="str">
        <f t="shared" si="77"/>
        <v/>
      </c>
      <c r="BG90" s="393">
        <f>IF($AW90=BG$3,COUNTIF($AW$8:$AW90,BG$3),0)</f>
        <v>0</v>
      </c>
      <c r="BH90" s="429" t="str">
        <f t="shared" si="78"/>
        <v/>
      </c>
      <c r="BI90" s="393">
        <f>IF($AW90&lt;&gt;BI$3,COUNTIF($AW$8:$AW90,"&lt;&gt;"&amp;BI$3),0)</f>
        <v>0</v>
      </c>
      <c r="BJ90" s="429" t="str">
        <f t="shared" si="79"/>
        <v/>
      </c>
      <c r="BK90" s="433"/>
      <c r="BL90" s="433"/>
    </row>
    <row r="91" spans="1:64" ht="15" customHeight="1">
      <c r="A91" s="362"/>
      <c r="B91" s="362"/>
      <c r="C91" s="362"/>
      <c r="D91" s="362"/>
      <c r="E91" s="362"/>
      <c r="F91" s="362"/>
      <c r="G91" s="362"/>
      <c r="H91" s="362"/>
      <c r="I91" s="362"/>
      <c r="J91" s="362"/>
      <c r="K91" s="362"/>
      <c r="L91" s="362"/>
      <c r="M91" s="362"/>
      <c r="N91" s="362"/>
      <c r="O91" s="362"/>
      <c r="P91" s="466"/>
      <c r="Q91" s="561"/>
      <c r="R91" s="558"/>
      <c r="S91" s="558"/>
      <c r="T91" s="558"/>
      <c r="U91" s="558"/>
      <c r="V91" s="558"/>
      <c r="W91" s="558"/>
      <c r="X91" s="558"/>
      <c r="Y91" s="558"/>
      <c r="Z91" s="558"/>
      <c r="AA91" s="558"/>
      <c r="AB91" s="558"/>
      <c r="AC91" s="558"/>
      <c r="AD91" s="558"/>
      <c r="AE91" s="558"/>
      <c r="AF91" s="558"/>
      <c r="AG91" s="558"/>
      <c r="AH91" s="558"/>
      <c r="AI91" s="558"/>
      <c r="AJ91" s="558"/>
      <c r="AK91" s="383"/>
      <c r="AO91" s="448"/>
      <c r="AP91" s="448"/>
      <c r="AQ91" s="466"/>
      <c r="AR91" s="448"/>
      <c r="AS91" s="466"/>
      <c r="AT91" s="393">
        <f t="shared" si="73"/>
        <v>84</v>
      </c>
      <c r="AU91" s="823" t="str">
        <f>AT91&amp;" "&amp;IF(AW91&lt;&gt;"-",【様式2】職員名簿!B122&amp;"/"&amp;AV91&amp;"/"&amp;AW91,"")</f>
        <v xml:space="preserve">84 </v>
      </c>
      <c r="AV91" s="823">
        <f>【様式2】職員名簿!E122</f>
        <v>0</v>
      </c>
      <c r="AW91" s="823" t="str">
        <f>IF(【様式2】職員名簿!J122="エラー","-",【様式2】職員名簿!J122)</f>
        <v>-</v>
      </c>
      <c r="AX91" s="394">
        <f>IF($AV91="常勤",$AM$2,IF($AV91="非常勤",【様式2】職員名簿!G122,0))</f>
        <v>0</v>
      </c>
      <c r="AY91" s="428">
        <f>IF($AW91=AY$3,COUNTIF($AW$8:$AW91,AY$3),0)</f>
        <v>0</v>
      </c>
      <c r="AZ91" s="429" t="str">
        <f t="shared" si="74"/>
        <v/>
      </c>
      <c r="BA91" s="430">
        <f>IF($AW91=BA$3,COUNTIF($AW$8:$AW91,BA$3),0)</f>
        <v>0</v>
      </c>
      <c r="BB91" s="429" t="str">
        <f t="shared" si="75"/>
        <v/>
      </c>
      <c r="BC91" s="431">
        <f>IF($AW91=BC$3,COUNTIF($AW$8:$AW91,BC$3),0)</f>
        <v>0</v>
      </c>
      <c r="BD91" s="429" t="str">
        <f t="shared" si="76"/>
        <v/>
      </c>
      <c r="BE91" s="393">
        <f>IF(OR($AW91=BE$3,$AW91=BE$4),COUNTIF($AW$8:$AW91,BE$3)+COUNTIF($AW$8:$AW91,BE$4),0)</f>
        <v>0</v>
      </c>
      <c r="BF91" s="429" t="str">
        <f t="shared" si="77"/>
        <v/>
      </c>
      <c r="BG91" s="393">
        <f>IF($AW91=BG$3,COUNTIF($AW$8:$AW91,BG$3),0)</f>
        <v>0</v>
      </c>
      <c r="BH91" s="429" t="str">
        <f t="shared" si="78"/>
        <v/>
      </c>
      <c r="BI91" s="393">
        <f>IF($AW91&lt;&gt;BI$3,COUNTIF($AW$8:$AW91,"&lt;&gt;"&amp;BI$3),0)</f>
        <v>0</v>
      </c>
      <c r="BJ91" s="429" t="str">
        <f t="shared" si="79"/>
        <v/>
      </c>
      <c r="BK91" s="433"/>
      <c r="BL91" s="433"/>
    </row>
    <row r="92" spans="1:64" ht="15" customHeight="1">
      <c r="A92" s="362"/>
      <c r="B92" s="362"/>
      <c r="C92" s="362"/>
      <c r="D92" s="362"/>
      <c r="E92" s="362"/>
      <c r="F92" s="362"/>
      <c r="G92" s="362"/>
      <c r="H92" s="362"/>
      <c r="I92" s="362"/>
      <c r="J92" s="362"/>
      <c r="K92" s="362"/>
      <c r="L92" s="362"/>
      <c r="M92" s="362"/>
      <c r="N92" s="362"/>
      <c r="O92" s="362"/>
      <c r="P92" s="466"/>
      <c r="Q92" s="561"/>
      <c r="R92" s="558"/>
      <c r="S92" s="558"/>
      <c r="T92" s="558"/>
      <c r="U92" s="558"/>
      <c r="V92" s="558"/>
      <c r="W92" s="558"/>
      <c r="X92" s="558"/>
      <c r="Y92" s="558"/>
      <c r="Z92" s="558"/>
      <c r="AA92" s="558"/>
      <c r="AB92" s="558"/>
      <c r="AC92" s="558"/>
      <c r="AD92" s="558"/>
      <c r="AE92" s="558"/>
      <c r="AF92" s="558"/>
      <c r="AG92" s="558"/>
      <c r="AH92" s="558"/>
      <c r="AI92" s="558"/>
      <c r="AJ92" s="558"/>
      <c r="AK92" s="383"/>
      <c r="AQ92" s="466"/>
      <c r="AR92" s="448"/>
      <c r="AS92" s="466"/>
      <c r="AT92" s="393">
        <f t="shared" si="73"/>
        <v>85</v>
      </c>
      <c r="AU92" s="823" t="str">
        <f>AT92&amp;" "&amp;IF(AW92&lt;&gt;"-",【様式2】職員名簿!B123&amp;"/"&amp;AV92&amp;"/"&amp;AW92,"")</f>
        <v xml:space="preserve">85 </v>
      </c>
      <c r="AV92" s="823">
        <f>【様式2】職員名簿!E123</f>
        <v>0</v>
      </c>
      <c r="AW92" s="823" t="str">
        <f>IF(【様式2】職員名簿!J123="エラー","-",【様式2】職員名簿!J123)</f>
        <v>-</v>
      </c>
      <c r="AX92" s="394">
        <f>IF($AV92="常勤",$AM$2,IF($AV92="非常勤",【様式2】職員名簿!G123,0))</f>
        <v>0</v>
      </c>
      <c r="AY92" s="428">
        <f>IF($AW92=AY$3,COUNTIF($AW$8:$AW92,AY$3),0)</f>
        <v>0</v>
      </c>
      <c r="AZ92" s="429" t="str">
        <f t="shared" si="74"/>
        <v/>
      </c>
      <c r="BA92" s="430">
        <f>IF($AW92=BA$3,COUNTIF($AW$8:$AW92,BA$3),0)</f>
        <v>0</v>
      </c>
      <c r="BB92" s="429" t="str">
        <f t="shared" si="75"/>
        <v/>
      </c>
      <c r="BC92" s="431">
        <f>IF($AW92=BC$3,COUNTIF($AW$8:$AW92,BC$3),0)</f>
        <v>0</v>
      </c>
      <c r="BD92" s="429" t="str">
        <f t="shared" si="76"/>
        <v/>
      </c>
      <c r="BE92" s="393">
        <f>IF(OR($AW92=BE$3,$AW92=BE$4),COUNTIF($AW$8:$AW92,BE$3)+COUNTIF($AW$8:$AW92,BE$4),0)</f>
        <v>0</v>
      </c>
      <c r="BF92" s="429" t="str">
        <f t="shared" si="77"/>
        <v/>
      </c>
      <c r="BG92" s="393">
        <f>IF($AW92=BG$3,COUNTIF($AW$8:$AW92,BG$3),0)</f>
        <v>0</v>
      </c>
      <c r="BH92" s="429" t="str">
        <f t="shared" si="78"/>
        <v/>
      </c>
      <c r="BI92" s="393">
        <f>IF($AW92&lt;&gt;BI$3,COUNTIF($AW$8:$AW92,"&lt;&gt;"&amp;BI$3),0)</f>
        <v>0</v>
      </c>
      <c r="BJ92" s="429" t="str">
        <f t="shared" si="79"/>
        <v/>
      </c>
      <c r="BK92" s="433"/>
      <c r="BL92" s="433"/>
    </row>
    <row r="93" spans="1:64" ht="15" customHeight="1">
      <c r="A93" s="362"/>
      <c r="B93" s="362"/>
      <c r="C93" s="362"/>
      <c r="D93" s="362"/>
      <c r="E93" s="362"/>
      <c r="F93" s="362"/>
      <c r="G93" s="362"/>
      <c r="H93" s="362"/>
      <c r="I93" s="362"/>
      <c r="J93" s="362"/>
      <c r="K93" s="362"/>
      <c r="L93" s="362"/>
      <c r="M93" s="362"/>
      <c r="N93" s="362"/>
      <c r="O93" s="362"/>
      <c r="P93" s="466"/>
      <c r="Q93" s="561"/>
      <c r="R93" s="558"/>
      <c r="S93" s="558"/>
      <c r="T93" s="558"/>
      <c r="U93" s="558"/>
      <c r="V93" s="558"/>
      <c r="W93" s="558"/>
      <c r="X93" s="558"/>
      <c r="Y93" s="558"/>
      <c r="Z93" s="558"/>
      <c r="AA93" s="558"/>
      <c r="AB93" s="558"/>
      <c r="AC93" s="558"/>
      <c r="AD93" s="558"/>
      <c r="AE93" s="558"/>
      <c r="AF93" s="558"/>
      <c r="AG93" s="558"/>
      <c r="AH93" s="558"/>
      <c r="AI93" s="558"/>
      <c r="AJ93" s="558"/>
      <c r="AO93" s="448"/>
      <c r="AP93" s="448"/>
      <c r="AQ93" s="466"/>
      <c r="AR93" s="448"/>
      <c r="AS93" s="466"/>
      <c r="AT93" s="393">
        <f t="shared" si="73"/>
        <v>86</v>
      </c>
      <c r="AU93" s="823" t="str">
        <f>AT93&amp;" "&amp;IF(AW93&lt;&gt;"-",【様式2】職員名簿!B124&amp;"/"&amp;AV93&amp;"/"&amp;AW93,"")</f>
        <v xml:space="preserve">86 </v>
      </c>
      <c r="AV93" s="823">
        <f>【様式2】職員名簿!E124</f>
        <v>0</v>
      </c>
      <c r="AW93" s="823" t="str">
        <f>IF(【様式2】職員名簿!J124="エラー","-",【様式2】職員名簿!J124)</f>
        <v>-</v>
      </c>
      <c r="AX93" s="394">
        <f>IF($AV93="常勤",$AM$2,IF($AV93="非常勤",【様式2】職員名簿!G124,0))</f>
        <v>0</v>
      </c>
      <c r="AY93" s="428">
        <f>IF($AW93=AY$3,COUNTIF($AW$8:$AW93,AY$3),0)</f>
        <v>0</v>
      </c>
      <c r="AZ93" s="429" t="str">
        <f t="shared" si="74"/>
        <v/>
      </c>
      <c r="BA93" s="430">
        <f>IF($AW93=BA$3,COUNTIF($AW$8:$AW93,BA$3),0)</f>
        <v>0</v>
      </c>
      <c r="BB93" s="429" t="str">
        <f t="shared" si="75"/>
        <v/>
      </c>
      <c r="BC93" s="431">
        <f>IF($AW93=BC$3,COUNTIF($AW$8:$AW93,BC$3),0)</f>
        <v>0</v>
      </c>
      <c r="BD93" s="429" t="str">
        <f t="shared" si="76"/>
        <v/>
      </c>
      <c r="BE93" s="393">
        <f>IF(OR($AW93=BE$3,$AW93=BE$4),COUNTIF($AW$8:$AW93,BE$3)+COUNTIF($AW$8:$AW93,BE$4),0)</f>
        <v>0</v>
      </c>
      <c r="BF93" s="429" t="str">
        <f t="shared" si="77"/>
        <v/>
      </c>
      <c r="BG93" s="393">
        <f>IF($AW93=BG$3,COUNTIF($AW$8:$AW93,BG$3),0)</f>
        <v>0</v>
      </c>
      <c r="BH93" s="429" t="str">
        <f t="shared" si="78"/>
        <v/>
      </c>
      <c r="BI93" s="393">
        <f>IF($AW93&lt;&gt;BI$3,COUNTIF($AW$8:$AW93,"&lt;&gt;"&amp;BI$3),0)</f>
        <v>0</v>
      </c>
      <c r="BJ93" s="429" t="str">
        <f t="shared" si="79"/>
        <v/>
      </c>
      <c r="BK93" s="433"/>
      <c r="BL93" s="433"/>
    </row>
    <row r="94" spans="1:64">
      <c r="A94" s="362"/>
      <c r="B94" s="362"/>
      <c r="C94" s="362"/>
      <c r="D94" s="362"/>
      <c r="E94" s="362"/>
      <c r="F94" s="362"/>
      <c r="G94" s="362"/>
      <c r="H94" s="362"/>
      <c r="I94" s="362"/>
      <c r="J94" s="362"/>
      <c r="K94" s="362"/>
      <c r="L94" s="362"/>
      <c r="M94" s="362"/>
      <c r="N94" s="362"/>
      <c r="O94" s="362"/>
      <c r="P94" s="466"/>
      <c r="Q94" s="561"/>
      <c r="R94" s="563"/>
      <c r="S94" s="563"/>
      <c r="T94" s="563"/>
      <c r="U94" s="558"/>
      <c r="V94" s="558"/>
      <c r="W94" s="558"/>
      <c r="X94" s="558"/>
      <c r="Y94" s="558"/>
      <c r="Z94" s="558"/>
      <c r="AA94" s="558"/>
      <c r="AB94" s="558"/>
      <c r="AC94" s="558"/>
      <c r="AD94" s="558"/>
      <c r="AE94" s="558"/>
      <c r="AF94" s="558"/>
      <c r="AG94" s="558"/>
      <c r="AH94" s="558"/>
      <c r="AI94" s="558"/>
      <c r="AJ94" s="558"/>
      <c r="AO94" s="448"/>
      <c r="AP94" s="448"/>
      <c r="AQ94" s="466"/>
      <c r="AR94" s="466"/>
      <c r="AS94" s="466"/>
      <c r="AT94" s="393">
        <f t="shared" si="73"/>
        <v>87</v>
      </c>
      <c r="AU94" s="823" t="str">
        <f>AT94&amp;" "&amp;IF(AW94&lt;&gt;"-",【様式2】職員名簿!B125&amp;"/"&amp;AV94&amp;"/"&amp;AW94,"")</f>
        <v xml:space="preserve">87 </v>
      </c>
      <c r="AV94" s="823">
        <f>【様式2】職員名簿!E125</f>
        <v>0</v>
      </c>
      <c r="AW94" s="823" t="str">
        <f>IF(【様式2】職員名簿!J125="エラー","-",【様式2】職員名簿!J125)</f>
        <v>-</v>
      </c>
      <c r="AX94" s="394">
        <f>IF($AV94="常勤",$AM$2,IF($AV94="非常勤",【様式2】職員名簿!G125,0))</f>
        <v>0</v>
      </c>
      <c r="AY94" s="428">
        <f>IF($AW94=AY$3,COUNTIF($AW$8:$AW94,AY$3),0)</f>
        <v>0</v>
      </c>
      <c r="AZ94" s="429" t="str">
        <f t="shared" si="74"/>
        <v/>
      </c>
      <c r="BA94" s="430">
        <f>IF($AW94=BA$3,COUNTIF($AW$8:$AW94,BA$3),0)</f>
        <v>0</v>
      </c>
      <c r="BB94" s="429" t="str">
        <f t="shared" si="75"/>
        <v/>
      </c>
      <c r="BC94" s="431">
        <f>IF($AW94=BC$3,COUNTIF($AW$8:$AW94,BC$3),0)</f>
        <v>0</v>
      </c>
      <c r="BD94" s="429" t="str">
        <f t="shared" si="76"/>
        <v/>
      </c>
      <c r="BE94" s="393">
        <f>IF(OR($AW94=BE$3,$AW94=BE$4),COUNTIF($AW$8:$AW94,BE$3)+COUNTIF($AW$8:$AW94,BE$4),0)</f>
        <v>0</v>
      </c>
      <c r="BF94" s="429" t="str">
        <f t="shared" si="77"/>
        <v/>
      </c>
      <c r="BG94" s="393">
        <f>IF($AW94=BG$3,COUNTIF($AW$8:$AW94,BG$3),0)</f>
        <v>0</v>
      </c>
      <c r="BH94" s="429" t="str">
        <f t="shared" si="78"/>
        <v/>
      </c>
      <c r="BI94" s="393">
        <f>IF($AW94&lt;&gt;BI$3,COUNTIF($AW$8:$AW94,"&lt;&gt;"&amp;BI$3),0)</f>
        <v>0</v>
      </c>
      <c r="BJ94" s="429" t="str">
        <f t="shared" si="79"/>
        <v/>
      </c>
      <c r="BK94" s="433"/>
      <c r="BL94" s="433"/>
    </row>
    <row r="95" spans="1:64" ht="15" customHeight="1">
      <c r="A95" s="362"/>
      <c r="B95" s="362"/>
      <c r="C95" s="362"/>
      <c r="D95" s="362"/>
      <c r="E95" s="362"/>
      <c r="F95" s="362"/>
      <c r="G95" s="362"/>
      <c r="H95" s="362"/>
      <c r="I95" s="362"/>
      <c r="J95" s="362"/>
      <c r="K95" s="362"/>
      <c r="L95" s="362"/>
      <c r="M95" s="362"/>
      <c r="N95" s="362"/>
      <c r="O95" s="362"/>
      <c r="P95" s="466"/>
      <c r="Q95" s="561"/>
      <c r="R95" s="563"/>
      <c r="S95" s="563"/>
      <c r="T95" s="563"/>
      <c r="U95" s="558"/>
      <c r="V95" s="558"/>
      <c r="W95" s="558"/>
      <c r="X95" s="558"/>
      <c r="Y95" s="558"/>
      <c r="Z95" s="558"/>
      <c r="AA95" s="558"/>
      <c r="AB95" s="558"/>
      <c r="AC95" s="558"/>
      <c r="AD95" s="558"/>
      <c r="AE95" s="558"/>
      <c r="AF95" s="558"/>
      <c r="AG95" s="558"/>
      <c r="AH95" s="558"/>
      <c r="AI95" s="558"/>
      <c r="AJ95" s="558"/>
      <c r="AO95" s="466"/>
      <c r="AP95" s="466"/>
      <c r="AQ95" s="466"/>
      <c r="AR95" s="466"/>
      <c r="AS95" s="466"/>
      <c r="AT95" s="393">
        <f t="shared" si="73"/>
        <v>88</v>
      </c>
      <c r="AU95" s="823" t="str">
        <f>AT95&amp;" "&amp;IF(AW95&lt;&gt;"-",【様式2】職員名簿!B126&amp;"/"&amp;AV95&amp;"/"&amp;AW95,"")</f>
        <v xml:space="preserve">88 </v>
      </c>
      <c r="AV95" s="823">
        <f>【様式2】職員名簿!E126</f>
        <v>0</v>
      </c>
      <c r="AW95" s="823" t="str">
        <f>IF(【様式2】職員名簿!J126="エラー","-",【様式2】職員名簿!J126)</f>
        <v>-</v>
      </c>
      <c r="AX95" s="394">
        <f>IF($AV95="常勤",$AM$2,IF($AV95="非常勤",【様式2】職員名簿!G126,0))</f>
        <v>0</v>
      </c>
      <c r="AY95" s="428">
        <f>IF($AW95=AY$3,COUNTIF($AW$8:$AW95,AY$3),0)</f>
        <v>0</v>
      </c>
      <c r="AZ95" s="429" t="str">
        <f t="shared" si="74"/>
        <v/>
      </c>
      <c r="BA95" s="430">
        <f>IF($AW95=BA$3,COUNTIF($AW$8:$AW95,BA$3),0)</f>
        <v>0</v>
      </c>
      <c r="BB95" s="429" t="str">
        <f t="shared" si="75"/>
        <v/>
      </c>
      <c r="BC95" s="431">
        <f>IF($AW95=BC$3,COUNTIF($AW$8:$AW95,BC$3),0)</f>
        <v>0</v>
      </c>
      <c r="BD95" s="429" t="str">
        <f t="shared" si="76"/>
        <v/>
      </c>
      <c r="BE95" s="393">
        <f>IF(OR($AW95=BE$3,$AW95=BE$4),COUNTIF($AW$8:$AW95,BE$3)+COUNTIF($AW$8:$AW95,BE$4),0)</f>
        <v>0</v>
      </c>
      <c r="BF95" s="429" t="str">
        <f t="shared" si="77"/>
        <v/>
      </c>
      <c r="BG95" s="393">
        <f>IF($AW95=BG$3,COUNTIF($AW$8:$AW95,BG$3),0)</f>
        <v>0</v>
      </c>
      <c r="BH95" s="429" t="str">
        <f t="shared" si="78"/>
        <v/>
      </c>
      <c r="BI95" s="393">
        <f>IF($AW95&lt;&gt;BI$3,COUNTIF($AW$8:$AW95,"&lt;&gt;"&amp;BI$3),0)</f>
        <v>0</v>
      </c>
      <c r="BJ95" s="429" t="str">
        <f t="shared" si="79"/>
        <v/>
      </c>
      <c r="BK95" s="433"/>
      <c r="BL95" s="433"/>
    </row>
    <row r="96" spans="1:64" ht="15" customHeight="1">
      <c r="A96" s="362"/>
      <c r="B96" s="362"/>
      <c r="C96" s="362"/>
      <c r="D96" s="362"/>
      <c r="E96" s="362"/>
      <c r="F96" s="362"/>
      <c r="G96" s="362"/>
      <c r="H96" s="362"/>
      <c r="I96" s="362"/>
      <c r="J96" s="362"/>
      <c r="K96" s="362"/>
      <c r="L96" s="362"/>
      <c r="M96" s="362"/>
      <c r="N96" s="362"/>
      <c r="O96" s="362"/>
      <c r="P96" s="466"/>
      <c r="Q96" s="561"/>
      <c r="R96" s="563"/>
      <c r="S96" s="563"/>
      <c r="T96" s="563"/>
      <c r="U96" s="563"/>
      <c r="V96" s="563"/>
      <c r="W96" s="563"/>
      <c r="X96" s="563"/>
      <c r="Y96" s="563"/>
      <c r="Z96" s="563"/>
      <c r="AA96" s="563"/>
      <c r="AB96" s="563"/>
      <c r="AC96" s="563"/>
      <c r="AD96" s="563"/>
      <c r="AE96" s="563"/>
      <c r="AF96" s="563"/>
      <c r="AG96" s="558"/>
      <c r="AH96" s="558"/>
      <c r="AI96" s="558"/>
      <c r="AJ96" s="558"/>
      <c r="AO96" s="466"/>
      <c r="AP96" s="466"/>
      <c r="AQ96" s="466"/>
      <c r="AR96" s="466"/>
      <c r="AS96" s="466"/>
      <c r="AT96" s="393">
        <f t="shared" si="73"/>
        <v>89</v>
      </c>
      <c r="AU96" s="823" t="str">
        <f>AT96&amp;" "&amp;IF(AW96&lt;&gt;"-",【様式2】職員名簿!B127&amp;"/"&amp;AV96&amp;"/"&amp;AW96,"")</f>
        <v xml:space="preserve">89 </v>
      </c>
      <c r="AV96" s="823">
        <f>【様式2】職員名簿!E127</f>
        <v>0</v>
      </c>
      <c r="AW96" s="823" t="str">
        <f>IF(【様式2】職員名簿!J127="エラー","-",【様式2】職員名簿!J127)</f>
        <v>-</v>
      </c>
      <c r="AX96" s="394">
        <f>IF($AV96="常勤",$AM$2,IF($AV96="非常勤",【様式2】職員名簿!G127,0))</f>
        <v>0</v>
      </c>
      <c r="AY96" s="428">
        <f>IF($AW96=AY$3,COUNTIF($AW$8:$AW96,AY$3),0)</f>
        <v>0</v>
      </c>
      <c r="AZ96" s="429" t="str">
        <f t="shared" si="74"/>
        <v/>
      </c>
      <c r="BA96" s="430">
        <f>IF($AW96=BA$3,COUNTIF($AW$8:$AW96,BA$3),0)</f>
        <v>0</v>
      </c>
      <c r="BB96" s="429" t="str">
        <f t="shared" si="75"/>
        <v/>
      </c>
      <c r="BC96" s="431">
        <f>IF($AW96=BC$3,COUNTIF($AW$8:$AW96,BC$3),0)</f>
        <v>0</v>
      </c>
      <c r="BD96" s="429" t="str">
        <f t="shared" si="76"/>
        <v/>
      </c>
      <c r="BE96" s="393">
        <f>IF(OR($AW96=BE$3,$AW96=BE$4),COUNTIF($AW$8:$AW96,BE$3)+COUNTIF($AW$8:$AW96,BE$4),0)</f>
        <v>0</v>
      </c>
      <c r="BF96" s="429" t="str">
        <f t="shared" si="77"/>
        <v/>
      </c>
      <c r="BG96" s="393">
        <f>IF($AW96=BG$3,COUNTIF($AW$8:$AW96,BG$3),0)</f>
        <v>0</v>
      </c>
      <c r="BH96" s="429" t="str">
        <f t="shared" si="78"/>
        <v/>
      </c>
      <c r="BI96" s="393">
        <f>IF($AW96&lt;&gt;BI$3,COUNTIF($AW$8:$AW96,"&lt;&gt;"&amp;BI$3),0)</f>
        <v>0</v>
      </c>
      <c r="BJ96" s="429" t="str">
        <f t="shared" si="79"/>
        <v/>
      </c>
      <c r="BK96" s="433"/>
      <c r="BL96" s="433"/>
    </row>
    <row r="97" spans="1:64" ht="15" customHeight="1">
      <c r="A97" s="362"/>
      <c r="B97" s="362"/>
      <c r="C97" s="362"/>
      <c r="D97" s="362"/>
      <c r="E97" s="362"/>
      <c r="F97" s="362"/>
      <c r="G97" s="362"/>
      <c r="H97" s="362"/>
      <c r="I97" s="362"/>
      <c r="J97" s="362"/>
      <c r="K97" s="362"/>
      <c r="L97" s="362"/>
      <c r="M97" s="362"/>
      <c r="N97" s="362"/>
      <c r="O97" s="362"/>
      <c r="P97" s="466"/>
      <c r="Q97" s="571"/>
      <c r="R97" s="571"/>
      <c r="S97" s="571"/>
      <c r="T97" s="571"/>
      <c r="U97" s="563"/>
      <c r="V97" s="563"/>
      <c r="W97" s="563"/>
      <c r="X97" s="563"/>
      <c r="Y97" s="563"/>
      <c r="Z97" s="563"/>
      <c r="AA97" s="563"/>
      <c r="AB97" s="563"/>
      <c r="AC97" s="563"/>
      <c r="AD97" s="563"/>
      <c r="AE97" s="563"/>
      <c r="AF97" s="563"/>
      <c r="AG97" s="558"/>
      <c r="AH97" s="558"/>
      <c r="AI97" s="558"/>
      <c r="AJ97" s="558"/>
      <c r="AO97" s="466"/>
      <c r="AP97" s="466"/>
      <c r="AQ97" s="466"/>
      <c r="AR97" s="466"/>
      <c r="AS97" s="466"/>
      <c r="AT97" s="393">
        <f t="shared" si="73"/>
        <v>90</v>
      </c>
      <c r="AU97" s="823" t="str">
        <f>AT97&amp;" "&amp;IF(AW97&lt;&gt;"-",【様式2】職員名簿!B128&amp;"/"&amp;AV97&amp;"/"&amp;AW97,"")</f>
        <v xml:space="preserve">90 </v>
      </c>
      <c r="AV97" s="823">
        <f>【様式2】職員名簿!E128</f>
        <v>0</v>
      </c>
      <c r="AW97" s="823" t="str">
        <f>IF(【様式2】職員名簿!J128="エラー","-",【様式2】職員名簿!J128)</f>
        <v>-</v>
      </c>
      <c r="AX97" s="394">
        <f>IF($AV97="常勤",$AM$2,IF($AV97="非常勤",【様式2】職員名簿!G128,0))</f>
        <v>0</v>
      </c>
      <c r="AY97" s="428">
        <f>IF($AW97=AY$3,COUNTIF($AW$8:$AW97,AY$3),0)</f>
        <v>0</v>
      </c>
      <c r="AZ97" s="429" t="str">
        <f t="shared" si="74"/>
        <v/>
      </c>
      <c r="BA97" s="430">
        <f>IF($AW97=BA$3,COUNTIF($AW$8:$AW97,BA$3),0)</f>
        <v>0</v>
      </c>
      <c r="BB97" s="429" t="str">
        <f t="shared" si="75"/>
        <v/>
      </c>
      <c r="BC97" s="431">
        <f>IF($AW97=BC$3,COUNTIF($AW$8:$AW97,BC$3),0)</f>
        <v>0</v>
      </c>
      <c r="BD97" s="429" t="str">
        <f t="shared" si="76"/>
        <v/>
      </c>
      <c r="BE97" s="393">
        <f>IF(OR($AW97=BE$3,$AW97=BE$4),COUNTIF($AW$8:$AW97,BE$3)+COUNTIF($AW$8:$AW97,BE$4),0)</f>
        <v>0</v>
      </c>
      <c r="BF97" s="429" t="str">
        <f t="shared" si="77"/>
        <v/>
      </c>
      <c r="BG97" s="393">
        <f>IF($AW97=BG$3,COUNTIF($AW$8:$AW97,BG$3),0)</f>
        <v>0</v>
      </c>
      <c r="BH97" s="429" t="str">
        <f t="shared" si="78"/>
        <v/>
      </c>
      <c r="BI97" s="393">
        <f>IF($AW97&lt;&gt;BI$3,COUNTIF($AW$8:$AW97,"&lt;&gt;"&amp;BI$3),0)</f>
        <v>0</v>
      </c>
      <c r="BJ97" s="429" t="str">
        <f t="shared" si="79"/>
        <v/>
      </c>
      <c r="BK97" s="433"/>
      <c r="BL97" s="433"/>
    </row>
    <row r="98" spans="1:64" ht="15" customHeight="1">
      <c r="A98" s="362"/>
      <c r="B98" s="362"/>
      <c r="C98" s="362"/>
      <c r="D98" s="362"/>
      <c r="E98" s="362"/>
      <c r="F98" s="362"/>
      <c r="G98" s="435"/>
      <c r="H98" s="435"/>
      <c r="I98" s="435"/>
      <c r="J98" s="435"/>
      <c r="K98" s="435"/>
      <c r="L98" s="435"/>
      <c r="M98" s="362"/>
      <c r="N98" s="362"/>
      <c r="O98" s="362"/>
      <c r="P98" s="466"/>
      <c r="U98" s="563"/>
      <c r="V98" s="563"/>
      <c r="W98" s="563"/>
      <c r="X98" s="563"/>
      <c r="Y98" s="563"/>
      <c r="Z98" s="563"/>
      <c r="AA98" s="563"/>
      <c r="AB98" s="563"/>
      <c r="AC98" s="563"/>
      <c r="AD98" s="563"/>
      <c r="AE98" s="563"/>
      <c r="AF98" s="563"/>
      <c r="AG98" s="563"/>
      <c r="AH98" s="563"/>
      <c r="AI98" s="563"/>
      <c r="AJ98" s="563"/>
      <c r="AO98" s="466"/>
      <c r="AP98" s="466"/>
      <c r="AQ98" s="466"/>
      <c r="AR98" s="466"/>
      <c r="AS98" s="466"/>
      <c r="AT98" s="393">
        <f t="shared" si="73"/>
        <v>91</v>
      </c>
      <c r="AU98" s="823" t="str">
        <f>AT98&amp;" "&amp;IF(AW98&lt;&gt;"-",【様式2】職員名簿!B129&amp;"/"&amp;AV98&amp;"/"&amp;AW98,"")</f>
        <v xml:space="preserve">91 </v>
      </c>
      <c r="AV98" s="823">
        <f>【様式2】職員名簿!E129</f>
        <v>0</v>
      </c>
      <c r="AW98" s="823" t="str">
        <f>IF(【様式2】職員名簿!J129="エラー","-",【様式2】職員名簿!J129)</f>
        <v>-</v>
      </c>
      <c r="AX98" s="394">
        <f>IF($AV98="常勤",$AM$2,IF($AV98="非常勤",【様式2】職員名簿!G129,0))</f>
        <v>0</v>
      </c>
      <c r="AY98" s="428">
        <f>IF($AW98=AY$3,COUNTIF($AW$8:$AW98,AY$3),0)</f>
        <v>0</v>
      </c>
      <c r="AZ98" s="429" t="str">
        <f t="shared" si="74"/>
        <v/>
      </c>
      <c r="BA98" s="430">
        <f>IF($AW98=BA$3,COUNTIF($AW$8:$AW98,BA$3),0)</f>
        <v>0</v>
      </c>
      <c r="BB98" s="429" t="str">
        <f t="shared" si="75"/>
        <v/>
      </c>
      <c r="BC98" s="431">
        <f>IF($AW98=BC$3,COUNTIF($AW$8:$AW98,BC$3),0)</f>
        <v>0</v>
      </c>
      <c r="BD98" s="429" t="str">
        <f t="shared" si="76"/>
        <v/>
      </c>
      <c r="BE98" s="393">
        <f>IF(OR($AW98=BE$3,$AW98=BE$4),COUNTIF($AW$8:$AW98,BE$3)+COUNTIF($AW$8:$AW98,BE$4),0)</f>
        <v>0</v>
      </c>
      <c r="BF98" s="429" t="str">
        <f t="shared" si="77"/>
        <v/>
      </c>
      <c r="BG98" s="393">
        <f>IF($AW98=BG$3,COUNTIF($AW$8:$AW98,BG$3),0)</f>
        <v>0</v>
      </c>
      <c r="BH98" s="429" t="str">
        <f t="shared" si="78"/>
        <v/>
      </c>
      <c r="BI98" s="393">
        <f>IF($AW98&lt;&gt;BI$3,COUNTIF($AW$8:$AW98,"&lt;&gt;"&amp;BI$3),0)</f>
        <v>0</v>
      </c>
      <c r="BJ98" s="429" t="str">
        <f t="shared" si="79"/>
        <v/>
      </c>
      <c r="BK98" s="433"/>
      <c r="BL98" s="433"/>
    </row>
    <row r="99" spans="1:64" ht="15" customHeight="1">
      <c r="A99" s="362"/>
      <c r="B99" s="362"/>
      <c r="C99" s="362"/>
      <c r="D99" s="362"/>
      <c r="E99" s="362"/>
      <c r="F99" s="362"/>
      <c r="G99" s="435"/>
      <c r="H99" s="435"/>
      <c r="I99" s="435"/>
      <c r="J99" s="435"/>
      <c r="K99" s="435"/>
      <c r="L99" s="435"/>
      <c r="M99" s="362"/>
      <c r="N99" s="362"/>
      <c r="O99" s="362"/>
      <c r="P99" s="466"/>
      <c r="U99" s="571"/>
      <c r="V99" s="571"/>
      <c r="W99" s="571"/>
      <c r="X99" s="571"/>
      <c r="Y99" s="555"/>
      <c r="Z99" s="555"/>
      <c r="AA99" s="555"/>
      <c r="AB99" s="555"/>
      <c r="AC99" s="571"/>
      <c r="AD99" s="571"/>
      <c r="AE99" s="571"/>
      <c r="AF99" s="555"/>
      <c r="AG99" s="563"/>
      <c r="AH99" s="563"/>
      <c r="AI99" s="563"/>
      <c r="AJ99" s="563"/>
      <c r="AO99" s="466"/>
      <c r="AP99" s="466"/>
      <c r="AQ99" s="466"/>
      <c r="AR99" s="466"/>
      <c r="AS99" s="466"/>
      <c r="AT99" s="393">
        <f t="shared" si="73"/>
        <v>92</v>
      </c>
      <c r="AU99" s="823" t="str">
        <f>AT99&amp;" "&amp;IF(AW99&lt;&gt;"-",【様式2】職員名簿!B130&amp;"/"&amp;AV99&amp;"/"&amp;AW99,"")</f>
        <v xml:space="preserve">92 </v>
      </c>
      <c r="AV99" s="823">
        <f>【様式2】職員名簿!E130</f>
        <v>0</v>
      </c>
      <c r="AW99" s="823" t="str">
        <f>IF(【様式2】職員名簿!J130="エラー","-",【様式2】職員名簿!J130)</f>
        <v>-</v>
      </c>
      <c r="AX99" s="394">
        <f>IF($AV99="常勤",$AM$2,IF($AV99="非常勤",【様式2】職員名簿!G130,0))</f>
        <v>0</v>
      </c>
      <c r="AY99" s="428">
        <f>IF($AW99=AY$3,COUNTIF($AW$8:$AW99,AY$3),0)</f>
        <v>0</v>
      </c>
      <c r="AZ99" s="429" t="str">
        <f t="shared" si="74"/>
        <v/>
      </c>
      <c r="BA99" s="430">
        <f>IF($AW99=BA$3,COUNTIF($AW$8:$AW99,BA$3),0)</f>
        <v>0</v>
      </c>
      <c r="BB99" s="429" t="str">
        <f t="shared" si="75"/>
        <v/>
      </c>
      <c r="BC99" s="431">
        <f>IF($AW99=BC$3,COUNTIF($AW$8:$AW99,BC$3),0)</f>
        <v>0</v>
      </c>
      <c r="BD99" s="429" t="str">
        <f t="shared" si="76"/>
        <v/>
      </c>
      <c r="BE99" s="393">
        <f>IF(OR($AW99=BE$3,$AW99=BE$4),COUNTIF($AW$8:$AW99,BE$3)+COUNTIF($AW$8:$AW99,BE$4),0)</f>
        <v>0</v>
      </c>
      <c r="BF99" s="429" t="str">
        <f t="shared" si="77"/>
        <v/>
      </c>
      <c r="BG99" s="393">
        <f>IF($AW99=BG$3,COUNTIF($AW$8:$AW99,BG$3),0)</f>
        <v>0</v>
      </c>
      <c r="BH99" s="429" t="str">
        <f t="shared" si="78"/>
        <v/>
      </c>
      <c r="BI99" s="393">
        <f>IF($AW99&lt;&gt;BI$3,COUNTIF($AW$8:$AW99,"&lt;&gt;"&amp;BI$3),0)</f>
        <v>0</v>
      </c>
      <c r="BJ99" s="429" t="str">
        <f t="shared" si="79"/>
        <v/>
      </c>
      <c r="BK99" s="433"/>
      <c r="BL99" s="433"/>
    </row>
    <row r="100" spans="1:64" ht="15" customHeight="1">
      <c r="A100" s="362"/>
      <c r="B100" s="362"/>
      <c r="C100" s="362"/>
      <c r="D100" s="362"/>
      <c r="E100" s="362"/>
      <c r="F100" s="362"/>
      <c r="G100" s="435"/>
      <c r="H100" s="435"/>
      <c r="I100" s="435"/>
      <c r="J100" s="435"/>
      <c r="K100" s="435"/>
      <c r="L100" s="435"/>
      <c r="M100" s="362"/>
      <c r="N100" s="362"/>
      <c r="O100" s="362"/>
      <c r="P100" s="466"/>
      <c r="Q100" s="466"/>
      <c r="AG100" s="563"/>
      <c r="AH100" s="563"/>
      <c r="AI100" s="563"/>
      <c r="AJ100" s="563"/>
      <c r="AO100" s="466"/>
      <c r="AP100" s="466"/>
      <c r="AQ100" s="466"/>
      <c r="AR100" s="466"/>
      <c r="AS100" s="466"/>
      <c r="AT100" s="393">
        <f t="shared" si="73"/>
        <v>93</v>
      </c>
      <c r="AU100" s="823" t="str">
        <f>AT100&amp;" "&amp;IF(AW100&lt;&gt;"-",【様式2】職員名簿!B131&amp;"/"&amp;AV100&amp;"/"&amp;AW100,"")</f>
        <v xml:space="preserve">93 </v>
      </c>
      <c r="AV100" s="823">
        <f>【様式2】職員名簿!E131</f>
        <v>0</v>
      </c>
      <c r="AW100" s="823" t="str">
        <f>IF(【様式2】職員名簿!J131="エラー","-",【様式2】職員名簿!J131)</f>
        <v>-</v>
      </c>
      <c r="AX100" s="394">
        <f>IF($AV100="常勤",$AM$2,IF($AV100="非常勤",【様式2】職員名簿!G131,0))</f>
        <v>0</v>
      </c>
      <c r="AY100" s="428">
        <f>IF($AW100=AY$3,COUNTIF($AW$8:$AW100,AY$3),0)</f>
        <v>0</v>
      </c>
      <c r="AZ100" s="429" t="str">
        <f t="shared" si="74"/>
        <v/>
      </c>
      <c r="BA100" s="430">
        <f>IF($AW100=BA$3,COUNTIF($AW$8:$AW100,BA$3),0)</f>
        <v>0</v>
      </c>
      <c r="BB100" s="429" t="str">
        <f t="shared" si="75"/>
        <v/>
      </c>
      <c r="BC100" s="431">
        <f>IF($AW100=BC$3,COUNTIF($AW$8:$AW100,BC$3),0)</f>
        <v>0</v>
      </c>
      <c r="BD100" s="429" t="str">
        <f t="shared" si="76"/>
        <v/>
      </c>
      <c r="BE100" s="393">
        <f>IF(OR($AW100=BE$3,$AW100=BE$4),COUNTIF($AW$8:$AW100,BE$3)+COUNTIF($AW$8:$AW100,BE$4),0)</f>
        <v>0</v>
      </c>
      <c r="BF100" s="429" t="str">
        <f t="shared" si="77"/>
        <v/>
      </c>
      <c r="BG100" s="393">
        <f>IF($AW100=BG$3,COUNTIF($AW$8:$AW100,BG$3),0)</f>
        <v>0</v>
      </c>
      <c r="BH100" s="429" t="str">
        <f t="shared" si="78"/>
        <v/>
      </c>
      <c r="BI100" s="393">
        <f>IF($AW100&lt;&gt;BI$3,COUNTIF($AW$8:$AW100,"&lt;&gt;"&amp;BI$3),0)</f>
        <v>0</v>
      </c>
      <c r="BJ100" s="429" t="str">
        <f t="shared" si="79"/>
        <v/>
      </c>
      <c r="BK100" s="433"/>
      <c r="BL100" s="433"/>
    </row>
    <row r="101" spans="1:64" ht="15" customHeight="1">
      <c r="A101" s="362"/>
      <c r="B101" s="362"/>
      <c r="C101" s="362"/>
      <c r="D101" s="362"/>
      <c r="E101" s="362"/>
      <c r="F101" s="362"/>
      <c r="G101" s="435"/>
      <c r="H101" s="435"/>
      <c r="I101" s="435"/>
      <c r="J101" s="435"/>
      <c r="K101" s="435"/>
      <c r="L101" s="435"/>
      <c r="M101" s="362"/>
      <c r="N101" s="362"/>
      <c r="O101" s="362"/>
      <c r="P101" s="466"/>
      <c r="Q101" s="466"/>
      <c r="Y101" s="383"/>
      <c r="Z101" s="383"/>
      <c r="AA101" s="383"/>
      <c r="AB101" s="383"/>
      <c r="AF101" s="383"/>
      <c r="AG101" s="555"/>
      <c r="AH101" s="555"/>
      <c r="AI101" s="555"/>
      <c r="AJ101" s="555"/>
      <c r="AO101" s="466"/>
      <c r="AP101" s="466"/>
      <c r="AQ101" s="466"/>
      <c r="AR101" s="466"/>
      <c r="AS101" s="466"/>
      <c r="AT101" s="393">
        <f t="shared" si="73"/>
        <v>94</v>
      </c>
      <c r="AU101" s="823" t="str">
        <f>AT101&amp;" "&amp;IF(AW101&lt;&gt;"-",【様式2】職員名簿!B132&amp;"/"&amp;AV101&amp;"/"&amp;AW101,"")</f>
        <v xml:space="preserve">94 </v>
      </c>
      <c r="AV101" s="823">
        <f>【様式2】職員名簿!E132</f>
        <v>0</v>
      </c>
      <c r="AW101" s="823" t="str">
        <f>IF(【様式2】職員名簿!J132="エラー","-",【様式2】職員名簿!J132)</f>
        <v>-</v>
      </c>
      <c r="AX101" s="394">
        <f>IF($AV101="常勤",$AM$2,IF($AV101="非常勤",【様式2】職員名簿!G132,0))</f>
        <v>0</v>
      </c>
      <c r="AY101" s="428">
        <f>IF($AW101=AY$3,COUNTIF($AW$8:$AW101,AY$3),0)</f>
        <v>0</v>
      </c>
      <c r="AZ101" s="429" t="str">
        <f t="shared" si="74"/>
        <v/>
      </c>
      <c r="BA101" s="430">
        <f>IF($AW101=BA$3,COUNTIF($AW$8:$AW101,BA$3),0)</f>
        <v>0</v>
      </c>
      <c r="BB101" s="429" t="str">
        <f t="shared" si="75"/>
        <v/>
      </c>
      <c r="BC101" s="431">
        <f>IF($AW101=BC$3,COUNTIF($AW$8:$AW101,BC$3),0)</f>
        <v>0</v>
      </c>
      <c r="BD101" s="429" t="str">
        <f t="shared" si="76"/>
        <v/>
      </c>
      <c r="BE101" s="393">
        <f>IF(OR($AW101=BE$3,$AW101=BE$4),COUNTIF($AW$8:$AW101,BE$3)+COUNTIF($AW$8:$AW101,BE$4),0)</f>
        <v>0</v>
      </c>
      <c r="BF101" s="429" t="str">
        <f t="shared" si="77"/>
        <v/>
      </c>
      <c r="BG101" s="393">
        <f>IF($AW101=BG$3,COUNTIF($AW$8:$AW101,BG$3),0)</f>
        <v>0</v>
      </c>
      <c r="BH101" s="429" t="str">
        <f t="shared" si="78"/>
        <v/>
      </c>
      <c r="BI101" s="393">
        <f>IF($AW101&lt;&gt;BI$3,COUNTIF($AW$8:$AW101,"&lt;&gt;"&amp;BI$3),0)</f>
        <v>0</v>
      </c>
      <c r="BJ101" s="429" t="str">
        <f t="shared" si="79"/>
        <v/>
      </c>
      <c r="BK101" s="433"/>
      <c r="BL101" s="433"/>
    </row>
    <row r="102" spans="1:64" ht="15" customHeight="1">
      <c r="A102" s="362"/>
      <c r="B102" s="448"/>
      <c r="C102" s="448"/>
      <c r="D102" s="448"/>
      <c r="E102" s="448"/>
      <c r="F102" s="448"/>
      <c r="G102" s="435"/>
      <c r="H102" s="435"/>
      <c r="I102" s="435"/>
      <c r="J102" s="435"/>
      <c r="K102" s="435"/>
      <c r="L102" s="435"/>
      <c r="M102" s="448"/>
      <c r="N102" s="448"/>
      <c r="O102" s="448"/>
      <c r="P102" s="466"/>
      <c r="Q102" s="466"/>
      <c r="Y102" s="383"/>
      <c r="Z102" s="383"/>
      <c r="AA102" s="383"/>
      <c r="AB102" s="383"/>
      <c r="AF102" s="383"/>
      <c r="AO102" s="466"/>
      <c r="AP102" s="466"/>
      <c r="AQ102" s="466"/>
      <c r="AR102" s="466"/>
      <c r="AS102" s="466"/>
      <c r="AT102" s="393">
        <f t="shared" si="73"/>
        <v>95</v>
      </c>
      <c r="AU102" s="823" t="str">
        <f>AT102&amp;" "&amp;IF(AW102&lt;&gt;"-",【様式2】職員名簿!B133&amp;"/"&amp;AV102&amp;"/"&amp;AW102,"")</f>
        <v xml:space="preserve">95 </v>
      </c>
      <c r="AV102" s="823">
        <f>【様式2】職員名簿!E133</f>
        <v>0</v>
      </c>
      <c r="AW102" s="823" t="str">
        <f>IF(【様式2】職員名簿!J133="エラー","-",【様式2】職員名簿!J133)</f>
        <v>-</v>
      </c>
      <c r="AX102" s="394">
        <f>IF($AV102="常勤",$AM$2,IF($AV102="非常勤",【様式2】職員名簿!G133,0))</f>
        <v>0</v>
      </c>
      <c r="AY102" s="428">
        <f>IF($AW102=AY$3,COUNTIF($AW$8:$AW102,AY$3),0)</f>
        <v>0</v>
      </c>
      <c r="AZ102" s="429" t="str">
        <f t="shared" si="74"/>
        <v/>
      </c>
      <c r="BA102" s="430">
        <f>IF($AW102=BA$3,COUNTIF($AW$8:$AW102,BA$3),0)</f>
        <v>0</v>
      </c>
      <c r="BB102" s="429" t="str">
        <f t="shared" si="75"/>
        <v/>
      </c>
      <c r="BC102" s="431">
        <f>IF($AW102=BC$3,COUNTIF($AW$8:$AW102,BC$3),0)</f>
        <v>0</v>
      </c>
      <c r="BD102" s="429" t="str">
        <f t="shared" si="76"/>
        <v/>
      </c>
      <c r="BE102" s="393">
        <f>IF(OR($AW102=BE$3,$AW102=BE$4),COUNTIF($AW$8:$AW102,BE$3)+COUNTIF($AW$8:$AW102,BE$4),0)</f>
        <v>0</v>
      </c>
      <c r="BF102" s="429" t="str">
        <f t="shared" si="77"/>
        <v/>
      </c>
      <c r="BG102" s="393">
        <f>IF($AW102=BG$3,COUNTIF($AW$8:$AW102,BG$3),0)</f>
        <v>0</v>
      </c>
      <c r="BH102" s="429" t="str">
        <f t="shared" si="78"/>
        <v/>
      </c>
      <c r="BI102" s="393">
        <f>IF($AW102&lt;&gt;BI$3,COUNTIF($AW$8:$AW102,"&lt;&gt;"&amp;BI$3),0)</f>
        <v>0</v>
      </c>
      <c r="BJ102" s="429" t="str">
        <f t="shared" si="79"/>
        <v/>
      </c>
      <c r="BK102" s="433"/>
      <c r="BL102" s="433"/>
    </row>
    <row r="103" spans="1:64" ht="15" customHeight="1">
      <c r="B103" s="572"/>
      <c r="C103" s="572"/>
      <c r="D103" s="572"/>
      <c r="E103" s="572"/>
      <c r="F103" s="572"/>
      <c r="G103" s="435"/>
      <c r="H103" s="435"/>
      <c r="I103" s="435"/>
      <c r="J103" s="435"/>
      <c r="K103" s="435"/>
      <c r="L103" s="435"/>
      <c r="M103" s="572"/>
      <c r="N103" s="572"/>
      <c r="O103" s="572"/>
      <c r="P103" s="466"/>
      <c r="Q103" s="466"/>
      <c r="Y103" s="383"/>
      <c r="Z103" s="383"/>
      <c r="AA103" s="383"/>
      <c r="AB103" s="383"/>
      <c r="AF103" s="383"/>
      <c r="AG103" s="383"/>
      <c r="AH103" s="383"/>
      <c r="AI103" s="383"/>
      <c r="AJ103" s="383"/>
      <c r="AO103" s="466"/>
      <c r="AP103" s="466"/>
      <c r="AQ103" s="466"/>
      <c r="AR103" s="466"/>
      <c r="AS103" s="466"/>
      <c r="AT103" s="393">
        <f t="shared" si="73"/>
        <v>96</v>
      </c>
      <c r="AU103" s="823" t="str">
        <f>AT103&amp;" "&amp;IF(AW103&lt;&gt;"-",【様式2】職員名簿!B134&amp;"/"&amp;AV103&amp;"/"&amp;AW103,"")</f>
        <v xml:space="preserve">96 </v>
      </c>
      <c r="AV103" s="823">
        <f>【様式2】職員名簿!E134</f>
        <v>0</v>
      </c>
      <c r="AW103" s="823" t="str">
        <f>IF(【様式2】職員名簿!J134="エラー","-",【様式2】職員名簿!J134)</f>
        <v>-</v>
      </c>
      <c r="AX103" s="394">
        <f>IF($AV103="常勤",$AM$2,IF($AV103="非常勤",【様式2】職員名簿!G134,0))</f>
        <v>0</v>
      </c>
      <c r="AY103" s="428">
        <f>IF($AW103=AY$3,COUNTIF($AW$8:$AW103,AY$3),0)</f>
        <v>0</v>
      </c>
      <c r="AZ103" s="429" t="str">
        <f t="shared" si="74"/>
        <v/>
      </c>
      <c r="BA103" s="430">
        <f>IF($AW103=BA$3,COUNTIF($AW$8:$AW103,BA$3),0)</f>
        <v>0</v>
      </c>
      <c r="BB103" s="429" t="str">
        <f t="shared" si="75"/>
        <v/>
      </c>
      <c r="BC103" s="431">
        <f>IF($AW103=BC$3,COUNTIF($AW$8:$AW103,BC$3),0)</f>
        <v>0</v>
      </c>
      <c r="BD103" s="429" t="str">
        <f t="shared" si="76"/>
        <v/>
      </c>
      <c r="BE103" s="393">
        <f>IF(OR($AW103=BE$3,$AW103=BE$4),COUNTIF($AW$8:$AW103,BE$3)+COUNTIF($AW$8:$AW103,BE$4),0)</f>
        <v>0</v>
      </c>
      <c r="BF103" s="429" t="str">
        <f t="shared" si="77"/>
        <v/>
      </c>
      <c r="BG103" s="393">
        <f>IF($AW103=BG$3,COUNTIF($AW$8:$AW103,BG$3),0)</f>
        <v>0</v>
      </c>
      <c r="BH103" s="429" t="str">
        <f t="shared" si="78"/>
        <v/>
      </c>
      <c r="BI103" s="393">
        <f>IF($AW103&lt;&gt;BI$3,COUNTIF($AW$8:$AW103,"&lt;&gt;"&amp;BI$3),0)</f>
        <v>0</v>
      </c>
      <c r="BJ103" s="429" t="str">
        <f t="shared" si="79"/>
        <v/>
      </c>
      <c r="BK103" s="433"/>
      <c r="BL103" s="433"/>
    </row>
    <row r="104" spans="1:64" ht="15" customHeight="1">
      <c r="A104" s="116"/>
      <c r="B104" s="572"/>
      <c r="C104" s="572"/>
      <c r="D104" s="572"/>
      <c r="E104" s="572"/>
      <c r="F104" s="572"/>
      <c r="G104" s="435"/>
      <c r="H104" s="435"/>
      <c r="I104" s="435"/>
      <c r="J104" s="435"/>
      <c r="K104" s="435"/>
      <c r="L104" s="435"/>
      <c r="M104" s="572"/>
      <c r="N104" s="572"/>
      <c r="O104" s="572"/>
      <c r="P104" s="466"/>
      <c r="Q104" s="466"/>
      <c r="Y104" s="383"/>
      <c r="Z104" s="383"/>
      <c r="AA104" s="383"/>
      <c r="AB104" s="383"/>
      <c r="AF104" s="383"/>
      <c r="AG104" s="383"/>
      <c r="AH104" s="383"/>
      <c r="AI104" s="383"/>
      <c r="AJ104" s="383"/>
      <c r="AO104" s="466"/>
      <c r="AP104" s="466"/>
      <c r="AQ104" s="466"/>
      <c r="AR104" s="466"/>
      <c r="AS104" s="466"/>
      <c r="AT104" s="393">
        <f t="shared" si="73"/>
        <v>97</v>
      </c>
      <c r="AU104" s="823" t="str">
        <f>AT104&amp;" "&amp;IF(AW104&lt;&gt;"-",【様式2】職員名簿!B135&amp;"/"&amp;AV104&amp;"/"&amp;AW104,"")</f>
        <v xml:space="preserve">97 </v>
      </c>
      <c r="AV104" s="823">
        <f>【様式2】職員名簿!E135</f>
        <v>0</v>
      </c>
      <c r="AW104" s="823" t="str">
        <f>IF(【様式2】職員名簿!J135="エラー","-",【様式2】職員名簿!J135)</f>
        <v>-</v>
      </c>
      <c r="AX104" s="394">
        <f>IF($AV104="常勤",$AM$2,IF($AV104="非常勤",【様式2】職員名簿!G135,0))</f>
        <v>0</v>
      </c>
      <c r="AY104" s="428">
        <f>IF($AW104=AY$3,COUNTIF($AW$8:$AW104,AY$3),0)</f>
        <v>0</v>
      </c>
      <c r="AZ104" s="429" t="str">
        <f t="shared" ref="AZ104:AZ107" si="80">IFERROR(INDEX($AU$8:$AU$107,MATCH($AT104,AY$8:AY$107,0),1),"")</f>
        <v/>
      </c>
      <c r="BA104" s="430">
        <f>IF($AW104=BA$3,COUNTIF($AW$8:$AW104,BA$3),0)</f>
        <v>0</v>
      </c>
      <c r="BB104" s="429" t="str">
        <f t="shared" ref="BB104:BB107" si="81">IFERROR(INDEX($AU$8:$AU$107,MATCH($AT104,BA$8:BA$107,0),1),"")</f>
        <v/>
      </c>
      <c r="BC104" s="431">
        <f>IF($AW104=BC$3,COUNTIF($AW$8:$AW104,BC$3),0)</f>
        <v>0</v>
      </c>
      <c r="BD104" s="429" t="str">
        <f t="shared" ref="BD104:BD107" si="82">IFERROR(INDEX($AU$8:$AU$107,MATCH($AT104,BC$8:BC$107,0),1),"")</f>
        <v/>
      </c>
      <c r="BE104" s="393">
        <f>IF(OR($AW104=BE$3,$AW104=BE$4),COUNTIF($AW$8:$AW104,BE$3)+COUNTIF($AW$8:$AW104,BE$4),0)</f>
        <v>0</v>
      </c>
      <c r="BF104" s="429" t="str">
        <f t="shared" ref="BF104:BF107" si="83">IFERROR(INDEX($AU$8:$AU$107,MATCH($AT104,BE$8:BE$107,0),1),"")</f>
        <v/>
      </c>
      <c r="BG104" s="393">
        <f>IF($AW104=BG$3,COUNTIF($AW$8:$AW104,BG$3),0)</f>
        <v>0</v>
      </c>
      <c r="BH104" s="429" t="str">
        <f t="shared" ref="BH104:BH107" si="84">IFERROR(INDEX($AU$8:$AU$107,MATCH($AT104,BG$8:BG$107,0),1),"")</f>
        <v/>
      </c>
      <c r="BI104" s="393">
        <f>IF($AW104&lt;&gt;BI$3,COUNTIF($AW$8:$AW104,"&lt;&gt;"&amp;BI$3),0)</f>
        <v>0</v>
      </c>
      <c r="BJ104" s="429" t="str">
        <f t="shared" ref="BJ104:BJ107" si="85">IFERROR(INDEX($AU$8:$AU$107,MATCH($AT104,BI$8:BI$107,0),1),"")</f>
        <v/>
      </c>
      <c r="BK104" s="433"/>
      <c r="BL104" s="433"/>
    </row>
    <row r="105" spans="1:64" ht="15" customHeight="1">
      <c r="A105" s="116"/>
      <c r="G105" s="435"/>
      <c r="H105" s="435"/>
      <c r="I105" s="435"/>
      <c r="J105" s="435"/>
      <c r="K105" s="435"/>
      <c r="L105" s="435"/>
      <c r="P105" s="466"/>
      <c r="Q105" s="466"/>
      <c r="Y105" s="383"/>
      <c r="Z105" s="383"/>
      <c r="AA105" s="383"/>
      <c r="AB105" s="383"/>
      <c r="AF105" s="383"/>
      <c r="AG105" s="383"/>
      <c r="AH105" s="383"/>
      <c r="AI105" s="383"/>
      <c r="AJ105" s="383"/>
      <c r="AO105" s="466"/>
      <c r="AP105" s="466"/>
      <c r="AQ105" s="466"/>
      <c r="AR105" s="466"/>
      <c r="AS105" s="466"/>
      <c r="AT105" s="393">
        <f t="shared" si="73"/>
        <v>98</v>
      </c>
      <c r="AU105" s="823" t="str">
        <f>AT105&amp;" "&amp;IF(AW105&lt;&gt;"-",【様式2】職員名簿!B136&amp;"/"&amp;AV105&amp;"/"&amp;AW105,"")</f>
        <v xml:space="preserve">98 </v>
      </c>
      <c r="AV105" s="823">
        <f>【様式2】職員名簿!E136</f>
        <v>0</v>
      </c>
      <c r="AW105" s="823" t="str">
        <f>IF(【様式2】職員名簿!J136="エラー","-",【様式2】職員名簿!J136)</f>
        <v>-</v>
      </c>
      <c r="AX105" s="394">
        <f>IF($AV105="常勤",$AM$2,IF($AV105="非常勤",【様式2】職員名簿!G136,0))</f>
        <v>0</v>
      </c>
      <c r="AY105" s="428">
        <f>IF($AW105=AY$3,COUNTIF($AW$8:$AW105,AY$3),0)</f>
        <v>0</v>
      </c>
      <c r="AZ105" s="429" t="str">
        <f t="shared" si="80"/>
        <v/>
      </c>
      <c r="BA105" s="430">
        <f>IF($AW105=BA$3,COUNTIF($AW$8:$AW105,BA$3),0)</f>
        <v>0</v>
      </c>
      <c r="BB105" s="429" t="str">
        <f t="shared" si="81"/>
        <v/>
      </c>
      <c r="BC105" s="431">
        <f>IF($AW105=BC$3,COUNTIF($AW$8:$AW105,BC$3),0)</f>
        <v>0</v>
      </c>
      <c r="BD105" s="429" t="str">
        <f t="shared" si="82"/>
        <v/>
      </c>
      <c r="BE105" s="393">
        <f>IF(OR($AW105=BE$3,$AW105=BE$4),COUNTIF($AW$8:$AW105,BE$3)+COUNTIF($AW$8:$AW105,BE$4),0)</f>
        <v>0</v>
      </c>
      <c r="BF105" s="429" t="str">
        <f t="shared" si="83"/>
        <v/>
      </c>
      <c r="BG105" s="393">
        <f>IF($AW105=BG$3,COUNTIF($AW$8:$AW105,BG$3),0)</f>
        <v>0</v>
      </c>
      <c r="BH105" s="429" t="str">
        <f t="shared" si="84"/>
        <v/>
      </c>
      <c r="BI105" s="393">
        <f>IF($AW105&lt;&gt;BI$3,COUNTIF($AW$8:$AW105,"&lt;&gt;"&amp;BI$3),0)</f>
        <v>0</v>
      </c>
      <c r="BJ105" s="429" t="str">
        <f t="shared" si="85"/>
        <v/>
      </c>
      <c r="BK105" s="433"/>
      <c r="BL105" s="433"/>
    </row>
    <row r="106" spans="1:64" ht="15" customHeight="1">
      <c r="G106" s="435"/>
      <c r="H106" s="435"/>
      <c r="I106" s="435"/>
      <c r="J106" s="435"/>
      <c r="K106" s="435"/>
      <c r="L106" s="435"/>
      <c r="P106" s="466"/>
      <c r="Q106" s="466"/>
      <c r="Y106" s="383"/>
      <c r="Z106" s="383"/>
      <c r="AA106" s="383"/>
      <c r="AB106" s="383"/>
      <c r="AF106" s="383"/>
      <c r="AG106" s="383"/>
      <c r="AH106" s="383"/>
      <c r="AI106" s="383"/>
      <c r="AJ106" s="383"/>
      <c r="AO106" s="466"/>
      <c r="AP106" s="466"/>
      <c r="AQ106" s="466"/>
      <c r="AR106" s="466"/>
      <c r="AS106" s="466"/>
      <c r="AT106" s="393">
        <f t="shared" si="73"/>
        <v>99</v>
      </c>
      <c r="AU106" s="823" t="str">
        <f>AT106&amp;" "&amp;IF(AW106&lt;&gt;"-",【様式2】職員名簿!B137&amp;"/"&amp;AV106&amp;"/"&amp;AW106,"")</f>
        <v xml:space="preserve">99 </v>
      </c>
      <c r="AV106" s="823">
        <f>【様式2】職員名簿!E137</f>
        <v>0</v>
      </c>
      <c r="AW106" s="823" t="str">
        <f>IF(【様式2】職員名簿!J137="エラー","-",【様式2】職員名簿!J137)</f>
        <v>-</v>
      </c>
      <c r="AX106" s="394">
        <f>IF($AV106="常勤",$AM$2,IF($AV106="非常勤",【様式2】職員名簿!G137,0))</f>
        <v>0</v>
      </c>
      <c r="AY106" s="428">
        <f>IF($AW106=AY$3,COUNTIF($AW$8:$AW106,AY$3),0)</f>
        <v>0</v>
      </c>
      <c r="AZ106" s="429" t="str">
        <f t="shared" si="80"/>
        <v/>
      </c>
      <c r="BA106" s="430">
        <f>IF($AW106=BA$3,COUNTIF($AW$8:$AW106,BA$3),0)</f>
        <v>0</v>
      </c>
      <c r="BB106" s="429" t="str">
        <f t="shared" si="81"/>
        <v/>
      </c>
      <c r="BC106" s="431">
        <f>IF($AW106=BC$3,COUNTIF($AW$8:$AW106,BC$3),0)</f>
        <v>0</v>
      </c>
      <c r="BD106" s="429" t="str">
        <f t="shared" si="82"/>
        <v/>
      </c>
      <c r="BE106" s="393">
        <f>IF(OR($AW106=BE$3,$AW106=BE$4),COUNTIF($AW$8:$AW106,BE$3)+COUNTIF($AW$8:$AW106,BE$4),0)</f>
        <v>0</v>
      </c>
      <c r="BF106" s="429" t="str">
        <f t="shared" si="83"/>
        <v/>
      </c>
      <c r="BG106" s="393">
        <f>IF($AW106=BG$3,COUNTIF($AW$8:$AW106,BG$3),0)</f>
        <v>0</v>
      </c>
      <c r="BH106" s="429" t="str">
        <f t="shared" si="84"/>
        <v/>
      </c>
      <c r="BI106" s="393">
        <f>IF($AW106&lt;&gt;BI$3,COUNTIF($AW$8:$AW106,"&lt;&gt;"&amp;BI$3),0)</f>
        <v>0</v>
      </c>
      <c r="BJ106" s="429" t="str">
        <f t="shared" si="85"/>
        <v/>
      </c>
      <c r="BK106" s="433"/>
      <c r="BL106" s="433"/>
    </row>
    <row r="107" spans="1:64" ht="15" customHeight="1" thickBot="1">
      <c r="A107" s="161"/>
      <c r="G107" s="435"/>
      <c r="H107" s="435"/>
      <c r="I107" s="435"/>
      <c r="J107" s="435"/>
      <c r="K107" s="435"/>
      <c r="L107" s="435"/>
      <c r="P107" s="466"/>
      <c r="Q107" s="466"/>
      <c r="AG107" s="383"/>
      <c r="AH107" s="383"/>
      <c r="AI107" s="383"/>
      <c r="AJ107" s="383"/>
      <c r="AO107" s="466"/>
      <c r="AP107" s="466"/>
      <c r="AQ107" s="466"/>
      <c r="AR107" s="466"/>
      <c r="AS107" s="466"/>
      <c r="AT107" s="393">
        <f t="shared" si="73"/>
        <v>100</v>
      </c>
      <c r="AU107" s="829" t="str">
        <f>AT107&amp;" "&amp;IF(AW107&lt;&gt;"-",【様式2】職員名簿!B138&amp;"/"&amp;AV107&amp;"/"&amp;AW107,"")</f>
        <v xml:space="preserve">100 </v>
      </c>
      <c r="AV107" s="829">
        <f>【様式2】職員名簿!E138</f>
        <v>0</v>
      </c>
      <c r="AW107" s="829" t="str">
        <f>IF(【様式2】職員名簿!J138="エラー","-",【様式2】職員名簿!J138)</f>
        <v>-</v>
      </c>
      <c r="AX107" s="394">
        <f>IF($AV107="常勤",$AM$2,IF($AV107="非常勤",【様式2】職員名簿!G138,0))</f>
        <v>0</v>
      </c>
      <c r="AY107" s="428">
        <f>IF($AW107=AY$3,COUNTIF($AW$8:$AW107,AY$3),0)</f>
        <v>0</v>
      </c>
      <c r="AZ107" s="432" t="str">
        <f t="shared" si="80"/>
        <v/>
      </c>
      <c r="BA107" s="430">
        <f>IF($AW107=BA$3,COUNTIF($AW$8:$AW107,BA$3),0)</f>
        <v>0</v>
      </c>
      <c r="BB107" s="432" t="str">
        <f t="shared" si="81"/>
        <v/>
      </c>
      <c r="BC107" s="431">
        <f>IF($AW107=BC$3,COUNTIF($AW$8:$AW107,BC$3),0)</f>
        <v>0</v>
      </c>
      <c r="BD107" s="432" t="str">
        <f t="shared" si="82"/>
        <v/>
      </c>
      <c r="BE107" s="393">
        <f>IF(OR($AW107=BE$3,$AW107=BE$4),COUNTIF($AW$8:$AW107,BE$3)+COUNTIF($AW$8:$AW107,BE$4),0)</f>
        <v>0</v>
      </c>
      <c r="BF107" s="432" t="str">
        <f t="shared" si="83"/>
        <v/>
      </c>
      <c r="BG107" s="393">
        <f>IF($AW107=BG$3,COUNTIF($AW$8:$AW107,BG$3),0)</f>
        <v>0</v>
      </c>
      <c r="BH107" s="432" t="str">
        <f t="shared" si="84"/>
        <v/>
      </c>
      <c r="BI107" s="393">
        <f>IF($AW107&lt;&gt;BI$3,COUNTIF($AW$8:$AW107,"&lt;&gt;"&amp;BI$3),0)</f>
        <v>0</v>
      </c>
      <c r="BJ107" s="432" t="str">
        <f t="shared" si="85"/>
        <v/>
      </c>
      <c r="BK107" s="433"/>
      <c r="BL107" s="433"/>
    </row>
    <row r="108" spans="1:64" ht="15" customHeight="1" thickTop="1">
      <c r="A108" s="161"/>
      <c r="P108" s="466"/>
      <c r="Q108" s="466"/>
      <c r="AG108" s="383"/>
      <c r="AH108" s="383"/>
      <c r="AI108" s="383"/>
      <c r="AJ108" s="383"/>
      <c r="AO108" s="466"/>
      <c r="AP108" s="466"/>
      <c r="AQ108" s="466"/>
      <c r="AR108" s="466"/>
      <c r="AS108" s="466"/>
      <c r="AT108" s="383"/>
      <c r="AU108" s="383"/>
      <c r="AV108" s="383"/>
      <c r="AW108" s="383"/>
      <c r="AX108" s="383"/>
      <c r="AY108" s="383"/>
      <c r="AZ108" s="383"/>
      <c r="BA108" s="383"/>
      <c r="BB108" s="383"/>
      <c r="BC108" s="383"/>
      <c r="BD108" s="383"/>
      <c r="BE108" s="383"/>
      <c r="BF108" s="383"/>
      <c r="BG108" s="383"/>
      <c r="BH108" s="383"/>
      <c r="BI108" s="383"/>
      <c r="BJ108" s="383"/>
      <c r="BK108" s="433"/>
      <c r="BL108" s="433"/>
    </row>
    <row r="109" spans="1:64" ht="12.75" customHeight="1">
      <c r="P109" s="466"/>
      <c r="Q109" s="466"/>
      <c r="AO109" s="466"/>
      <c r="AP109" s="466"/>
      <c r="AQ109" s="466"/>
      <c r="AR109" s="466"/>
      <c r="AS109" s="466"/>
      <c r="AT109" s="383"/>
      <c r="AU109" s="383"/>
      <c r="AV109" s="383"/>
      <c r="AW109" s="383"/>
      <c r="AX109" s="383"/>
      <c r="AY109" s="383"/>
      <c r="AZ109" s="383"/>
      <c r="BA109" s="383"/>
      <c r="BB109" s="383"/>
      <c r="BC109" s="383"/>
      <c r="BD109" s="383"/>
      <c r="BE109" s="383"/>
      <c r="BF109" s="383"/>
      <c r="BG109" s="383"/>
      <c r="BH109" s="383"/>
      <c r="BI109" s="383"/>
      <c r="BJ109" s="383"/>
      <c r="BK109" s="383"/>
      <c r="BL109" s="383"/>
    </row>
    <row r="110" spans="1:64" ht="12" customHeight="1">
      <c r="P110" s="466"/>
      <c r="Q110" s="466"/>
      <c r="R110" s="448"/>
      <c r="S110" s="448"/>
      <c r="T110" s="448"/>
      <c r="AO110" s="466"/>
      <c r="AP110" s="466"/>
      <c r="AQ110" s="466"/>
      <c r="AR110" s="466"/>
      <c r="AS110" s="466"/>
      <c r="AT110" s="383"/>
      <c r="AU110" s="383"/>
      <c r="AV110" s="383"/>
      <c r="AW110" s="383"/>
      <c r="AX110" s="383"/>
      <c r="AY110" s="383"/>
      <c r="AZ110" s="383"/>
      <c r="BA110" s="383"/>
      <c r="BB110" s="383"/>
      <c r="BC110" s="383"/>
      <c r="BD110" s="383"/>
      <c r="BE110" s="383"/>
      <c r="BF110" s="383"/>
      <c r="BG110" s="383"/>
      <c r="BH110" s="383"/>
      <c r="BI110" s="383"/>
      <c r="BJ110" s="383"/>
      <c r="BK110" s="383"/>
      <c r="BL110" s="383"/>
    </row>
    <row r="111" spans="1:64" ht="12" customHeight="1">
      <c r="A111" s="362"/>
      <c r="P111" s="466"/>
      <c r="Q111" s="448"/>
      <c r="R111" s="572"/>
      <c r="S111" s="572"/>
      <c r="T111" s="572"/>
      <c r="AO111" s="466"/>
      <c r="AP111" s="466"/>
      <c r="AQ111" s="466"/>
      <c r="AR111" s="466"/>
      <c r="AS111" s="466"/>
      <c r="AT111" s="383"/>
      <c r="AU111" s="383"/>
      <c r="AV111" s="383"/>
      <c r="AW111" s="383"/>
      <c r="AX111" s="383"/>
      <c r="AY111" s="383"/>
      <c r="AZ111" s="383"/>
      <c r="BA111" s="383"/>
      <c r="BB111" s="383"/>
      <c r="BC111" s="383"/>
      <c r="BD111" s="383"/>
      <c r="BE111" s="383"/>
      <c r="BF111" s="383"/>
      <c r="BG111" s="383"/>
      <c r="BH111" s="383"/>
      <c r="BI111" s="383"/>
      <c r="BJ111" s="383"/>
      <c r="BK111" s="383"/>
      <c r="BL111" s="383"/>
    </row>
    <row r="112" spans="1:64" ht="12" customHeight="1">
      <c r="P112" s="466"/>
      <c r="Q112" s="572"/>
      <c r="R112" s="572"/>
      <c r="S112" s="572"/>
      <c r="T112" s="572"/>
      <c r="U112" s="448"/>
      <c r="V112" s="448"/>
      <c r="W112" s="448"/>
      <c r="X112" s="448"/>
      <c r="Y112" s="448"/>
      <c r="Z112" s="448"/>
      <c r="AA112" s="448"/>
      <c r="AB112" s="448"/>
      <c r="AC112" s="448"/>
      <c r="AD112" s="448"/>
      <c r="AE112" s="448"/>
      <c r="AF112" s="448"/>
      <c r="AO112" s="466"/>
      <c r="AP112" s="466"/>
      <c r="AQ112" s="466"/>
      <c r="AR112" s="466"/>
      <c r="AS112" s="466"/>
      <c r="AT112" s="383"/>
      <c r="AU112" s="383"/>
      <c r="AV112" s="383"/>
      <c r="AW112" s="383"/>
      <c r="AX112" s="383"/>
      <c r="AY112" s="383"/>
      <c r="AZ112" s="383"/>
      <c r="BA112" s="383"/>
      <c r="BB112" s="383"/>
      <c r="BC112" s="383"/>
      <c r="BD112" s="383"/>
      <c r="BE112" s="383"/>
      <c r="BF112" s="383"/>
      <c r="BG112" s="383"/>
      <c r="BH112" s="383"/>
      <c r="BI112" s="383"/>
      <c r="BJ112" s="383"/>
      <c r="BK112" s="383"/>
      <c r="BL112" s="383"/>
    </row>
    <row r="113" spans="16:64" ht="12" customHeight="1">
      <c r="P113" s="466"/>
      <c r="Q113" s="572"/>
      <c r="U113" s="572"/>
      <c r="V113" s="572"/>
      <c r="W113" s="572"/>
      <c r="X113" s="572"/>
      <c r="AC113" s="572"/>
      <c r="AD113" s="572"/>
      <c r="AE113" s="572"/>
      <c r="AO113" s="466"/>
      <c r="AP113" s="466"/>
      <c r="AQ113" s="466"/>
      <c r="AR113" s="466"/>
      <c r="AS113" s="466"/>
      <c r="AT113" s="383"/>
      <c r="AU113" s="383"/>
      <c r="AV113" s="383"/>
      <c r="AW113" s="383"/>
      <c r="AX113" s="383"/>
      <c r="AY113" s="383"/>
      <c r="AZ113" s="383"/>
      <c r="BK113" s="383"/>
      <c r="BL113" s="383"/>
    </row>
    <row r="114" spans="16:64" ht="12" customHeight="1">
      <c r="P114" s="448"/>
      <c r="U114" s="572"/>
      <c r="V114" s="572"/>
      <c r="W114" s="572"/>
      <c r="X114" s="572"/>
      <c r="AC114" s="572"/>
      <c r="AD114" s="572"/>
      <c r="AE114" s="572"/>
      <c r="AG114" s="448"/>
      <c r="AH114" s="448"/>
      <c r="AI114" s="448"/>
      <c r="AJ114" s="448"/>
      <c r="AO114" s="466"/>
      <c r="AP114" s="466"/>
      <c r="AQ114" s="466"/>
      <c r="AR114" s="466"/>
      <c r="AS114" s="466"/>
      <c r="AT114" s="383"/>
      <c r="AU114" s="383"/>
      <c r="AV114" s="383"/>
      <c r="AW114" s="383"/>
      <c r="AX114" s="383"/>
      <c r="AY114" s="383"/>
      <c r="AZ114" s="383"/>
    </row>
    <row r="115" spans="16:64">
      <c r="P115" s="572"/>
      <c r="AO115" s="466"/>
      <c r="AP115" s="466"/>
      <c r="AQ115" s="466"/>
      <c r="AR115" s="466"/>
      <c r="AS115" s="466"/>
      <c r="AT115" s="383"/>
      <c r="AU115" s="383"/>
      <c r="AV115" s="383"/>
      <c r="AW115" s="383"/>
      <c r="AX115" s="383"/>
      <c r="AY115" s="383"/>
      <c r="AZ115" s="383"/>
    </row>
    <row r="116" spans="16:64">
      <c r="P116" s="572"/>
      <c r="AO116" s="466"/>
      <c r="AP116" s="466"/>
      <c r="AQ116" s="466"/>
      <c r="AR116" s="466"/>
      <c r="AS116" s="466"/>
      <c r="AT116" s="383"/>
      <c r="AU116" s="383"/>
      <c r="AV116" s="383"/>
      <c r="AW116" s="383"/>
      <c r="AX116" s="383"/>
      <c r="AY116" s="383"/>
      <c r="AZ116" s="383"/>
    </row>
    <row r="117" spans="16:64">
      <c r="AO117" s="466"/>
      <c r="AP117" s="466"/>
      <c r="AQ117" s="466"/>
      <c r="AR117" s="466"/>
      <c r="AS117" s="466"/>
      <c r="AT117" s="448"/>
      <c r="AU117" s="466"/>
      <c r="AV117" s="466"/>
    </row>
    <row r="118" spans="16:64">
      <c r="AO118" s="466"/>
      <c r="AP118" s="466"/>
      <c r="AQ118" s="466"/>
      <c r="AR118" s="466"/>
      <c r="AS118" s="466"/>
      <c r="AT118" s="448"/>
      <c r="AU118" s="466"/>
      <c r="AV118" s="466"/>
    </row>
    <row r="119" spans="16:64" ht="12.95" customHeight="1">
      <c r="AO119" s="466"/>
      <c r="AP119" s="466"/>
      <c r="AQ119" s="466"/>
      <c r="AR119" s="466"/>
      <c r="AS119" s="466"/>
    </row>
    <row r="120" spans="16:64" ht="13.5" customHeight="1">
      <c r="AO120" s="466"/>
      <c r="AP120" s="466"/>
      <c r="AQ120" s="466"/>
      <c r="AR120" s="466"/>
      <c r="AS120" s="466"/>
    </row>
    <row r="121" spans="16:64">
      <c r="AO121" s="466"/>
      <c r="AP121" s="466"/>
      <c r="AQ121" s="466"/>
      <c r="AR121" s="466"/>
      <c r="AS121" s="466"/>
      <c r="AT121" s="448"/>
      <c r="AU121" s="466"/>
      <c r="AV121" s="466"/>
    </row>
    <row r="122" spans="16:64" ht="13.5" customHeight="1">
      <c r="AO122" s="466"/>
      <c r="AP122" s="466"/>
      <c r="AQ122" s="466"/>
      <c r="AR122" s="466"/>
      <c r="AS122" s="466"/>
      <c r="AT122" s="448"/>
      <c r="AU122" s="466"/>
      <c r="AV122" s="466"/>
    </row>
    <row r="123" spans="16:64">
      <c r="AO123" s="466"/>
      <c r="AP123" s="466"/>
      <c r="AR123" s="466"/>
      <c r="AS123" s="466"/>
      <c r="AT123" s="448"/>
      <c r="AU123" s="466"/>
      <c r="AV123" s="466"/>
    </row>
    <row r="124" spans="16:64">
      <c r="AO124" s="466"/>
      <c r="AP124" s="466"/>
      <c r="AR124" s="466"/>
      <c r="AT124" s="448"/>
      <c r="AU124" s="466"/>
      <c r="AV124" s="466"/>
    </row>
    <row r="125" spans="16:64">
      <c r="AO125" s="466"/>
      <c r="AP125" s="466"/>
      <c r="AR125" s="466"/>
      <c r="AT125" s="466"/>
      <c r="AU125" s="466"/>
      <c r="AV125" s="466"/>
    </row>
    <row r="126" spans="16:64">
      <c r="Y126" s="448"/>
      <c r="Z126" s="448"/>
      <c r="AA126" s="448"/>
      <c r="AB126" s="448"/>
      <c r="AF126" s="448"/>
      <c r="AO126" s="466"/>
      <c r="AP126" s="466"/>
      <c r="AR126" s="466"/>
      <c r="AT126" s="466"/>
      <c r="AU126" s="466"/>
      <c r="AV126" s="466"/>
    </row>
    <row r="127" spans="16:64">
      <c r="Y127" s="572"/>
      <c r="Z127" s="572"/>
      <c r="AA127" s="572"/>
      <c r="AB127" s="572"/>
      <c r="AF127" s="572"/>
      <c r="AO127" s="466"/>
      <c r="AP127" s="466"/>
      <c r="AR127" s="466"/>
      <c r="AT127" s="466"/>
      <c r="AU127" s="466"/>
      <c r="AV127" s="466"/>
    </row>
    <row r="128" spans="16:64">
      <c r="Y128" s="572"/>
      <c r="Z128" s="572"/>
      <c r="AA128" s="572"/>
      <c r="AB128" s="572"/>
      <c r="AF128" s="572"/>
      <c r="AG128" s="448"/>
      <c r="AH128" s="448"/>
      <c r="AI128" s="448"/>
      <c r="AJ128" s="448"/>
      <c r="AO128" s="466"/>
      <c r="AP128" s="466"/>
      <c r="AT128" s="434"/>
      <c r="AU128" s="434"/>
      <c r="AV128" s="434"/>
    </row>
    <row r="129" spans="33:48">
      <c r="AG129" s="572"/>
      <c r="AH129" s="572"/>
      <c r="AI129" s="572"/>
      <c r="AJ129" s="572"/>
      <c r="AT129" s="466"/>
      <c r="AU129" s="466"/>
      <c r="AV129" s="466"/>
    </row>
    <row r="130" spans="33:48" ht="12.6" customHeight="1">
      <c r="AG130" s="572"/>
      <c r="AH130" s="572"/>
      <c r="AI130" s="572"/>
      <c r="AJ130" s="572"/>
      <c r="AT130" s="466"/>
      <c r="AU130" s="466"/>
      <c r="AV130" s="466"/>
    </row>
    <row r="131" spans="33:48">
      <c r="AT131" s="466"/>
      <c r="AU131" s="466"/>
      <c r="AV131" s="466"/>
    </row>
    <row r="132" spans="33:48">
      <c r="AT132" s="466"/>
      <c r="AU132" s="466"/>
      <c r="AV132" s="466"/>
    </row>
    <row r="133" spans="33:48">
      <c r="AT133" s="466"/>
      <c r="AU133" s="466"/>
      <c r="AV133" s="466"/>
    </row>
    <row r="134" spans="33:48">
      <c r="AT134" s="466"/>
      <c r="AU134" s="466"/>
      <c r="AV134" s="466"/>
    </row>
    <row r="135" spans="33:48">
      <c r="AT135" s="466"/>
      <c r="AU135" s="466"/>
      <c r="AV135" s="466"/>
    </row>
    <row r="136" spans="33:48" ht="12.95" customHeight="1">
      <c r="AT136" s="466"/>
      <c r="AU136" s="466"/>
      <c r="AV136" s="466"/>
    </row>
    <row r="137" spans="33:48" ht="12.95" customHeight="1">
      <c r="AT137" s="466"/>
      <c r="AU137" s="466"/>
      <c r="AV137" s="466"/>
    </row>
    <row r="138" spans="33:48" ht="12.95" customHeight="1">
      <c r="AT138" s="466"/>
      <c r="AU138" s="466"/>
      <c r="AV138" s="466"/>
    </row>
    <row r="139" spans="33:48" ht="12.95" customHeight="1">
      <c r="AT139" s="448"/>
      <c r="AU139" s="466"/>
      <c r="AV139" s="466"/>
    </row>
    <row r="140" spans="33:48" ht="12.95" customHeight="1">
      <c r="AT140" s="448"/>
      <c r="AU140" s="466"/>
      <c r="AV140" s="466"/>
    </row>
    <row r="141" spans="33:48" ht="12.95" customHeight="1">
      <c r="AT141" s="448"/>
      <c r="AU141" s="466"/>
      <c r="AV141" s="466"/>
    </row>
    <row r="142" spans="33:48" ht="12.95" customHeight="1"/>
    <row r="143" spans="33:48" ht="12.95" customHeight="1"/>
    <row r="144" spans="33:48" ht="12" customHeight="1"/>
    <row r="145" spans="46:48" ht="12" customHeight="1"/>
    <row r="146" spans="46:48" ht="12.95" customHeight="1"/>
    <row r="151" spans="46:48">
      <c r="AT151" s="448"/>
      <c r="AU151" s="466"/>
      <c r="AV151" s="466"/>
    </row>
    <row r="152" spans="46:48">
      <c r="AT152" s="448"/>
      <c r="AU152" s="466"/>
      <c r="AV152" s="466"/>
    </row>
    <row r="153" spans="46:48">
      <c r="AT153" s="448"/>
      <c r="AU153" s="466"/>
      <c r="AV153" s="466"/>
    </row>
    <row r="154" spans="46:48">
      <c r="AT154" s="448"/>
      <c r="AU154" s="466"/>
      <c r="AV154" s="466"/>
    </row>
    <row r="155" spans="46:48">
      <c r="AT155" s="448"/>
      <c r="AU155" s="466"/>
      <c r="AV155" s="466"/>
    </row>
    <row r="156" spans="46:48">
      <c r="AT156" s="383"/>
    </row>
    <row r="157" spans="46:48">
      <c r="AT157" s="383"/>
    </row>
    <row r="158" spans="46:48">
      <c r="AT158" s="383"/>
    </row>
    <row r="159" spans="46:48">
      <c r="AT159" s="383"/>
    </row>
    <row r="160" spans="46:48">
      <c r="AT160" s="383"/>
    </row>
    <row r="161" spans="46:46">
      <c r="AT161" s="383"/>
    </row>
    <row r="162" spans="46:46">
      <c r="AT162" s="383"/>
    </row>
    <row r="163" spans="46:46">
      <c r="AT163" s="383"/>
    </row>
    <row r="164" spans="46:46">
      <c r="AT164" s="383"/>
    </row>
    <row r="165" spans="46:46">
      <c r="AT165" s="383"/>
    </row>
    <row r="166" spans="46:46">
      <c r="AT166" s="383"/>
    </row>
    <row r="167" spans="46:46">
      <c r="AT167" s="383"/>
    </row>
    <row r="168" spans="46:46">
      <c r="AT168" s="383"/>
    </row>
    <row r="169" spans="46:46">
      <c r="AT169" s="383"/>
    </row>
    <row r="170" spans="46:46">
      <c r="AT170" s="383"/>
    </row>
    <row r="171" spans="46:46">
      <c r="AT171" s="383"/>
    </row>
    <row r="173" spans="46:46">
      <c r="AT173" s="383"/>
    </row>
    <row r="174" spans="46:46">
      <c r="AT174" s="573"/>
    </row>
    <row r="175" spans="46:46">
      <c r="AT175" s="466"/>
    </row>
    <row r="176" spans="46:46">
      <c r="AT176" s="466"/>
    </row>
    <row r="177" spans="46:46">
      <c r="AT177" s="466"/>
    </row>
    <row r="178" spans="46:46">
      <c r="AT178" s="466"/>
    </row>
    <row r="179" spans="46:46">
      <c r="AT179" s="466"/>
    </row>
    <row r="180" spans="46:46">
      <c r="AT180" s="466"/>
    </row>
    <row r="181" spans="46:46">
      <c r="AT181" s="466"/>
    </row>
    <row r="182" spans="46:46">
      <c r="AT182" s="466"/>
    </row>
    <row r="183" spans="46:46">
      <c r="AT183" s="466"/>
    </row>
    <row r="184" spans="46:46">
      <c r="AT184" s="466"/>
    </row>
    <row r="185" spans="46:46">
      <c r="AT185" s="466"/>
    </row>
    <row r="186" spans="46:46">
      <c r="AT186" s="466"/>
    </row>
    <row r="187" spans="46:46">
      <c r="AT187" s="466"/>
    </row>
    <row r="188" spans="46:46">
      <c r="AT188" s="466"/>
    </row>
    <row r="189" spans="46:46">
      <c r="AT189" s="466"/>
    </row>
    <row r="190" spans="46:46">
      <c r="AT190" s="466"/>
    </row>
    <row r="191" spans="46:46">
      <c r="AT191" s="466"/>
    </row>
    <row r="192" spans="46:46">
      <c r="AT192" s="466"/>
    </row>
    <row r="193" spans="46:46">
      <c r="AT193" s="466"/>
    </row>
    <row r="194" spans="46:46">
      <c r="AT194" s="466"/>
    </row>
    <row r="195" spans="46:46">
      <c r="AT195" s="466"/>
    </row>
    <row r="196" spans="46:46">
      <c r="AT196" s="466"/>
    </row>
    <row r="197" spans="46:46">
      <c r="AT197" s="466"/>
    </row>
    <row r="198" spans="46:46">
      <c r="AT198" s="466"/>
    </row>
    <row r="199" spans="46:46">
      <c r="AT199" s="466"/>
    </row>
    <row r="200" spans="46:46">
      <c r="AT200" s="466"/>
    </row>
    <row r="201" spans="46:46">
      <c r="AT201" s="466"/>
    </row>
    <row r="202" spans="46:46">
      <c r="AT202" s="466"/>
    </row>
    <row r="203" spans="46:46">
      <c r="AT203" s="466"/>
    </row>
    <row r="204" spans="46:46">
      <c r="AT204" s="466"/>
    </row>
    <row r="205" spans="46:46">
      <c r="AT205" s="466"/>
    </row>
    <row r="206" spans="46:46">
      <c r="AT206" s="466"/>
    </row>
    <row r="207" spans="46:46">
      <c r="AT207" s="466"/>
    </row>
    <row r="208" spans="46:46">
      <c r="AT208" s="466"/>
    </row>
    <row r="209" spans="46:46">
      <c r="AT209" s="466"/>
    </row>
    <row r="210" spans="46:46">
      <c r="AT210" s="466"/>
    </row>
  </sheetData>
  <sheetProtection algorithmName="SHA-512" hashValue="tsLlD+sFyceuNm3ksAzNuezDq2k0x2Xxp7Y3qKzaOKke9DfJ4SE5e7e9QNy82WQ3MBkhvHH9ri7NoeF27qjeaw==" saltValue="ohRlQmWikwFrPPO8ufpmLw==" spinCount="100000" sheet="1" objects="1" scenarios="1" selectLockedCells="1"/>
  <mergeCells count="263">
    <mergeCell ref="B3:C3"/>
    <mergeCell ref="A16:A17"/>
    <mergeCell ref="B16:C17"/>
    <mergeCell ref="A15:C15"/>
    <mergeCell ref="F32:H32"/>
    <mergeCell ref="B36:C36"/>
    <mergeCell ref="B37:C37"/>
    <mergeCell ref="D36:E36"/>
    <mergeCell ref="B18:C27"/>
    <mergeCell ref="F33:H33"/>
    <mergeCell ref="F34:H34"/>
    <mergeCell ref="B35:C35"/>
    <mergeCell ref="D35:E35"/>
    <mergeCell ref="D16:E17"/>
    <mergeCell ref="D15:M15"/>
    <mergeCell ref="D3:J3"/>
    <mergeCell ref="K3:L3"/>
    <mergeCell ref="A6:A7"/>
    <mergeCell ref="A8:A11"/>
    <mergeCell ref="C6:L6"/>
    <mergeCell ref="C8:C9"/>
    <mergeCell ref="C10:C11"/>
    <mergeCell ref="B8:B11"/>
    <mergeCell ref="C12:D12"/>
    <mergeCell ref="N18:N27"/>
    <mergeCell ref="N39:O41"/>
    <mergeCell ref="D40:E41"/>
    <mergeCell ref="F41:H41"/>
    <mergeCell ref="F31:K31"/>
    <mergeCell ref="D31:E31"/>
    <mergeCell ref="D39:M39"/>
    <mergeCell ref="F35:K35"/>
    <mergeCell ref="F36:K36"/>
    <mergeCell ref="F37:K37"/>
    <mergeCell ref="D32:D34"/>
    <mergeCell ref="F40:K40"/>
    <mergeCell ref="L40:M41"/>
    <mergeCell ref="A18:A35"/>
    <mergeCell ref="B28:C30"/>
    <mergeCell ref="J1:O1"/>
    <mergeCell ref="AO1:AP1"/>
    <mergeCell ref="AT1:BM1"/>
    <mergeCell ref="AT2:AX2"/>
    <mergeCell ref="AY2:AZ2"/>
    <mergeCell ref="BA2:BB2"/>
    <mergeCell ref="BC2:BD2"/>
    <mergeCell ref="BE2:BF2"/>
    <mergeCell ref="BG2:BH2"/>
    <mergeCell ref="BJ3:BJ5"/>
    <mergeCell ref="M6:M7"/>
    <mergeCell ref="BI2:BJ2"/>
    <mergeCell ref="BK2:BM2"/>
    <mergeCell ref="AZ3:AZ5"/>
    <mergeCell ref="BB3:BB5"/>
    <mergeCell ref="BD3:BD5"/>
    <mergeCell ref="BF3:BF5"/>
    <mergeCell ref="BH3:BH5"/>
    <mergeCell ref="O31:O34"/>
    <mergeCell ref="D18:E18"/>
    <mergeCell ref="Q15:R16"/>
    <mergeCell ref="N16:N17"/>
    <mergeCell ref="O16:O17"/>
    <mergeCell ref="F16:K16"/>
    <mergeCell ref="L16:M16"/>
    <mergeCell ref="AH16:AH17"/>
    <mergeCell ref="AI16:AI17"/>
    <mergeCell ref="AJ16:AJ17"/>
    <mergeCell ref="F17:H17"/>
    <mergeCell ref="V16:V17"/>
    <mergeCell ref="W16:W17"/>
    <mergeCell ref="X16:X17"/>
    <mergeCell ref="Y16:AC16"/>
    <mergeCell ref="AD16:AD17"/>
    <mergeCell ref="AE16:AE17"/>
    <mergeCell ref="T15:T17"/>
    <mergeCell ref="U15:U17"/>
    <mergeCell ref="V15:AE15"/>
    <mergeCell ref="AF15:AG16"/>
    <mergeCell ref="AH15:AJ15"/>
    <mergeCell ref="S15:S17"/>
    <mergeCell ref="N15:O15"/>
    <mergeCell ref="Q18:Q27"/>
    <mergeCell ref="S18:S27"/>
    <mergeCell ref="F28:K28"/>
    <mergeCell ref="D23:E23"/>
    <mergeCell ref="F23:H23"/>
    <mergeCell ref="D24:E24"/>
    <mergeCell ref="F24:H24"/>
    <mergeCell ref="D25:E25"/>
    <mergeCell ref="F25:H25"/>
    <mergeCell ref="D28:E28"/>
    <mergeCell ref="D27:E27"/>
    <mergeCell ref="F27:H27"/>
    <mergeCell ref="O28:O30"/>
    <mergeCell ref="D19:E19"/>
    <mergeCell ref="F30:H30"/>
    <mergeCell ref="D29:D30"/>
    <mergeCell ref="F19:H19"/>
    <mergeCell ref="D20:E20"/>
    <mergeCell ref="F20:H20"/>
    <mergeCell ref="D21:E21"/>
    <mergeCell ref="F18:H18"/>
    <mergeCell ref="F21:H21"/>
    <mergeCell ref="D22:E22"/>
    <mergeCell ref="F22:H22"/>
    <mergeCell ref="N42:O46"/>
    <mergeCell ref="D43:E43"/>
    <mergeCell ref="F43:H43"/>
    <mergeCell ref="D44:E44"/>
    <mergeCell ref="F44:H44"/>
    <mergeCell ref="D45:E45"/>
    <mergeCell ref="F45:H45"/>
    <mergeCell ref="D46:E46"/>
    <mergeCell ref="F46:H46"/>
    <mergeCell ref="F42:H42"/>
    <mergeCell ref="N47:O49"/>
    <mergeCell ref="D48:E48"/>
    <mergeCell ref="F48:H48"/>
    <mergeCell ref="D49:E49"/>
    <mergeCell ref="F49:H49"/>
    <mergeCell ref="A50:C52"/>
    <mergeCell ref="D50:E50"/>
    <mergeCell ref="F50:H50"/>
    <mergeCell ref="N50:O52"/>
    <mergeCell ref="D51:E51"/>
    <mergeCell ref="A47:C49"/>
    <mergeCell ref="D47:E47"/>
    <mergeCell ref="F47:H47"/>
    <mergeCell ref="F51:H51"/>
    <mergeCell ref="D52:E52"/>
    <mergeCell ref="F52:H52"/>
    <mergeCell ref="D57:E57"/>
    <mergeCell ref="F57:H57"/>
    <mergeCell ref="N53:O62"/>
    <mergeCell ref="B54:C54"/>
    <mergeCell ref="D54:E54"/>
    <mergeCell ref="F54:H54"/>
    <mergeCell ref="B55:C55"/>
    <mergeCell ref="D55:E55"/>
    <mergeCell ref="F55:H55"/>
    <mergeCell ref="B56:C56"/>
    <mergeCell ref="D56:E56"/>
    <mergeCell ref="F56:H56"/>
    <mergeCell ref="F60:H60"/>
    <mergeCell ref="F61:H61"/>
    <mergeCell ref="F58:H58"/>
    <mergeCell ref="F59:H59"/>
    <mergeCell ref="B61:C61"/>
    <mergeCell ref="D61:E61"/>
    <mergeCell ref="Q75:Q79"/>
    <mergeCell ref="R75:R79"/>
    <mergeCell ref="T75:T79"/>
    <mergeCell ref="AF72:AG73"/>
    <mergeCell ref="AH72:AJ72"/>
    <mergeCell ref="V73:V74"/>
    <mergeCell ref="W73:W74"/>
    <mergeCell ref="X73:X74"/>
    <mergeCell ref="Y73:AC73"/>
    <mergeCell ref="AD73:AD74"/>
    <mergeCell ref="AE73:AE74"/>
    <mergeCell ref="AH73:AH74"/>
    <mergeCell ref="AI73:AI74"/>
    <mergeCell ref="AJ73:AJ74"/>
    <mergeCell ref="Z74:AB74"/>
    <mergeCell ref="AC74:AC79"/>
    <mergeCell ref="AI75:AJ75"/>
    <mergeCell ref="AI76:AJ76"/>
    <mergeCell ref="AI77:AJ77"/>
    <mergeCell ref="AI78:AJ78"/>
    <mergeCell ref="U75:U79"/>
    <mergeCell ref="Z75:AB79"/>
    <mergeCell ref="AF75:AG79"/>
    <mergeCell ref="B88:C88"/>
    <mergeCell ref="D88:K88"/>
    <mergeCell ref="B86:C86"/>
    <mergeCell ref="D86:K86"/>
    <mergeCell ref="B87:C87"/>
    <mergeCell ref="B85:C85"/>
    <mergeCell ref="D85:K85"/>
    <mergeCell ref="F83:G83"/>
    <mergeCell ref="F84:G84"/>
    <mergeCell ref="D83:E84"/>
    <mergeCell ref="I82:I84"/>
    <mergeCell ref="K82:K84"/>
    <mergeCell ref="D87:K87"/>
    <mergeCell ref="B81:C82"/>
    <mergeCell ref="F81:G82"/>
    <mergeCell ref="H81:H82"/>
    <mergeCell ref="D81:E82"/>
    <mergeCell ref="J81:J82"/>
    <mergeCell ref="B83:C84"/>
    <mergeCell ref="N79:N80"/>
    <mergeCell ref="O79:O80"/>
    <mergeCell ref="B80:C80"/>
    <mergeCell ref="A63:A64"/>
    <mergeCell ref="F29:H29"/>
    <mergeCell ref="A36:A37"/>
    <mergeCell ref="M81:M82"/>
    <mergeCell ref="D37:E37"/>
    <mergeCell ref="B31:C34"/>
    <mergeCell ref="D80:K80"/>
    <mergeCell ref="N64:O64"/>
    <mergeCell ref="A67:A70"/>
    <mergeCell ref="B68:B70"/>
    <mergeCell ref="I68:I70"/>
    <mergeCell ref="C69:C70"/>
    <mergeCell ref="D69:D70"/>
    <mergeCell ref="B62:C62"/>
    <mergeCell ref="D62:E62"/>
    <mergeCell ref="F62:H62"/>
    <mergeCell ref="B64:C64"/>
    <mergeCell ref="D64:E64"/>
    <mergeCell ref="F64:H64"/>
    <mergeCell ref="D63:E63"/>
    <mergeCell ref="F63:H63"/>
    <mergeCell ref="A83:A84"/>
    <mergeCell ref="B38:C38"/>
    <mergeCell ref="D38:E38"/>
    <mergeCell ref="F38:H38"/>
    <mergeCell ref="B60:C60"/>
    <mergeCell ref="D60:E60"/>
    <mergeCell ref="B58:C58"/>
    <mergeCell ref="D58:E58"/>
    <mergeCell ref="B59:C59"/>
    <mergeCell ref="D59:E59"/>
    <mergeCell ref="A42:C46"/>
    <mergeCell ref="D42:E42"/>
    <mergeCell ref="C68:D68"/>
    <mergeCell ref="E69:G69"/>
    <mergeCell ref="H69:H70"/>
    <mergeCell ref="E68:H68"/>
    <mergeCell ref="B67:H67"/>
    <mergeCell ref="A79:C79"/>
    <mergeCell ref="D79:M79"/>
    <mergeCell ref="A53:A62"/>
    <mergeCell ref="B53:C53"/>
    <mergeCell ref="D53:E53"/>
    <mergeCell ref="F53:H53"/>
    <mergeCell ref="B57:C57"/>
    <mergeCell ref="O85:O86"/>
    <mergeCell ref="M85:M86"/>
    <mergeCell ref="N85:N86"/>
    <mergeCell ref="R18:R27"/>
    <mergeCell ref="O18:O27"/>
    <mergeCell ref="B63:C63"/>
    <mergeCell ref="N63:O63"/>
    <mergeCell ref="D26:E26"/>
    <mergeCell ref="F26:H26"/>
    <mergeCell ref="A39:C39"/>
    <mergeCell ref="A40:C41"/>
    <mergeCell ref="O81:O82"/>
    <mergeCell ref="A81:A82"/>
    <mergeCell ref="L81:L82"/>
    <mergeCell ref="Q69:AJ69"/>
    <mergeCell ref="Q72:R73"/>
    <mergeCell ref="T72:T74"/>
    <mergeCell ref="U72:U74"/>
    <mergeCell ref="V72:AE72"/>
    <mergeCell ref="L83:L84"/>
    <mergeCell ref="M83:M84"/>
    <mergeCell ref="N81:N82"/>
    <mergeCell ref="N83:N84"/>
    <mergeCell ref="O83:O84"/>
  </mergeCells>
  <phoneticPr fontId="1"/>
  <conditionalFormatting sqref="O81:O88">
    <cfRule type="cellIs" dxfId="21" priority="108" operator="lessThan">
      <formula>0</formula>
    </cfRule>
  </conditionalFormatting>
  <conditionalFormatting sqref="M18:M38 M42:M64 O18:O38 N42:O64">
    <cfRule type="containsText" dxfId="20" priority="107" operator="containsText" text="×">
      <formula>NOT(ISERROR(SEARCH("×",M18)))</formula>
    </cfRule>
  </conditionalFormatting>
  <conditionalFormatting sqref="F18:H27 F29:H30 F32:H34 F38 K18:K27 K29:K30 K32:K34 K38 K42:K64">
    <cfRule type="expression" dxfId="19" priority="105">
      <formula>IFERROR(NOT($W18),ture)</formula>
    </cfRule>
  </conditionalFormatting>
  <conditionalFormatting sqref="J18:J27 J29:J30 J32:J34 J38 J42:J64">
    <cfRule type="expression" dxfId="18" priority="104">
      <formula>AND($J18&lt;&gt;"",$J18&lt;&gt;"○")</formula>
    </cfRule>
  </conditionalFormatting>
  <conditionalFormatting sqref="A15:O66 A77:O88 A67:B67 I67:O71 A68:C68 A70:G76 A69:D69 E68 J72:O76">
    <cfRule type="containsText" dxfId="17" priority="102" operator="containsText" text="エラー">
      <formula>NOT(ISERROR(SEARCH("エラー",A15)))</formula>
    </cfRule>
  </conditionalFormatting>
  <conditionalFormatting sqref="L18:L38 L42:L64">
    <cfRule type="containsText" dxfId="16" priority="103" operator="containsText" text="調整">
      <formula>NOT(ISERROR(SEARCH("調整",L18)))</formula>
    </cfRule>
  </conditionalFormatting>
  <conditionalFormatting sqref="H69">
    <cfRule type="containsText" dxfId="15" priority="7" operator="containsText" text="エラー">
      <formula>NOT(ISERROR(SEARCH("エラー",H69)))</formula>
    </cfRule>
  </conditionalFormatting>
  <conditionalFormatting sqref="H71:H76">
    <cfRule type="containsText" dxfId="14" priority="6" operator="containsText" text="エラー">
      <formula>NOT(ISERROR(SEARCH("エラー",H71)))</formula>
    </cfRule>
  </conditionalFormatting>
  <conditionalFormatting sqref="A1:XFD71 A77:XFD1048576 A72:H76 J72:XFD76">
    <cfRule type="expression" dxfId="13" priority="5">
      <formula>CELL("protect"=0)</formula>
    </cfRule>
  </conditionalFormatting>
  <conditionalFormatting sqref="I73:I75">
    <cfRule type="containsText" dxfId="12" priority="4" operator="containsText" text="エラー">
      <formula>NOT(ISERROR(SEARCH("エラー",I73)))</formula>
    </cfRule>
  </conditionalFormatting>
  <conditionalFormatting sqref="I72">
    <cfRule type="containsText" dxfId="11" priority="2" operator="containsText" text="エラー">
      <formula>NOT(ISERROR(SEARCH("エラー",I72)))</formula>
    </cfRule>
  </conditionalFormatting>
  <conditionalFormatting sqref="I76">
    <cfRule type="containsText" dxfId="10" priority="1" operator="containsText" text="エラー">
      <formula>NOT(ISERROR(SEARCH("エラー",I76)))</formula>
    </cfRule>
  </conditionalFormatting>
  <dataValidations count="2">
    <dataValidation type="list" allowBlank="1" showInputMessage="1" showErrorMessage="1" sqref="F38:H38 F42:F62 F18:H27 F32:H33 F29:H29" xr:uid="{00000000-0002-0000-0800-000000000000}">
      <formula1>INDIRECT($T18)</formula1>
    </dataValidation>
    <dataValidation type="decimal" allowBlank="1" showInputMessage="1" showErrorMessage="1" sqref="K33 K42:K64" xr:uid="{00000000-0002-0000-0800-000001000000}">
      <formula1>0</formula1>
      <formula2>$U33</formula2>
    </dataValidation>
  </dataValidations>
  <printOptions horizontalCentered="1"/>
  <pageMargins left="0.51181102362204722" right="0.31496062992125984" top="0.74803149606299213" bottom="0.74803149606299213" header="0.31496062992125984" footer="0.31496062992125984"/>
  <pageSetup paperSize="9" scale="59" orientation="portrait" r:id="rId1"/>
  <rowBreaks count="2" manualBreakCount="2">
    <brk id="38" max="14" man="1"/>
    <brk id="112" max="1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H29"/>
  <sheetViews>
    <sheetView showZeros="0" view="pageBreakPreview" zoomScale="85" zoomScaleNormal="85" zoomScaleSheetLayoutView="85" workbookViewId="0">
      <selection activeCell="O15" sqref="O15:P15"/>
    </sheetView>
  </sheetViews>
  <sheetFormatPr defaultRowHeight="12" outlineLevelCol="1"/>
  <cols>
    <col min="1" max="21" width="6.625" style="93" customWidth="1"/>
    <col min="22" max="22" width="50.625" style="93" customWidth="1"/>
    <col min="23" max="23" width="18.75" style="93" hidden="1" customWidth="1" outlineLevel="1"/>
    <col min="24" max="33" width="9" style="93" hidden="1" customWidth="1" outlineLevel="1"/>
    <col min="34" max="34" width="9" style="93" collapsed="1"/>
    <col min="35" max="16384" width="9" style="93"/>
  </cols>
  <sheetData>
    <row r="1" spans="1:33">
      <c r="A1" s="647"/>
      <c r="B1" s="647"/>
      <c r="C1" s="647"/>
      <c r="D1" s="647"/>
      <c r="E1" s="647"/>
      <c r="F1" s="647"/>
      <c r="G1" s="647"/>
      <c r="H1" s="647"/>
      <c r="I1" s="647"/>
      <c r="J1" s="647"/>
      <c r="K1" s="647"/>
      <c r="L1" s="647"/>
      <c r="M1" s="647"/>
      <c r="N1" s="647"/>
      <c r="O1" s="647"/>
      <c r="P1" s="647"/>
      <c r="Q1" s="647"/>
      <c r="R1" s="1808" t="str">
        <f>W2&amp;"様式6"&amp;W3</f>
        <v>加-23_月申-様式6-家_Ver.2.00</v>
      </c>
      <c r="S1" s="1808"/>
      <c r="T1" s="1808"/>
      <c r="U1" s="1808"/>
      <c r="W1" s="721" t="s">
        <v>654</v>
      </c>
      <c r="X1" s="96" t="s">
        <v>85</v>
      </c>
      <c r="Y1" s="96" t="s">
        <v>83</v>
      </c>
      <c r="Z1" s="117" t="s">
        <v>47</v>
      </c>
      <c r="AA1" s="117" t="s">
        <v>351</v>
      </c>
      <c r="AB1" s="118" t="s">
        <v>46</v>
      </c>
      <c r="AC1" s="118" t="s">
        <v>226</v>
      </c>
      <c r="AD1" s="118" t="s">
        <v>49</v>
      </c>
      <c r="AE1" s="118" t="s">
        <v>116</v>
      </c>
      <c r="AF1" s="119" t="s">
        <v>86</v>
      </c>
      <c r="AG1" s="96" t="s">
        <v>93</v>
      </c>
    </row>
    <row r="2" spans="1:33">
      <c r="A2" s="815" t="s">
        <v>353</v>
      </c>
      <c r="B2" s="647"/>
      <c r="C2" s="647"/>
      <c r="D2" s="647"/>
      <c r="E2" s="647"/>
      <c r="F2" s="647"/>
      <c r="G2" s="647"/>
      <c r="H2" s="647"/>
      <c r="I2" s="647"/>
      <c r="J2" s="647"/>
      <c r="K2" s="647"/>
      <c r="L2" s="647"/>
      <c r="M2" s="647"/>
      <c r="N2" s="647"/>
      <c r="O2" s="647"/>
      <c r="P2" s="647"/>
      <c r="Q2" s="647"/>
      <c r="R2" s="1819" t="s">
        <v>127</v>
      </c>
      <c r="S2" s="1819"/>
      <c r="T2" s="1819"/>
      <c r="U2" s="1819"/>
      <c r="W2" s="721" t="str">
        <f>【様式１】総括表・個票!$AI$2</f>
        <v>加-23_月申-</v>
      </c>
      <c r="X2" s="96"/>
      <c r="Y2" s="96"/>
      <c r="Z2" s="117"/>
      <c r="AA2" s="118"/>
      <c r="AB2" s="118"/>
      <c r="AC2" s="120"/>
      <c r="AD2" s="121"/>
      <c r="AE2" s="118"/>
      <c r="AF2" s="96"/>
      <c r="AG2" s="96"/>
    </row>
    <row r="3" spans="1:33" ht="13.5">
      <c r="A3" s="647"/>
      <c r="B3" s="647"/>
      <c r="C3" s="647"/>
      <c r="D3" s="647"/>
      <c r="E3" s="647"/>
      <c r="F3" s="647"/>
      <c r="G3" s="647"/>
      <c r="H3" s="647"/>
      <c r="I3" s="647"/>
      <c r="J3" s="647"/>
      <c r="K3" s="647"/>
      <c r="L3" s="647"/>
      <c r="M3" s="647"/>
      <c r="N3" s="647"/>
      <c r="O3" s="647"/>
      <c r="P3" s="647"/>
      <c r="Q3" s="647"/>
      <c r="R3" s="647"/>
      <c r="S3" s="647"/>
      <c r="T3" s="647"/>
      <c r="U3" s="647"/>
      <c r="W3" s="721" t="str">
        <f>【様式１】総括表・個票!$AI$3</f>
        <v>-家_Ver.2.00</v>
      </c>
      <c r="X3" s="96">
        <v>2</v>
      </c>
      <c r="Y3" s="96">
        <v>7</v>
      </c>
      <c r="Z3" s="122" t="s">
        <v>35</v>
      </c>
      <c r="AA3" s="888" t="s">
        <v>706</v>
      </c>
      <c r="AB3" s="118" t="s">
        <v>7</v>
      </c>
      <c r="AC3" s="120" t="s">
        <v>406</v>
      </c>
      <c r="AD3" s="123">
        <v>1</v>
      </c>
      <c r="AE3" s="118">
        <v>1</v>
      </c>
      <c r="AF3" s="119">
        <v>1</v>
      </c>
      <c r="AG3" s="96" t="s">
        <v>94</v>
      </c>
    </row>
    <row r="4" spans="1:33" ht="13.5">
      <c r="A4" s="647"/>
      <c r="B4" s="647"/>
      <c r="C4" s="647"/>
      <c r="D4" s="647"/>
      <c r="E4" s="647"/>
      <c r="F4" s="647"/>
      <c r="G4" s="647"/>
      <c r="H4" s="647"/>
      <c r="I4" s="647"/>
      <c r="J4" s="647"/>
      <c r="K4" s="647"/>
      <c r="L4" s="1823" t="s">
        <v>75</v>
      </c>
      <c r="M4" s="1824"/>
      <c r="N4" s="1825"/>
      <c r="O4" s="1823" t="str">
        <f>【様式１】総括表・個票!$D$10</f>
        <v/>
      </c>
      <c r="P4" s="1824"/>
      <c r="Q4" s="1824"/>
      <c r="R4" s="648" t="s">
        <v>11</v>
      </c>
      <c r="S4" s="776">
        <f>【様式１】総括表・個票!$I$10</f>
        <v>0</v>
      </c>
      <c r="T4" s="1820" t="s">
        <v>74</v>
      </c>
      <c r="U4" s="1821"/>
      <c r="X4" s="96">
        <v>3</v>
      </c>
      <c r="Y4" s="96">
        <v>6</v>
      </c>
      <c r="Z4" s="124"/>
      <c r="AA4" s="888" t="s">
        <v>707</v>
      </c>
      <c r="AB4" s="118" t="s">
        <v>45</v>
      </c>
      <c r="AC4" s="120" t="s">
        <v>408</v>
      </c>
      <c r="AD4" s="123">
        <v>2</v>
      </c>
      <c r="AE4" s="118">
        <v>2</v>
      </c>
      <c r="AF4" s="119">
        <v>2</v>
      </c>
      <c r="AG4" s="97" t="s">
        <v>95</v>
      </c>
    </row>
    <row r="5" spans="1:33" ht="13.5">
      <c r="A5" s="647"/>
      <c r="B5" s="647"/>
      <c r="C5" s="647"/>
      <c r="D5" s="647"/>
      <c r="E5" s="647"/>
      <c r="F5" s="647"/>
      <c r="G5" s="647"/>
      <c r="H5" s="647"/>
      <c r="I5" s="647"/>
      <c r="J5" s="647"/>
      <c r="K5" s="647"/>
      <c r="L5" s="1826" t="s">
        <v>12</v>
      </c>
      <c r="M5" s="1827"/>
      <c r="N5" s="1828"/>
      <c r="O5" s="1826">
        <f>【様式１】総括表・個票!D12</f>
        <v>0</v>
      </c>
      <c r="P5" s="1827"/>
      <c r="Q5" s="1827"/>
      <c r="R5" s="1827"/>
      <c r="S5" s="1827"/>
      <c r="T5" s="1827"/>
      <c r="U5" s="1828"/>
      <c r="X5" s="96">
        <v>4</v>
      </c>
      <c r="Y5" s="96">
        <v>5</v>
      </c>
      <c r="Z5" s="124"/>
      <c r="AA5" s="888" t="s">
        <v>708</v>
      </c>
      <c r="AB5" s="125"/>
      <c r="AC5" s="120" t="s">
        <v>410</v>
      </c>
      <c r="AD5" s="123">
        <v>3</v>
      </c>
      <c r="AE5" s="118">
        <v>3</v>
      </c>
      <c r="AF5" s="119">
        <v>3</v>
      </c>
      <c r="AG5" s="126" t="s">
        <v>96</v>
      </c>
    </row>
    <row r="6" spans="1:33" ht="13.5">
      <c r="A6" s="647"/>
      <c r="B6" s="647"/>
      <c r="C6" s="647"/>
      <c r="D6" s="647"/>
      <c r="E6" s="647"/>
      <c r="F6" s="647"/>
      <c r="G6" s="647"/>
      <c r="H6" s="647"/>
      <c r="I6" s="647"/>
      <c r="J6" s="647"/>
      <c r="K6" s="647"/>
      <c r="L6" s="647"/>
      <c r="M6" s="647"/>
      <c r="N6" s="647"/>
      <c r="O6" s="647"/>
      <c r="P6" s="647"/>
      <c r="Q6" s="647"/>
      <c r="R6" s="647"/>
      <c r="S6" s="647"/>
      <c r="T6" s="647"/>
      <c r="U6" s="647"/>
      <c r="X6" s="96">
        <v>5</v>
      </c>
      <c r="Y6" s="127">
        <v>4</v>
      </c>
      <c r="Z6" s="124"/>
      <c r="AA6" s="888" t="s">
        <v>709</v>
      </c>
      <c r="AB6" s="125"/>
      <c r="AC6" s="125"/>
      <c r="AD6" s="123">
        <v>3.5</v>
      </c>
      <c r="AE6" s="118">
        <v>4</v>
      </c>
      <c r="AF6" s="119">
        <v>4</v>
      </c>
      <c r="AG6" s="128"/>
    </row>
    <row r="7" spans="1:33" ht="14.25">
      <c r="A7" s="595"/>
      <c r="B7" s="649" t="str">
        <f>【様式１】総括表・個票!A3&amp;"【確認表】"</f>
        <v>2023年度施設型給付費等にかかる加算（調整）適用申請書（試算様式）【確認表】</v>
      </c>
      <c r="C7" s="595"/>
      <c r="D7" s="595"/>
      <c r="E7" s="595"/>
      <c r="F7" s="595"/>
      <c r="G7" s="595"/>
      <c r="H7" s="595"/>
      <c r="I7" s="595"/>
      <c r="J7" s="595"/>
      <c r="K7" s="595"/>
      <c r="L7" s="595"/>
      <c r="M7" s="595"/>
      <c r="N7" s="595"/>
      <c r="O7" s="595"/>
      <c r="P7" s="595"/>
      <c r="Q7" s="595"/>
      <c r="R7" s="595"/>
      <c r="S7" s="595"/>
      <c r="T7" s="595"/>
      <c r="U7" s="595"/>
      <c r="X7" s="96">
        <v>6</v>
      </c>
      <c r="Y7" s="96"/>
      <c r="Z7" s="124"/>
      <c r="AA7" s="124"/>
      <c r="AB7" s="125"/>
      <c r="AC7" s="125"/>
      <c r="AD7" s="123">
        <v>4</v>
      </c>
      <c r="AE7" s="118">
        <v>5</v>
      </c>
      <c r="AF7" s="119">
        <v>5</v>
      </c>
    </row>
    <row r="8" spans="1:33">
      <c r="A8" s="647"/>
      <c r="B8" s="647"/>
      <c r="C8" s="647"/>
      <c r="D8" s="647"/>
      <c r="E8" s="647"/>
      <c r="F8" s="647"/>
      <c r="G8" s="647"/>
      <c r="H8" s="647"/>
      <c r="I8" s="647"/>
      <c r="J8" s="647"/>
      <c r="K8" s="647"/>
      <c r="L8" s="647"/>
      <c r="M8" s="647"/>
      <c r="N8" s="647"/>
      <c r="O8" s="647"/>
      <c r="P8" s="647"/>
      <c r="Q8" s="647"/>
      <c r="R8" s="647"/>
      <c r="S8" s="647"/>
      <c r="T8" s="647"/>
      <c r="U8" s="647"/>
      <c r="X8" s="96">
        <v>7</v>
      </c>
      <c r="Y8" s="96"/>
      <c r="Z8" s="124"/>
      <c r="AA8" s="124"/>
      <c r="AB8" s="125"/>
      <c r="AC8" s="125"/>
      <c r="AD8" s="123">
        <v>4.5</v>
      </c>
      <c r="AE8" s="125"/>
      <c r="AF8" s="119">
        <v>6</v>
      </c>
    </row>
    <row r="9" spans="1:33">
      <c r="A9" s="647"/>
      <c r="B9" s="595" t="s">
        <v>76</v>
      </c>
      <c r="C9" s="647"/>
      <c r="D9" s="647"/>
      <c r="E9" s="647"/>
      <c r="F9" s="647"/>
      <c r="G9" s="647"/>
      <c r="H9" s="647"/>
      <c r="I9" s="647"/>
      <c r="J9" s="647"/>
      <c r="K9" s="647"/>
      <c r="L9" s="647"/>
      <c r="M9" s="647"/>
      <c r="N9" s="647"/>
      <c r="O9" s="647"/>
      <c r="P9" s="647"/>
      <c r="Q9" s="647"/>
      <c r="R9" s="647"/>
      <c r="S9" s="647"/>
      <c r="T9" s="647"/>
      <c r="U9" s="647"/>
      <c r="X9" s="96">
        <v>8</v>
      </c>
      <c r="Y9" s="96"/>
      <c r="Z9" s="124"/>
      <c r="AA9" s="124"/>
      <c r="AB9" s="125"/>
      <c r="AC9" s="125"/>
      <c r="AD9" s="123">
        <v>5</v>
      </c>
      <c r="AE9" s="125"/>
      <c r="AF9" s="119">
        <v>7</v>
      </c>
    </row>
    <row r="10" spans="1:33">
      <c r="A10" s="647"/>
      <c r="B10" s="1822" t="s">
        <v>79</v>
      </c>
      <c r="C10" s="1822"/>
      <c r="D10" s="1822"/>
      <c r="E10" s="1822"/>
      <c r="F10" s="1822"/>
      <c r="G10" s="1822"/>
      <c r="H10" s="1822"/>
      <c r="I10" s="1822"/>
      <c r="J10" s="1822"/>
      <c r="K10" s="1822"/>
      <c r="L10" s="1822"/>
      <c r="M10" s="1822"/>
      <c r="N10" s="1822"/>
      <c r="O10" s="1822"/>
      <c r="P10" s="1822"/>
      <c r="Q10" s="1822"/>
      <c r="R10" s="1822"/>
      <c r="S10" s="1822"/>
      <c r="T10" s="1822"/>
      <c r="U10" s="1822"/>
      <c r="X10" s="96">
        <v>9</v>
      </c>
      <c r="Y10" s="96"/>
      <c r="AD10" s="123">
        <v>5.5</v>
      </c>
      <c r="AF10" s="119">
        <v>8</v>
      </c>
    </row>
    <row r="11" spans="1:33">
      <c r="A11" s="647"/>
      <c r="B11" s="1822" t="s">
        <v>350</v>
      </c>
      <c r="C11" s="1822"/>
      <c r="D11" s="1822"/>
      <c r="E11" s="1822"/>
      <c r="F11" s="1822"/>
      <c r="G11" s="1822"/>
      <c r="H11" s="1822"/>
      <c r="I11" s="1822"/>
      <c r="J11" s="1822"/>
      <c r="K11" s="1822"/>
      <c r="L11" s="1822"/>
      <c r="M11" s="1822"/>
      <c r="N11" s="1822"/>
      <c r="O11" s="1822"/>
      <c r="P11" s="1822"/>
      <c r="Q11" s="1822"/>
      <c r="R11" s="1822"/>
      <c r="S11" s="1822"/>
      <c r="T11" s="1822"/>
      <c r="U11" s="1822"/>
      <c r="X11" s="96">
        <v>10</v>
      </c>
      <c r="Y11" s="96"/>
      <c r="AD11" s="123">
        <v>6</v>
      </c>
      <c r="AF11" s="119">
        <v>9</v>
      </c>
    </row>
    <row r="12" spans="1:33">
      <c r="A12" s="647"/>
      <c r="B12" s="647"/>
      <c r="C12" s="647"/>
      <c r="D12" s="647"/>
      <c r="E12" s="647"/>
      <c r="F12" s="647"/>
      <c r="G12" s="647"/>
      <c r="H12" s="647"/>
      <c r="I12" s="647"/>
      <c r="J12" s="647"/>
      <c r="K12" s="647"/>
      <c r="L12" s="647"/>
      <c r="M12" s="647"/>
      <c r="N12" s="647"/>
      <c r="O12" s="647"/>
      <c r="P12" s="647"/>
      <c r="Q12" s="647"/>
      <c r="R12" s="647"/>
      <c r="S12" s="647"/>
      <c r="T12" s="647"/>
      <c r="U12" s="647"/>
      <c r="X12" s="96">
        <v>11</v>
      </c>
      <c r="Y12" s="96"/>
      <c r="AD12" s="123">
        <v>6.5</v>
      </c>
      <c r="AF12" s="119">
        <v>10</v>
      </c>
    </row>
    <row r="13" spans="1:33" ht="12.75" thickBot="1">
      <c r="A13" s="595"/>
      <c r="B13" s="595" t="s">
        <v>77</v>
      </c>
      <c r="C13" s="595"/>
      <c r="D13" s="595"/>
      <c r="E13" s="595"/>
      <c r="F13" s="595"/>
      <c r="G13" s="595"/>
      <c r="H13" s="595"/>
      <c r="I13" s="647"/>
      <c r="J13" s="647"/>
      <c r="K13" s="647"/>
      <c r="L13" s="647"/>
      <c r="M13" s="647"/>
      <c r="N13" s="647"/>
      <c r="O13" s="647"/>
      <c r="P13" s="647"/>
      <c r="Q13" s="647"/>
      <c r="R13" s="647"/>
      <c r="S13" s="647"/>
      <c r="T13" s="647"/>
      <c r="U13" s="647"/>
      <c r="X13" s="96">
        <v>12</v>
      </c>
      <c r="Y13" s="96"/>
      <c r="AD13" s="123">
        <v>7</v>
      </c>
      <c r="AF13" s="119">
        <v>11</v>
      </c>
    </row>
    <row r="14" spans="1:33">
      <c r="A14" s="647"/>
      <c r="B14" s="1811" t="s">
        <v>61</v>
      </c>
      <c r="C14" s="1813">
        <f>【様式１】総括表・個票!$A19</f>
        <v>1</v>
      </c>
      <c r="D14" s="1814"/>
      <c r="E14" s="1815"/>
      <c r="F14" s="775">
        <f>【様式１】総括表・個票!$A20</f>
        <v>2</v>
      </c>
      <c r="G14" s="775">
        <f>【様式１】総括表・個票!$A21</f>
        <v>3</v>
      </c>
      <c r="H14" s="775">
        <f>【様式１】総括表・個票!$A22</f>
        <v>4</v>
      </c>
      <c r="I14" s="775">
        <f>【様式１】総括表・個票!$A23</f>
        <v>5</v>
      </c>
      <c r="J14" s="774">
        <f>【様式１】総括表・個票!$A24</f>
        <v>6</v>
      </c>
      <c r="K14" s="774">
        <f>【様式１】総括表・個票!$A25</f>
        <v>7</v>
      </c>
      <c r="L14" s="774">
        <f>【様式１】総括表・個票!$A27</f>
        <v>8</v>
      </c>
      <c r="M14" s="774">
        <f>【様式１】総括表・個票!$A28</f>
        <v>9</v>
      </c>
      <c r="N14" s="774">
        <f>【様式１】総括表・個票!$A29</f>
        <v>10</v>
      </c>
      <c r="O14" s="1809">
        <f>【様式１】総括表・個票!$A31</f>
        <v>11</v>
      </c>
      <c r="P14" s="1810"/>
      <c r="Q14" s="881">
        <f>【様式１】総括表・個票!$A32</f>
        <v>12</v>
      </c>
      <c r="R14" s="774">
        <f>【様式１】総括表・個票!A33</f>
        <v>13</v>
      </c>
      <c r="S14" s="774">
        <f>【様式１】総括表・個票!$A34</f>
        <v>14</v>
      </c>
      <c r="T14" s="774">
        <f>【様式１】総括表・個票!$A36</f>
        <v>15</v>
      </c>
      <c r="U14" s="650">
        <f>【様式１】総括表・個票!$A37</f>
        <v>16</v>
      </c>
      <c r="AD14" s="123">
        <v>7.5</v>
      </c>
      <c r="AF14" s="119">
        <v>12</v>
      </c>
    </row>
    <row r="15" spans="1:33" ht="287.25" customHeight="1">
      <c r="A15" s="647"/>
      <c r="B15" s="1812"/>
      <c r="C15" s="1816" t="str">
        <f>【様式１】総括表・個票!$F19</f>
        <v>処遇改善等加算Ⅰ</v>
      </c>
      <c r="D15" s="1817"/>
      <c r="E15" s="1818"/>
      <c r="F15" s="651" t="str">
        <f>【様式１】総括表・個票!$F20</f>
        <v>資格保有者加算</v>
      </c>
      <c r="G15" s="651" t="str">
        <f>【様式１】総括表・個票!$F21</f>
        <v>家庭的保育補助者加算</v>
      </c>
      <c r="H15" s="651" t="str">
        <f>【様式１】総括表・個票!$F22</f>
        <v>家庭的保育支援加算</v>
      </c>
      <c r="I15" s="651" t="str">
        <f>【様式１】総括表・個票!$F23</f>
        <v>障害児保育加算</v>
      </c>
      <c r="J15" s="651" t="str">
        <f>【様式１】総括表・個票!$F24</f>
        <v>減価償却費加算</v>
      </c>
      <c r="K15" s="651" t="str">
        <f>【様式１】総括表・個票!$F25</f>
        <v>賃借料加算</v>
      </c>
      <c r="L15" s="651" t="str">
        <f>【様式１】総括表・個票!$F27</f>
        <v>連携施設を設定しない場合)（減算）</v>
      </c>
      <c r="M15" s="652" t="str">
        <f>【様式１】総括表・個票!$F28</f>
        <v>食事の提供について自園調理又は連携施設等からの搬入以外の方法による場合(減算）</v>
      </c>
      <c r="N15" s="652" t="str">
        <f>【様式１】総括表・個票!$F29</f>
        <v>土曜日に閉所する場合（前月分実績は備考欄に記載）(減算）</v>
      </c>
      <c r="O15" s="1791" t="str">
        <f>【様式１】総括表・個票!$F31</f>
        <v>処遇改善等加算Ⅱ</v>
      </c>
      <c r="P15" s="1792"/>
      <c r="Q15" s="652" t="str">
        <f>【様式１】総括表・個票!$F32</f>
        <v>処遇改善等加算Ⅲ</v>
      </c>
      <c r="R15" s="651" t="str">
        <f>【様式１】総括表・個票!$F33</f>
        <v>栄養管理加算</v>
      </c>
      <c r="S15" s="651" t="str">
        <f>【様式１】総括表・個票!$F34</f>
        <v>冷暖房費加算</v>
      </c>
      <c r="T15" s="651" t="str">
        <f>【様式１】総括表・個票!$F36</f>
        <v>施設機能強化推進費加算</v>
      </c>
      <c r="U15" s="653" t="str">
        <f>【様式１】総括表・個票!$F37</f>
        <v>第三者評価受審加算</v>
      </c>
      <c r="AD15" s="123">
        <v>8</v>
      </c>
      <c r="AF15" s="119">
        <v>13</v>
      </c>
    </row>
    <row r="16" spans="1:33" ht="62.25" thickBot="1">
      <c r="A16" s="595"/>
      <c r="B16" s="1812"/>
      <c r="C16" s="654" t="s">
        <v>82</v>
      </c>
      <c r="D16" s="655" t="s">
        <v>83</v>
      </c>
      <c r="E16" s="656" t="s">
        <v>15</v>
      </c>
      <c r="F16" s="657"/>
      <c r="G16" s="657"/>
      <c r="H16" s="657"/>
      <c r="I16" s="657" t="s">
        <v>384</v>
      </c>
      <c r="J16" s="657" t="s">
        <v>329</v>
      </c>
      <c r="K16" s="657" t="s">
        <v>112</v>
      </c>
      <c r="L16" s="657" t="s">
        <v>128</v>
      </c>
      <c r="M16" s="657" t="s">
        <v>128</v>
      </c>
      <c r="N16" s="657" t="s">
        <v>383</v>
      </c>
      <c r="O16" s="658" t="s">
        <v>80</v>
      </c>
      <c r="P16" s="659" t="s">
        <v>81</v>
      </c>
      <c r="Q16" s="890" t="s">
        <v>713</v>
      </c>
      <c r="R16" s="657" t="s">
        <v>376</v>
      </c>
      <c r="S16" s="657" t="s">
        <v>129</v>
      </c>
      <c r="T16" s="657"/>
      <c r="U16" s="660"/>
      <c r="V16" s="92"/>
      <c r="W16" s="92"/>
      <c r="AF16" s="119">
        <v>14</v>
      </c>
    </row>
    <row r="17" spans="1:32" s="92" customFormat="1" ht="35.1" customHeight="1">
      <c r="A17" s="647"/>
      <c r="B17" s="661" t="s">
        <v>84</v>
      </c>
      <c r="C17" s="1796"/>
      <c r="D17" s="1799"/>
      <c r="E17" s="1793">
        <f>SUM(C17,D17)</f>
        <v>0</v>
      </c>
      <c r="F17" s="139"/>
      <c r="G17" s="140"/>
      <c r="H17" s="816" t="s">
        <v>349</v>
      </c>
      <c r="I17" s="140"/>
      <c r="J17" s="140"/>
      <c r="K17" s="140"/>
      <c r="L17" s="140"/>
      <c r="M17" s="140"/>
      <c r="N17" s="140"/>
      <c r="O17" s="929"/>
      <c r="P17" s="929"/>
      <c r="Q17" s="929"/>
      <c r="R17" s="140"/>
      <c r="S17" s="1802" t="s">
        <v>38</v>
      </c>
      <c r="T17" s="1805"/>
      <c r="U17" s="1788"/>
      <c r="V17" s="93"/>
      <c r="W17" s="93"/>
      <c r="AF17" s="89">
        <v>15</v>
      </c>
    </row>
    <row r="18" spans="1:32" ht="35.1" customHeight="1">
      <c r="A18" s="647"/>
      <c r="B18" s="662" t="s">
        <v>63</v>
      </c>
      <c r="C18" s="1797"/>
      <c r="D18" s="1800"/>
      <c r="E18" s="1794"/>
      <c r="F18" s="141"/>
      <c r="G18" s="142"/>
      <c r="H18" s="817" t="s">
        <v>258</v>
      </c>
      <c r="I18" s="142"/>
      <c r="J18" s="142"/>
      <c r="K18" s="142"/>
      <c r="L18" s="142"/>
      <c r="M18" s="142"/>
      <c r="N18" s="142"/>
      <c r="O18" s="930"/>
      <c r="P18" s="930"/>
      <c r="Q18" s="930"/>
      <c r="R18" s="142"/>
      <c r="S18" s="1803"/>
      <c r="T18" s="1806"/>
      <c r="U18" s="1789"/>
    </row>
    <row r="19" spans="1:32" ht="35.1" customHeight="1">
      <c r="A19" s="647"/>
      <c r="B19" s="662" t="s">
        <v>64</v>
      </c>
      <c r="C19" s="1797"/>
      <c r="D19" s="1800"/>
      <c r="E19" s="1794"/>
      <c r="F19" s="141"/>
      <c r="G19" s="142"/>
      <c r="H19" s="817" t="s">
        <v>258</v>
      </c>
      <c r="I19" s="142"/>
      <c r="J19" s="142"/>
      <c r="K19" s="142"/>
      <c r="L19" s="142"/>
      <c r="M19" s="142"/>
      <c r="N19" s="142"/>
      <c r="O19" s="930"/>
      <c r="P19" s="930"/>
      <c r="Q19" s="930"/>
      <c r="R19" s="142"/>
      <c r="S19" s="1803"/>
      <c r="T19" s="1806"/>
      <c r="U19" s="1789"/>
    </row>
    <row r="20" spans="1:32" ht="35.1" customHeight="1">
      <c r="A20" s="647"/>
      <c r="B20" s="662" t="s">
        <v>65</v>
      </c>
      <c r="C20" s="1797"/>
      <c r="D20" s="1800"/>
      <c r="E20" s="1794"/>
      <c r="F20" s="141"/>
      <c r="G20" s="142"/>
      <c r="H20" s="817" t="s">
        <v>258</v>
      </c>
      <c r="I20" s="142"/>
      <c r="J20" s="142"/>
      <c r="K20" s="142"/>
      <c r="L20" s="142"/>
      <c r="M20" s="142"/>
      <c r="N20" s="142"/>
      <c r="O20" s="930"/>
      <c r="P20" s="930"/>
      <c r="Q20" s="930"/>
      <c r="R20" s="142"/>
      <c r="S20" s="1803"/>
      <c r="T20" s="1806"/>
      <c r="U20" s="1789"/>
    </row>
    <row r="21" spans="1:32" ht="35.1" customHeight="1">
      <c r="A21" s="647"/>
      <c r="B21" s="662" t="s">
        <v>66</v>
      </c>
      <c r="C21" s="1797"/>
      <c r="D21" s="1800"/>
      <c r="E21" s="1794"/>
      <c r="F21" s="141"/>
      <c r="G21" s="142"/>
      <c r="H21" s="817" t="s">
        <v>258</v>
      </c>
      <c r="I21" s="142"/>
      <c r="J21" s="142"/>
      <c r="K21" s="142"/>
      <c r="L21" s="142"/>
      <c r="M21" s="142"/>
      <c r="N21" s="142"/>
      <c r="O21" s="930"/>
      <c r="P21" s="930"/>
      <c r="Q21" s="930"/>
      <c r="R21" s="142"/>
      <c r="S21" s="1803"/>
      <c r="T21" s="1806"/>
      <c r="U21" s="1789"/>
    </row>
    <row r="22" spans="1:32" ht="35.1" customHeight="1">
      <c r="A22" s="647"/>
      <c r="B22" s="662" t="s">
        <v>67</v>
      </c>
      <c r="C22" s="1797"/>
      <c r="D22" s="1800"/>
      <c r="E22" s="1794"/>
      <c r="F22" s="141"/>
      <c r="G22" s="142"/>
      <c r="H22" s="817" t="s">
        <v>258</v>
      </c>
      <c r="I22" s="142"/>
      <c r="J22" s="142"/>
      <c r="K22" s="142"/>
      <c r="L22" s="142"/>
      <c r="M22" s="142"/>
      <c r="N22" s="142"/>
      <c r="O22" s="930"/>
      <c r="P22" s="930"/>
      <c r="Q22" s="930"/>
      <c r="R22" s="142"/>
      <c r="S22" s="1803"/>
      <c r="T22" s="1806"/>
      <c r="U22" s="1789"/>
    </row>
    <row r="23" spans="1:32" ht="35.1" customHeight="1">
      <c r="A23" s="647"/>
      <c r="B23" s="662" t="s">
        <v>68</v>
      </c>
      <c r="C23" s="1797"/>
      <c r="D23" s="1800"/>
      <c r="E23" s="1794"/>
      <c r="F23" s="141"/>
      <c r="G23" s="142"/>
      <c r="H23" s="817" t="s">
        <v>258</v>
      </c>
      <c r="I23" s="142"/>
      <c r="J23" s="142"/>
      <c r="K23" s="142"/>
      <c r="L23" s="142"/>
      <c r="M23" s="142"/>
      <c r="N23" s="142"/>
      <c r="O23" s="930"/>
      <c r="P23" s="930"/>
      <c r="Q23" s="930"/>
      <c r="R23" s="142"/>
      <c r="S23" s="1803"/>
      <c r="T23" s="1806"/>
      <c r="U23" s="1789"/>
    </row>
    <row r="24" spans="1:32" ht="35.1" customHeight="1">
      <c r="A24" s="647"/>
      <c r="B24" s="662" t="s">
        <v>69</v>
      </c>
      <c r="C24" s="1797"/>
      <c r="D24" s="1800"/>
      <c r="E24" s="1794"/>
      <c r="F24" s="141"/>
      <c r="G24" s="142"/>
      <c r="H24" s="817" t="s">
        <v>258</v>
      </c>
      <c r="I24" s="142"/>
      <c r="J24" s="142"/>
      <c r="K24" s="142"/>
      <c r="L24" s="142"/>
      <c r="M24" s="142"/>
      <c r="N24" s="142"/>
      <c r="O24" s="930"/>
      <c r="P24" s="930"/>
      <c r="Q24" s="930"/>
      <c r="R24" s="142"/>
      <c r="S24" s="1803"/>
      <c r="T24" s="1806"/>
      <c r="U24" s="1789"/>
    </row>
    <row r="25" spans="1:32" ht="35.1" customHeight="1">
      <c r="A25" s="647"/>
      <c r="B25" s="662" t="s">
        <v>70</v>
      </c>
      <c r="C25" s="1797"/>
      <c r="D25" s="1800"/>
      <c r="E25" s="1794"/>
      <c r="F25" s="141"/>
      <c r="G25" s="142"/>
      <c r="H25" s="817" t="s">
        <v>258</v>
      </c>
      <c r="I25" s="142"/>
      <c r="J25" s="142"/>
      <c r="K25" s="142"/>
      <c r="L25" s="142"/>
      <c r="M25" s="142"/>
      <c r="N25" s="142"/>
      <c r="O25" s="930"/>
      <c r="P25" s="930"/>
      <c r="Q25" s="930"/>
      <c r="R25" s="142"/>
      <c r="S25" s="1803"/>
      <c r="T25" s="1806"/>
      <c r="U25" s="1789"/>
    </row>
    <row r="26" spans="1:32" ht="35.1" customHeight="1">
      <c r="A26" s="647"/>
      <c r="B26" s="662" t="s">
        <v>71</v>
      </c>
      <c r="C26" s="1797"/>
      <c r="D26" s="1800"/>
      <c r="E26" s="1794"/>
      <c r="F26" s="141"/>
      <c r="G26" s="142"/>
      <c r="H26" s="817" t="s">
        <v>258</v>
      </c>
      <c r="I26" s="142"/>
      <c r="J26" s="142"/>
      <c r="K26" s="142"/>
      <c r="L26" s="142"/>
      <c r="M26" s="142"/>
      <c r="N26" s="142"/>
      <c r="O26" s="930"/>
      <c r="P26" s="930"/>
      <c r="Q26" s="930"/>
      <c r="R26" s="142"/>
      <c r="S26" s="1803"/>
      <c r="T26" s="1806"/>
      <c r="U26" s="1789"/>
    </row>
    <row r="27" spans="1:32" ht="35.1" customHeight="1">
      <c r="A27" s="647"/>
      <c r="B27" s="662" t="s">
        <v>72</v>
      </c>
      <c r="C27" s="1797"/>
      <c r="D27" s="1800"/>
      <c r="E27" s="1794"/>
      <c r="F27" s="141"/>
      <c r="G27" s="142"/>
      <c r="H27" s="817" t="s">
        <v>258</v>
      </c>
      <c r="I27" s="142"/>
      <c r="J27" s="142"/>
      <c r="K27" s="142"/>
      <c r="L27" s="142"/>
      <c r="M27" s="142"/>
      <c r="N27" s="142"/>
      <c r="O27" s="930"/>
      <c r="P27" s="930"/>
      <c r="Q27" s="930"/>
      <c r="R27" s="142"/>
      <c r="S27" s="1803"/>
      <c r="T27" s="1806"/>
      <c r="U27" s="1789"/>
    </row>
    <row r="28" spans="1:32" ht="35.1" customHeight="1" thickBot="1">
      <c r="A28" s="647"/>
      <c r="B28" s="663" t="s">
        <v>73</v>
      </c>
      <c r="C28" s="1798"/>
      <c r="D28" s="1801"/>
      <c r="E28" s="1795"/>
      <c r="F28" s="143"/>
      <c r="G28" s="144"/>
      <c r="H28" s="818" t="s">
        <v>258</v>
      </c>
      <c r="I28" s="144"/>
      <c r="J28" s="144"/>
      <c r="K28" s="144"/>
      <c r="L28" s="144"/>
      <c r="M28" s="144"/>
      <c r="N28" s="144"/>
      <c r="O28" s="931"/>
      <c r="P28" s="931"/>
      <c r="Q28" s="931"/>
      <c r="R28" s="144"/>
      <c r="S28" s="1804"/>
      <c r="T28" s="1807"/>
      <c r="U28" s="1790"/>
    </row>
    <row r="29" spans="1:32" ht="35.1" customHeight="1">
      <c r="S29" s="98"/>
      <c r="T29" s="98"/>
      <c r="U29" s="98"/>
    </row>
  </sheetData>
  <sheetProtection algorithmName="SHA-512" hashValue="AnFjk7rBuv1i348RGLLCnunMOpDALnfbSDjQL6tSnjtERlYTKBWg7MPRt5a0noZheZtBqZrhF0/vlV42gjo5uQ==" saltValue="096kwfweFgiAD1hXvJBPoA==" spinCount="100000" sheet="1" objects="1" scenarios="1"/>
  <mergeCells count="20">
    <mergeCell ref="R1:U1"/>
    <mergeCell ref="O14:P14"/>
    <mergeCell ref="B14:B16"/>
    <mergeCell ref="C14:E14"/>
    <mergeCell ref="C15:E15"/>
    <mergeCell ref="R2:U2"/>
    <mergeCell ref="T4:U4"/>
    <mergeCell ref="B10:U10"/>
    <mergeCell ref="B11:U11"/>
    <mergeCell ref="L4:N4"/>
    <mergeCell ref="L5:N5"/>
    <mergeCell ref="O5:U5"/>
    <mergeCell ref="O4:Q4"/>
    <mergeCell ref="U17:U28"/>
    <mergeCell ref="O15:P15"/>
    <mergeCell ref="E17:E28"/>
    <mergeCell ref="C17:C28"/>
    <mergeCell ref="D17:D28"/>
    <mergeCell ref="S17:S28"/>
    <mergeCell ref="T17:T28"/>
  </mergeCells>
  <phoneticPr fontId="1"/>
  <conditionalFormatting sqref="G17:G28">
    <cfRule type="expression" dxfId="9" priority="11">
      <formula>$G$15="選択不可"</formula>
    </cfRule>
  </conditionalFormatting>
  <conditionalFormatting sqref="I17:I28">
    <cfRule type="expression" dxfId="8" priority="10">
      <formula>$G$15="選択不可"</formula>
    </cfRule>
  </conditionalFormatting>
  <conditionalFormatting sqref="H17:H28">
    <cfRule type="expression" dxfId="7" priority="9">
      <formula>$G$15="選択不可"</formula>
    </cfRule>
  </conditionalFormatting>
  <conditionalFormatting sqref="J17:J28">
    <cfRule type="expression" dxfId="6" priority="7">
      <formula>K17="○"</formula>
    </cfRule>
  </conditionalFormatting>
  <conditionalFormatting sqref="K17:K28">
    <cfRule type="expression" dxfId="5" priority="6">
      <formula>J17="○"</formula>
    </cfRule>
  </conditionalFormatting>
  <conditionalFormatting sqref="O17:O28">
    <cfRule type="expression" dxfId="4" priority="5">
      <formula>P17=1</formula>
    </cfRule>
  </conditionalFormatting>
  <conditionalFormatting sqref="P17:Q28">
    <cfRule type="expression" dxfId="3" priority="4">
      <formula>O17=1</formula>
    </cfRule>
  </conditionalFormatting>
  <conditionalFormatting sqref="O18:O27">
    <cfRule type="expression" dxfId="2" priority="3">
      <formula>AND(O17=0,P17=1,O18=1)</formula>
    </cfRule>
  </conditionalFormatting>
  <conditionalFormatting sqref="P18:Q28">
    <cfRule type="expression" dxfId="1" priority="2">
      <formula>AND(O17=1,P17=0,P18=1)</formula>
    </cfRule>
  </conditionalFormatting>
  <conditionalFormatting sqref="O17:Q28">
    <cfRule type="expression" dxfId="0" priority="1">
      <formula>O17&gt;1</formula>
    </cfRule>
  </conditionalFormatting>
  <dataValidations count="9">
    <dataValidation type="list" showInputMessage="1" showErrorMessage="1" sqref="D17" xr:uid="{00000000-0002-0000-0900-000000000000}">
      <formula1>$Y$2:$Y$6</formula1>
    </dataValidation>
    <dataValidation type="list" showInputMessage="1" showErrorMessage="1" sqref="C17:C28" xr:uid="{00000000-0002-0000-0900-000001000000}">
      <formula1>$X$2:$X$13</formula1>
    </dataValidation>
    <dataValidation type="list" errorStyle="warning" showInputMessage="1" showErrorMessage="1" sqref="F17:H28 S17:U28" xr:uid="{00000000-0002-0000-0900-000002000000}">
      <formula1>$Z$2:$Z$3</formula1>
    </dataValidation>
    <dataValidation type="list" errorStyle="warning" showInputMessage="1" showErrorMessage="1" sqref="I17:I28" xr:uid="{00000000-0002-0000-0900-000003000000}">
      <formula1>$AE$2:$AE$7</formula1>
    </dataValidation>
    <dataValidation type="list" errorStyle="warning" showInputMessage="1" showErrorMessage="1" sqref="O17:P28" xr:uid="{00000000-0002-0000-0900-000004000000}">
      <formula1>$AF$2:$AF$3</formula1>
    </dataValidation>
    <dataValidation type="list" showInputMessage="1" showErrorMessage="1" sqref="J17:M28" xr:uid="{00000000-0002-0000-0900-000005000000}">
      <formula1>$Z$2:$Z$3</formula1>
    </dataValidation>
    <dataValidation type="list" showInputMessage="1" showErrorMessage="1" sqref="N17:N28" xr:uid="{00000000-0002-0000-0900-000006000000}">
      <formula1>$AA$2:$AA$6</formula1>
    </dataValidation>
    <dataValidation type="list" showInputMessage="1" showErrorMessage="1" sqref="R17:R28" xr:uid="{00000000-0002-0000-0900-000007000000}">
      <formula1>$AC$2:$AC$5</formula1>
    </dataValidation>
    <dataValidation type="list" errorStyle="warning" showInputMessage="1" showErrorMessage="1" sqref="Q17:Q28" xr:uid="{8F3030E8-DAC4-468C-90D9-508D248FC94F}">
      <formula1>$AF$2:$AF$17</formula1>
    </dataValidation>
  </dataValidations>
  <pageMargins left="0.70866141732283472" right="0.70866141732283472" top="0.74803149606299213" bottom="0.74803149606299213" header="0.31496062992125984" footer="0.31496062992125984"/>
  <pageSetup paperSize="9" scale="6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C18"/>
  <sheetViews>
    <sheetView workbookViewId="0">
      <selection activeCell="C10" sqref="C10"/>
    </sheetView>
  </sheetViews>
  <sheetFormatPr defaultRowHeight="13.5"/>
  <cols>
    <col min="1" max="1" width="11.625" style="154" bestFit="1" customWidth="1"/>
    <col min="2" max="2" width="9" style="154"/>
    <col min="3" max="3" width="44.75" style="154" bestFit="1" customWidth="1"/>
    <col min="4" max="16384" width="9" style="154"/>
  </cols>
  <sheetData>
    <row r="1" spans="1:3">
      <c r="A1" s="152" t="s">
        <v>196</v>
      </c>
      <c r="B1" s="153" t="s">
        <v>197</v>
      </c>
      <c r="C1" s="153" t="s">
        <v>198</v>
      </c>
    </row>
    <row r="2" spans="1:3">
      <c r="A2" s="155">
        <v>44707</v>
      </c>
      <c r="B2" s="715">
        <v>1</v>
      </c>
      <c r="C2" s="153" t="s">
        <v>199</v>
      </c>
    </row>
    <row r="3" spans="1:3" ht="32.25" customHeight="1">
      <c r="A3" s="155">
        <v>44714</v>
      </c>
      <c r="B3" s="715">
        <v>1.01</v>
      </c>
      <c r="C3" s="877" t="s">
        <v>702</v>
      </c>
    </row>
    <row r="4" spans="1:3">
      <c r="A4" s="155">
        <v>44792</v>
      </c>
      <c r="B4" s="715">
        <v>1.02</v>
      </c>
      <c r="C4" s="832" t="s">
        <v>703</v>
      </c>
    </row>
    <row r="5" spans="1:3" ht="27">
      <c r="A5" s="155">
        <v>44799</v>
      </c>
      <c r="B5" s="715">
        <v>1.03</v>
      </c>
      <c r="C5" s="877" t="s">
        <v>704</v>
      </c>
    </row>
    <row r="6" spans="1:3" ht="121.5">
      <c r="A6" s="155">
        <v>45069</v>
      </c>
      <c r="B6" s="715">
        <v>2</v>
      </c>
      <c r="C6" s="928" t="s">
        <v>742</v>
      </c>
    </row>
    <row r="7" spans="1:3">
      <c r="A7" s="155"/>
      <c r="B7" s="715"/>
      <c r="C7" s="832"/>
    </row>
    <row r="8" spans="1:3">
      <c r="A8" s="155"/>
      <c r="B8" s="715"/>
      <c r="C8" s="153"/>
    </row>
    <row r="9" spans="1:3">
      <c r="A9" s="155"/>
      <c r="B9" s="715"/>
      <c r="C9" s="153"/>
    </row>
    <row r="10" spans="1:3">
      <c r="A10" s="155"/>
      <c r="B10" s="715"/>
      <c r="C10" s="153"/>
    </row>
    <row r="11" spans="1:3">
      <c r="A11" s="155"/>
      <c r="B11" s="715"/>
      <c r="C11" s="153"/>
    </row>
    <row r="12" spans="1:3">
      <c r="A12" s="155"/>
      <c r="B12" s="715"/>
      <c r="C12" s="153"/>
    </row>
    <row r="13" spans="1:3">
      <c r="A13" s="155"/>
      <c r="B13" s="715"/>
      <c r="C13" s="153"/>
    </row>
    <row r="14" spans="1:3">
      <c r="A14" s="155"/>
      <c r="B14" s="715"/>
      <c r="C14" s="153"/>
    </row>
    <row r="15" spans="1:3">
      <c r="A15" s="155"/>
      <c r="B15" s="715"/>
      <c r="C15" s="153"/>
    </row>
    <row r="16" spans="1:3">
      <c r="A16" s="155"/>
      <c r="B16" s="715"/>
      <c r="C16" s="153"/>
    </row>
    <row r="17" spans="1:3" ht="14.25" thickBot="1">
      <c r="A17" s="155"/>
      <c r="B17" s="716"/>
      <c r="C17" s="156"/>
    </row>
    <row r="18" spans="1:3" ht="14.25" thickBot="1">
      <c r="A18" s="157"/>
      <c r="B18" s="717">
        <f>MAX(B2:B17)</f>
        <v>2</v>
      </c>
      <c r="C18" s="158"/>
    </row>
  </sheetData>
  <sheetProtection algorithmName="SHA-512" hashValue="oXrjzF8HP8BbWvJEJfsyZAqrcF5bzpYMti290fnU7+/Qi3LcH4Mblv/ySIoe4K7yGJUGQZWmlMrj3mFU4s3d1A==" saltValue="lhL0Q1lga5LpIJ+wCaqmow=="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127</vt:i4>
      </vt:variant>
    </vt:vector>
  </HeadingPairs>
  <TitlesOfParts>
    <vt:vector size="138" baseType="lpstr">
      <vt:lpstr>施設状況(要更新)</vt:lpstr>
      <vt:lpstr>休日情報(要更新) </vt:lpstr>
      <vt:lpstr>作成方法</vt:lpstr>
      <vt:lpstr>【別添】添付書類の表紙</vt:lpstr>
      <vt:lpstr>【様式１】総括表・個票</vt:lpstr>
      <vt:lpstr>(別紙2)土曜閉所 </vt:lpstr>
      <vt:lpstr>【様式2】職員名簿</vt:lpstr>
      <vt:lpstr>【様式３】シフト表 </vt:lpstr>
      <vt:lpstr>【様式５】職員数算出表</vt:lpstr>
      <vt:lpstr>【様式6】加算確認表</vt:lpstr>
      <vt:lpstr>ver</vt:lpstr>
      <vt:lpstr>'(別紙2)土曜閉所 '!Print_Area</vt:lpstr>
      <vt:lpstr>【別添】添付書類の表紙!Print_Area</vt:lpstr>
      <vt:lpstr>【様式１】総括表・個票!Print_Area</vt:lpstr>
      <vt:lpstr>【様式2】職員名簿!Print_Area</vt:lpstr>
      <vt:lpstr>'【様式３】シフト表 '!Print_Area</vt:lpstr>
      <vt:lpstr>【様式５】職員数算出表!Print_Area</vt:lpstr>
      <vt:lpstr>【様式6】加算確認表!Print_Area</vt:lpstr>
      <vt:lpstr>作成方法!Print_Area</vt:lpstr>
      <vt:lpstr>'(別紙2)土曜閉所 '!Print_Titles</vt:lpstr>
      <vt:lpstr>【様式１】総括表・個票!Print_Titles</vt:lpstr>
      <vt:lpstr>【様式2】職員名簿!Print_Titles</vt:lpstr>
      <vt:lpstr>'【様式３】シフト表 '!Print_Titles</vt:lpstr>
      <vt:lpstr>【様式５】職員数算出表!Print_Titles</vt:lpstr>
      <vt:lpstr>【様式6】加算確認表!Print_Titles</vt:lpstr>
      <vt:lpstr>栄養士</vt:lpstr>
      <vt:lpstr>家庭的保育者</vt:lpstr>
      <vt:lpstr>家庭的保育補助者</vt:lpstr>
      <vt:lpstr>業務委託</vt:lpstr>
      <vt:lpstr>厚別区01私立01保育所</vt:lpstr>
      <vt:lpstr>厚別区01私立02幼稚園</vt:lpstr>
      <vt:lpstr>厚別区01私立03認定こども園</vt:lpstr>
      <vt:lpstr>厚別区01保育所</vt:lpstr>
      <vt:lpstr>厚別区03公立01保育所</vt:lpstr>
      <vt:lpstr>厚別区03公立02幼稚園</vt:lpstr>
      <vt:lpstr>札幌市あけぼの保育園</vt:lpstr>
      <vt:lpstr>札幌市外01私立01保育所</vt:lpstr>
      <vt:lpstr>札幌市外01私立02幼稚園</vt:lpstr>
      <vt:lpstr>札幌市外01私立03認定こども園</vt:lpstr>
      <vt:lpstr>札幌市外01私立04小規模A・B・C</vt:lpstr>
      <vt:lpstr>札幌市外01私立06事業所内</vt:lpstr>
      <vt:lpstr>札幌市外02公設民営01保育所</vt:lpstr>
      <vt:lpstr>札幌市外03公立01保育所</vt:lpstr>
      <vt:lpstr>札幌市外03公立03認定こども園</vt:lpstr>
      <vt:lpstr>施設長</vt:lpstr>
      <vt:lpstr>事務員</vt:lpstr>
      <vt:lpstr>手稲区01私立01保育所</vt:lpstr>
      <vt:lpstr>手稲区01私立02幼稚園</vt:lpstr>
      <vt:lpstr>手稲区01私立03認定こども園</vt:lpstr>
      <vt:lpstr>手稲区01私立04小規模A・B・C</vt:lpstr>
      <vt:lpstr>手稲区01私立05家庭的</vt:lpstr>
      <vt:lpstr>手稲区01保育所</vt:lpstr>
      <vt:lpstr>手稲区03公立01保育所</vt:lpstr>
      <vt:lpstr>手稲区03公立02幼稚園</vt:lpstr>
      <vt:lpstr>手稲区05家庭的</vt:lpstr>
      <vt:lpstr>常勤</vt:lpstr>
      <vt:lpstr>清田区01私立01保育所</vt:lpstr>
      <vt:lpstr>清田区01私立02幼稚園</vt:lpstr>
      <vt:lpstr>清田区01私立03認定こども園</vt:lpstr>
      <vt:lpstr>清田区01私立04小規模A・B・C</vt:lpstr>
      <vt:lpstr>清田区01私立05家庭的</vt:lpstr>
      <vt:lpstr>清田区01保育所</vt:lpstr>
      <vt:lpstr>清田区03公立03認定こども園</vt:lpstr>
      <vt:lpstr>清田区05家庭的</vt:lpstr>
      <vt:lpstr>西区01私立01保育所</vt:lpstr>
      <vt:lpstr>西区01私立02幼稚園</vt:lpstr>
      <vt:lpstr>西区01私立03認定こども園</vt:lpstr>
      <vt:lpstr>西区01私立04小規模A・B・C</vt:lpstr>
      <vt:lpstr>西区01私立05家庭的</vt:lpstr>
      <vt:lpstr>西区01私立06事業所内</vt:lpstr>
      <vt:lpstr>西区01保育所</vt:lpstr>
      <vt:lpstr>西区02公設民営01保育所</vt:lpstr>
      <vt:lpstr>西区03公立01保育所</vt:lpstr>
      <vt:lpstr>西区03公立02幼稚園</vt:lpstr>
      <vt:lpstr>西区05家庭的</vt:lpstr>
      <vt:lpstr>全員</vt:lpstr>
      <vt:lpstr>全職種</vt:lpstr>
      <vt:lpstr>中央区01私立01保育所</vt:lpstr>
      <vt:lpstr>中央区01私立02幼稚園</vt:lpstr>
      <vt:lpstr>中央区01私立03認定こども園</vt:lpstr>
      <vt:lpstr>中央区01私立04小規模A・B・C</vt:lpstr>
      <vt:lpstr>中央区01保育所</vt:lpstr>
      <vt:lpstr>中央区02公設民営01保育所</vt:lpstr>
      <vt:lpstr>中央区03公立01保育所</vt:lpstr>
      <vt:lpstr>中央区03公立02幼稚園</vt:lpstr>
      <vt:lpstr>中央区05家庭的</vt:lpstr>
      <vt:lpstr>調理員</vt:lpstr>
      <vt:lpstr>東区01私立01保育所</vt:lpstr>
      <vt:lpstr>東区01私立02幼稚園</vt:lpstr>
      <vt:lpstr>東区01私立03認定こども園</vt:lpstr>
      <vt:lpstr>東区01私立04小規模A・B・C</vt:lpstr>
      <vt:lpstr>東区01私立05家庭的</vt:lpstr>
      <vt:lpstr>東区01私立06事業所内</vt:lpstr>
      <vt:lpstr>東区01保育所</vt:lpstr>
      <vt:lpstr>東区03公立01保育所</vt:lpstr>
      <vt:lpstr>東区03公立02幼稚園</vt:lpstr>
      <vt:lpstr>東区05家庭的</vt:lpstr>
      <vt:lpstr>南区01私立01保育所</vt:lpstr>
      <vt:lpstr>南区01私立02幼稚園</vt:lpstr>
      <vt:lpstr>南区01私立03認定こども園</vt:lpstr>
      <vt:lpstr>南区01私立04小規模A・B・C</vt:lpstr>
      <vt:lpstr>南区01私立05家庭的</vt:lpstr>
      <vt:lpstr>南区01私立06事業所内</vt:lpstr>
      <vt:lpstr>南区01保育所</vt:lpstr>
      <vt:lpstr>南区03公立01保育所</vt:lpstr>
      <vt:lpstr>南区03公立02幼稚園</vt:lpstr>
      <vt:lpstr>南区03公立04小規模A・B・C</vt:lpstr>
      <vt:lpstr>南区05家庭的</vt:lpstr>
      <vt:lpstr>白石区01私立01保育所</vt:lpstr>
      <vt:lpstr>白石区01私立02幼稚園</vt:lpstr>
      <vt:lpstr>白石区01私立03認定こども園</vt:lpstr>
      <vt:lpstr>白石区01私立04小規模A・B・C</vt:lpstr>
      <vt:lpstr>白石区01私立05家庭的</vt:lpstr>
      <vt:lpstr>白石区01私立06事業所内</vt:lpstr>
      <vt:lpstr>白石区01保育所</vt:lpstr>
      <vt:lpstr>白石区03公立01保育所</vt:lpstr>
      <vt:lpstr>白石区03公立02幼稚園</vt:lpstr>
      <vt:lpstr>【様式2】職員名簿!非常勤</vt:lpstr>
      <vt:lpstr>保育士</vt:lpstr>
      <vt:lpstr>豊平区01私立01保育所</vt:lpstr>
      <vt:lpstr>豊平区01私立02幼稚園</vt:lpstr>
      <vt:lpstr>豊平区01私立03認定こども園</vt:lpstr>
      <vt:lpstr>豊平区01私立04小規模A・B・C</vt:lpstr>
      <vt:lpstr>豊平区01私立05家庭的</vt:lpstr>
      <vt:lpstr>豊平区01私立06事業所内</vt:lpstr>
      <vt:lpstr>豊平区01保育所</vt:lpstr>
      <vt:lpstr>豊平区03公立01保育所</vt:lpstr>
      <vt:lpstr>豊平区03公立02幼稚園</vt:lpstr>
      <vt:lpstr>豊平区05家庭的</vt:lpstr>
      <vt:lpstr>北区01私立01保育所</vt:lpstr>
      <vt:lpstr>北区01私立02幼稚園</vt:lpstr>
      <vt:lpstr>北区01私立03認定こども園</vt:lpstr>
      <vt:lpstr>北区01私立04小規模A・B・C</vt:lpstr>
      <vt:lpstr>北区01私立05家庭的</vt:lpstr>
      <vt:lpstr>北区01保育所</vt:lpstr>
      <vt:lpstr>北区03公立01保育所</vt:lpstr>
      <vt:lpstr>北区03公立02幼稚園</vt:lpstr>
      <vt:lpstr>北区05家庭的</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2021-06-16T09:16:37Z</cp:lastPrinted>
  <dcterms:created xsi:type="dcterms:W3CDTF">2015-05-11T14:56:30Z</dcterms:created>
  <dcterms:modified xsi:type="dcterms:W3CDTF">2023-10-02T01:18:10Z</dcterms:modified>
</cp:coreProperties>
</file>